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Mitigasi_2010-2030_IW\PPU\"/>
    </mc:Choice>
  </mc:AlternateContent>
  <bookViews>
    <workbookView xWindow="0" yWindow="0" windowWidth="20490" windowHeight="7755" tabRatio="820" activeTab="7"/>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43" i="6" l="1"/>
  <c r="C42" i="6"/>
  <c r="C41" i="6"/>
  <c r="C40" i="6"/>
  <c r="C39" i="6"/>
  <c r="C38" i="6"/>
  <c r="C37" i="6"/>
  <c r="C36" i="6"/>
  <c r="C35" i="6"/>
  <c r="C34" i="6"/>
  <c r="C33" i="6"/>
  <c r="C32" i="6"/>
  <c r="C31" i="6"/>
  <c r="C30" i="6"/>
  <c r="C29" i="6"/>
  <c r="C28" i="6"/>
  <c r="C27" i="6"/>
  <c r="C26" i="6"/>
  <c r="C25" i="6"/>
  <c r="C24" i="6"/>
  <c r="O8" i="6" l="1"/>
  <c r="N8" i="6"/>
  <c r="M8" i="6"/>
  <c r="L8" i="6"/>
  <c r="K8" i="6"/>
  <c r="J8" i="6"/>
  <c r="I8" i="6"/>
  <c r="F8" i="6"/>
  <c r="E8" i="6"/>
  <c r="C23" i="6" l="1"/>
  <c r="C22" i="6"/>
  <c r="C21" i="6"/>
  <c r="C20" i="6"/>
  <c r="C19" i="6"/>
  <c r="C18" i="6"/>
  <c r="C17" i="6"/>
  <c r="C16" i="6"/>
  <c r="C15" i="6"/>
  <c r="C14" i="6"/>
  <c r="C13" i="6"/>
  <c r="C116" i="4" l="1"/>
  <c r="E116" i="4" s="1"/>
  <c r="C115" i="4"/>
  <c r="E115" i="4" s="1"/>
  <c r="C114" i="4"/>
  <c r="E114" i="4" s="1"/>
  <c r="C113" i="4"/>
  <c r="E113" i="4" s="1"/>
  <c r="E112" i="4"/>
  <c r="C111" i="4"/>
  <c r="E111" i="4" s="1"/>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3" i="38"/>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M98" i="8"/>
  <c r="I97" i="8"/>
  <c r="J97" i="8"/>
  <c r="K97" i="8"/>
  <c r="L97" i="8"/>
  <c r="M97" i="8"/>
  <c r="S97" i="8"/>
  <c r="I96" i="8"/>
  <c r="S96" i="8" s="1"/>
  <c r="J96" i="8"/>
  <c r="K96" i="8"/>
  <c r="L96" i="8"/>
  <c r="M96" i="8"/>
  <c r="I95" i="8"/>
  <c r="S95" i="8" s="1"/>
  <c r="J95" i="8"/>
  <c r="K95" i="8"/>
  <c r="L95" i="8"/>
  <c r="M95" i="8"/>
  <c r="I94" i="8"/>
  <c r="S94" i="8" s="1"/>
  <c r="J94" i="8"/>
  <c r="K94" i="8"/>
  <c r="L94" i="8"/>
  <c r="M94" i="8"/>
  <c r="I93" i="8"/>
  <c r="J93" i="8"/>
  <c r="K93" i="8"/>
  <c r="L93" i="8"/>
  <c r="M93" i="8"/>
  <c r="I92" i="8"/>
  <c r="J92" i="8"/>
  <c r="K92" i="8"/>
  <c r="L92" i="8"/>
  <c r="M92" i="8"/>
  <c r="I91" i="8"/>
  <c r="J91" i="8"/>
  <c r="K91" i="8"/>
  <c r="L91" i="8"/>
  <c r="M91" i="8"/>
  <c r="S91" i="8"/>
  <c r="I90" i="8"/>
  <c r="J90" i="8"/>
  <c r="K90" i="8"/>
  <c r="L90" i="8"/>
  <c r="M90" i="8"/>
  <c r="I89" i="8"/>
  <c r="J89" i="8"/>
  <c r="K89" i="8"/>
  <c r="L89" i="8"/>
  <c r="M89" i="8"/>
  <c r="S89" i="8"/>
  <c r="I88" i="8"/>
  <c r="S88" i="8" s="1"/>
  <c r="J88" i="8"/>
  <c r="K88" i="8"/>
  <c r="L88" i="8"/>
  <c r="M88" i="8"/>
  <c r="I87" i="8"/>
  <c r="S87" i="8" s="1"/>
  <c r="J87" i="8"/>
  <c r="K87" i="8"/>
  <c r="L87" i="8"/>
  <c r="M87" i="8"/>
  <c r="I86" i="8"/>
  <c r="J86" i="8"/>
  <c r="K86" i="8"/>
  <c r="S86" i="8" s="1"/>
  <c r="L86" i="8"/>
  <c r="M86" i="8"/>
  <c r="I85" i="8"/>
  <c r="J85" i="8"/>
  <c r="K85" i="8"/>
  <c r="L85" i="8"/>
  <c r="M85" i="8"/>
  <c r="I84" i="8"/>
  <c r="J84" i="8"/>
  <c r="K84" i="8"/>
  <c r="S84" i="8" s="1"/>
  <c r="L84" i="8"/>
  <c r="M84" i="8"/>
  <c r="I83" i="8"/>
  <c r="J83" i="8"/>
  <c r="N83" i="8" s="1"/>
  <c r="K83" i="8"/>
  <c r="L83" i="8"/>
  <c r="M83" i="8"/>
  <c r="S83" i="8"/>
  <c r="I82" i="8"/>
  <c r="J82" i="8"/>
  <c r="K82" i="8"/>
  <c r="L82" i="8"/>
  <c r="M82" i="8"/>
  <c r="I81" i="8"/>
  <c r="J81" i="8"/>
  <c r="K81" i="8"/>
  <c r="L81" i="8"/>
  <c r="M81" i="8"/>
  <c r="S81" i="8"/>
  <c r="I80" i="8"/>
  <c r="J80" i="8"/>
  <c r="K80" i="8"/>
  <c r="L80" i="8"/>
  <c r="M80" i="8"/>
  <c r="I79" i="8"/>
  <c r="S79" i="8" s="1"/>
  <c r="J79" i="8"/>
  <c r="K79" i="8"/>
  <c r="L79" i="8"/>
  <c r="M79" i="8"/>
  <c r="I78" i="8"/>
  <c r="J78" i="8"/>
  <c r="K78" i="8"/>
  <c r="S78" i="8" s="1"/>
  <c r="L78" i="8"/>
  <c r="M78" i="8"/>
  <c r="I77" i="8"/>
  <c r="J77" i="8"/>
  <c r="K77" i="8"/>
  <c r="L77" i="8"/>
  <c r="M77" i="8"/>
  <c r="I76" i="8"/>
  <c r="J76" i="8"/>
  <c r="K76" i="8"/>
  <c r="S76" i="8" s="1"/>
  <c r="L76" i="8"/>
  <c r="M76" i="8"/>
  <c r="I75" i="8"/>
  <c r="J75" i="8"/>
  <c r="K75" i="8"/>
  <c r="L75" i="8"/>
  <c r="M75" i="8"/>
  <c r="S75" i="8"/>
  <c r="I74" i="8"/>
  <c r="J74" i="8"/>
  <c r="K74" i="8"/>
  <c r="L74" i="8"/>
  <c r="M74" i="8"/>
  <c r="I73" i="8"/>
  <c r="J73" i="8"/>
  <c r="K73" i="8"/>
  <c r="L73" i="8"/>
  <c r="M73" i="8"/>
  <c r="S73" i="8"/>
  <c r="I72" i="8"/>
  <c r="J72" i="8"/>
  <c r="K72" i="8"/>
  <c r="L72" i="8"/>
  <c r="M72" i="8"/>
  <c r="I71" i="8"/>
  <c r="S71" i="8" s="1"/>
  <c r="J71" i="8"/>
  <c r="K71" i="8"/>
  <c r="L71" i="8"/>
  <c r="M71" i="8"/>
  <c r="I70" i="8"/>
  <c r="J70" i="8"/>
  <c r="K70" i="8"/>
  <c r="S70" i="8" s="1"/>
  <c r="L70" i="8"/>
  <c r="M70" i="8"/>
  <c r="I69" i="8"/>
  <c r="J69" i="8"/>
  <c r="K69" i="8"/>
  <c r="L69" i="8"/>
  <c r="M69" i="8"/>
  <c r="I68" i="8"/>
  <c r="J68" i="8"/>
  <c r="K68" i="8"/>
  <c r="S68" i="8" s="1"/>
  <c r="L68" i="8"/>
  <c r="M68" i="8"/>
  <c r="I67" i="8"/>
  <c r="J67" i="8"/>
  <c r="K67" i="8"/>
  <c r="L67" i="8"/>
  <c r="M67" i="8"/>
  <c r="S67" i="8"/>
  <c r="I66" i="8"/>
  <c r="J66" i="8"/>
  <c r="K66" i="8"/>
  <c r="L66" i="8"/>
  <c r="M66" i="8"/>
  <c r="I65" i="8"/>
  <c r="J65" i="8"/>
  <c r="K65" i="8"/>
  <c r="L65" i="8"/>
  <c r="M65" i="8"/>
  <c r="S65" i="8"/>
  <c r="I64" i="8"/>
  <c r="J64" i="8"/>
  <c r="K64" i="8"/>
  <c r="L64" i="8"/>
  <c r="M64" i="8"/>
  <c r="I63" i="8"/>
  <c r="S63" i="8" s="1"/>
  <c r="J63" i="8"/>
  <c r="K63" i="8"/>
  <c r="L63" i="8"/>
  <c r="M63" i="8"/>
  <c r="I62" i="8"/>
  <c r="J62" i="8"/>
  <c r="K62" i="8"/>
  <c r="S62" i="8" s="1"/>
  <c r="L62" i="8"/>
  <c r="M62" i="8"/>
  <c r="I61" i="8"/>
  <c r="J61" i="8"/>
  <c r="K61" i="8"/>
  <c r="L61" i="8"/>
  <c r="M61" i="8"/>
  <c r="I60" i="8"/>
  <c r="J60" i="8"/>
  <c r="K60" i="8"/>
  <c r="S60" i="8" s="1"/>
  <c r="L60" i="8"/>
  <c r="M60" i="8"/>
  <c r="I59" i="8"/>
  <c r="J59" i="8"/>
  <c r="K59" i="8"/>
  <c r="L59" i="8"/>
  <c r="M59" i="8"/>
  <c r="S59" i="8"/>
  <c r="I58" i="8"/>
  <c r="J58" i="8"/>
  <c r="K58" i="8"/>
  <c r="L58" i="8"/>
  <c r="M58" i="8"/>
  <c r="I57" i="8"/>
  <c r="J57" i="8"/>
  <c r="K57" i="8"/>
  <c r="L57" i="8"/>
  <c r="M57" i="8"/>
  <c r="S57" i="8"/>
  <c r="I56" i="8"/>
  <c r="J56" i="8"/>
  <c r="K56" i="8"/>
  <c r="L56" i="8"/>
  <c r="M56" i="8"/>
  <c r="I55" i="8"/>
  <c r="S55" i="8" s="1"/>
  <c r="J55" i="8"/>
  <c r="K55" i="8"/>
  <c r="L55" i="8"/>
  <c r="M55" i="8"/>
  <c r="I54" i="8"/>
  <c r="J54" i="8"/>
  <c r="K54" i="8"/>
  <c r="S54" i="8" s="1"/>
  <c r="L54" i="8"/>
  <c r="M54" i="8"/>
  <c r="I53" i="8"/>
  <c r="J53" i="8"/>
  <c r="K53" i="8"/>
  <c r="L53" i="8"/>
  <c r="M53" i="8"/>
  <c r="I52" i="8"/>
  <c r="J52" i="8"/>
  <c r="K52" i="8"/>
  <c r="S52" i="8" s="1"/>
  <c r="L52" i="8"/>
  <c r="M52" i="8"/>
  <c r="I51" i="8"/>
  <c r="J51" i="8"/>
  <c r="N51" i="8" s="1"/>
  <c r="K51" i="8"/>
  <c r="L51" i="8"/>
  <c r="M51" i="8"/>
  <c r="S51" i="8"/>
  <c r="I50" i="8"/>
  <c r="J50" i="8"/>
  <c r="K50" i="8"/>
  <c r="L50" i="8"/>
  <c r="M50" i="8"/>
  <c r="I49" i="8"/>
  <c r="J49" i="8"/>
  <c r="K49" i="8"/>
  <c r="L49" i="8"/>
  <c r="M49" i="8"/>
  <c r="S49" i="8"/>
  <c r="I48" i="8"/>
  <c r="J48" i="8"/>
  <c r="K48" i="8"/>
  <c r="L48" i="8"/>
  <c r="M48" i="8"/>
  <c r="I47" i="8"/>
  <c r="S47" i="8" s="1"/>
  <c r="J47" i="8"/>
  <c r="K47" i="8"/>
  <c r="L47" i="8"/>
  <c r="M47" i="8"/>
  <c r="I46" i="8"/>
  <c r="J46" i="8"/>
  <c r="K46" i="8"/>
  <c r="S46" i="8" s="1"/>
  <c r="L46" i="8"/>
  <c r="M46" i="8"/>
  <c r="I45" i="8"/>
  <c r="J45" i="8"/>
  <c r="K45" i="8"/>
  <c r="L45" i="8"/>
  <c r="M45" i="8"/>
  <c r="I44" i="8"/>
  <c r="J44" i="8"/>
  <c r="K44" i="8"/>
  <c r="S44" i="8" s="1"/>
  <c r="L44" i="8"/>
  <c r="M44" i="8"/>
  <c r="I43" i="8"/>
  <c r="J43" i="8"/>
  <c r="K43" i="8"/>
  <c r="L43" i="8"/>
  <c r="M43" i="8"/>
  <c r="S43" i="8"/>
  <c r="I42" i="8"/>
  <c r="J42" i="8"/>
  <c r="K42" i="8"/>
  <c r="L42" i="8"/>
  <c r="M42" i="8"/>
  <c r="I41" i="8"/>
  <c r="J41" i="8"/>
  <c r="K41" i="8"/>
  <c r="L41" i="8"/>
  <c r="M41" i="8"/>
  <c r="S41" i="8"/>
  <c r="I40" i="8"/>
  <c r="J40" i="8"/>
  <c r="K40" i="8"/>
  <c r="L40" i="8"/>
  <c r="M40" i="8"/>
  <c r="I39" i="8"/>
  <c r="S39" i="8" s="1"/>
  <c r="J39" i="8"/>
  <c r="K39" i="8"/>
  <c r="L39" i="8"/>
  <c r="M39" i="8"/>
  <c r="I38" i="8"/>
  <c r="J38" i="8"/>
  <c r="K38" i="8"/>
  <c r="S38" i="8" s="1"/>
  <c r="L38" i="8"/>
  <c r="M38" i="8"/>
  <c r="I37" i="8"/>
  <c r="J37" i="8"/>
  <c r="K37" i="8"/>
  <c r="L37" i="8"/>
  <c r="M37" i="8"/>
  <c r="I36" i="8"/>
  <c r="J36" i="8"/>
  <c r="K36" i="8"/>
  <c r="S36" i="8" s="1"/>
  <c r="L36" i="8"/>
  <c r="M36" i="8"/>
  <c r="I35" i="8"/>
  <c r="J35" i="8"/>
  <c r="N35" i="8" s="1"/>
  <c r="K35" i="8"/>
  <c r="L35" i="8"/>
  <c r="M35" i="8"/>
  <c r="I34" i="8"/>
  <c r="J34" i="8"/>
  <c r="K34" i="8"/>
  <c r="L34" i="8"/>
  <c r="M34" i="8"/>
  <c r="I33" i="8"/>
  <c r="J33" i="8"/>
  <c r="K33" i="8"/>
  <c r="L33" i="8"/>
  <c r="M33" i="8"/>
  <c r="S33" i="8"/>
  <c r="I32" i="8"/>
  <c r="J32" i="8"/>
  <c r="K32" i="8"/>
  <c r="L32" i="8"/>
  <c r="M32" i="8"/>
  <c r="I31" i="8"/>
  <c r="S31" i="8" s="1"/>
  <c r="J31" i="8"/>
  <c r="K31" i="8"/>
  <c r="L31" i="8"/>
  <c r="M31" i="8"/>
  <c r="I30" i="8"/>
  <c r="J30" i="8"/>
  <c r="K30" i="8"/>
  <c r="S30" i="8" s="1"/>
  <c r="L30" i="8"/>
  <c r="M30" i="8"/>
  <c r="I29" i="8"/>
  <c r="J29" i="8"/>
  <c r="K29" i="8"/>
  <c r="L29" i="8"/>
  <c r="M29" i="8"/>
  <c r="I28" i="8"/>
  <c r="J28" i="8"/>
  <c r="K28" i="8"/>
  <c r="S28" i="8" s="1"/>
  <c r="L28" i="8"/>
  <c r="M28" i="8"/>
  <c r="I27" i="8"/>
  <c r="J27" i="8"/>
  <c r="K27" i="8"/>
  <c r="L27" i="8"/>
  <c r="M27" i="8"/>
  <c r="S27" i="8"/>
  <c r="I26" i="8"/>
  <c r="J26" i="8"/>
  <c r="K26" i="8"/>
  <c r="L26" i="8"/>
  <c r="M26" i="8"/>
  <c r="I25" i="8"/>
  <c r="J25" i="8"/>
  <c r="K25" i="8"/>
  <c r="L25" i="8"/>
  <c r="M25" i="8"/>
  <c r="S25" i="8"/>
  <c r="I24" i="8"/>
  <c r="J24" i="8"/>
  <c r="K24" i="8"/>
  <c r="L24" i="8"/>
  <c r="M24" i="8"/>
  <c r="I23" i="8"/>
  <c r="S23" i="8" s="1"/>
  <c r="J23" i="8"/>
  <c r="K23" i="8"/>
  <c r="L23" i="8"/>
  <c r="M23" i="8"/>
  <c r="I22" i="8"/>
  <c r="J22" i="8"/>
  <c r="K22" i="8"/>
  <c r="S22" i="8" s="1"/>
  <c r="L22" i="8"/>
  <c r="M22" i="8"/>
  <c r="I21" i="8"/>
  <c r="J21" i="8"/>
  <c r="K21" i="8"/>
  <c r="L21" i="8"/>
  <c r="M21" i="8"/>
  <c r="I20" i="8"/>
  <c r="J20" i="8"/>
  <c r="K20" i="8"/>
  <c r="S20" i="8" s="1"/>
  <c r="L20" i="8"/>
  <c r="M20" i="8"/>
  <c r="I19" i="8"/>
  <c r="J19" i="8"/>
  <c r="N19" i="8" s="1"/>
  <c r="K19" i="8"/>
  <c r="L19" i="8"/>
  <c r="M19" i="8"/>
  <c r="S19" i="8"/>
  <c r="I18" i="8"/>
  <c r="J18" i="8"/>
  <c r="K18" i="8"/>
  <c r="L18" i="8"/>
  <c r="M18" i="8"/>
  <c r="D36" i="4"/>
  <c r="E36" i="4" s="1"/>
  <c r="C36" i="4"/>
  <c r="B36" i="4"/>
  <c r="L47" i="4"/>
  <c r="D47" i="4"/>
  <c r="E47" i="4" s="1"/>
  <c r="C47" i="4"/>
  <c r="B47" i="4"/>
  <c r="E51" i="4"/>
  <c r="K13" i="40" s="1"/>
  <c r="W13" i="40"/>
  <c r="E30" i="4"/>
  <c r="W7" i="40" s="1"/>
  <c r="K7" i="40"/>
  <c r="H28" i="4"/>
  <c r="I28" i="4"/>
  <c r="J28" i="4" s="1"/>
  <c r="C28" i="4"/>
  <c r="I17" i="4"/>
  <c r="J17" i="4" s="1"/>
  <c r="R28" i="4" s="1"/>
  <c r="H17" i="4"/>
  <c r="D17" i="4"/>
  <c r="C17" i="4"/>
  <c r="B17" i="4"/>
  <c r="D28" i="4"/>
  <c r="E28" i="4" s="1"/>
  <c r="O28" i="4" s="1"/>
  <c r="K6" i="40" s="1"/>
  <c r="L28" i="4"/>
  <c r="B28" i="4"/>
  <c r="V93" i="6"/>
  <c r="X93" i="6" s="1"/>
  <c r="P94" i="7" s="1"/>
  <c r="V92" i="6"/>
  <c r="X92" i="6" s="1"/>
  <c r="P93" i="7"/>
  <c r="V91" i="6"/>
  <c r="X91" i="6" s="1"/>
  <c r="P92" i="7" s="1"/>
  <c r="V90" i="6"/>
  <c r="X90" i="6" s="1"/>
  <c r="P91" i="7"/>
  <c r="V89" i="6"/>
  <c r="X89" i="6" s="1"/>
  <c r="P90" i="7" s="1"/>
  <c r="V88" i="6"/>
  <c r="X88" i="6" s="1"/>
  <c r="P89" i="7" s="1"/>
  <c r="V87" i="6"/>
  <c r="X87" i="6" s="1"/>
  <c r="P88" i="7" s="1"/>
  <c r="V86" i="6"/>
  <c r="X86" i="6" s="1"/>
  <c r="P87" i="7" s="1"/>
  <c r="V85" i="6"/>
  <c r="X85" i="6" s="1"/>
  <c r="P86" i="7" s="1"/>
  <c r="V84" i="6"/>
  <c r="X84" i="6" s="1"/>
  <c r="P85" i="7"/>
  <c r="P90" i="40" s="1"/>
  <c r="V83" i="6"/>
  <c r="X83" i="6" s="1"/>
  <c r="P84" i="7" s="1"/>
  <c r="V82" i="6"/>
  <c r="X82" i="6" s="1"/>
  <c r="P83" i="7"/>
  <c r="V81" i="6"/>
  <c r="X81" i="6" s="1"/>
  <c r="P82" i="7" s="1"/>
  <c r="P87" i="40" s="1"/>
  <c r="V80" i="6"/>
  <c r="X80" i="6" s="1"/>
  <c r="P81" i="7" s="1"/>
  <c r="V79" i="6"/>
  <c r="X79" i="6" s="1"/>
  <c r="P80" i="7" s="1"/>
  <c r="V78" i="6"/>
  <c r="X78" i="6" s="1"/>
  <c r="P79" i="7" s="1"/>
  <c r="V77" i="6"/>
  <c r="X77" i="6" s="1"/>
  <c r="P78" i="7" s="1"/>
  <c r="V76" i="6"/>
  <c r="X76" i="6" s="1"/>
  <c r="P77" i="7"/>
  <c r="V75" i="6"/>
  <c r="X75" i="6" s="1"/>
  <c r="P76" i="7" s="1"/>
  <c r="V74" i="6"/>
  <c r="X74" i="6" s="1"/>
  <c r="P75" i="7"/>
  <c r="V73" i="6"/>
  <c r="X73" i="6" s="1"/>
  <c r="P74" i="7" s="1"/>
  <c r="V72" i="6"/>
  <c r="X72" i="6" s="1"/>
  <c r="P73" i="7" s="1"/>
  <c r="V71" i="6"/>
  <c r="X71" i="6" s="1"/>
  <c r="P72" i="7" s="1"/>
  <c r="V70" i="6"/>
  <c r="X70" i="6" s="1"/>
  <c r="P71" i="7" s="1"/>
  <c r="V69" i="6"/>
  <c r="X69" i="6" s="1"/>
  <c r="P70" i="7" s="1"/>
  <c r="V68" i="6"/>
  <c r="X68" i="6" s="1"/>
  <c r="P69" i="7"/>
  <c r="P74" i="40" s="1"/>
  <c r="V67" i="6"/>
  <c r="X67" i="6" s="1"/>
  <c r="P68" i="7" s="1"/>
  <c r="V66" i="6"/>
  <c r="X66" i="6" s="1"/>
  <c r="P67" i="7"/>
  <c r="V65" i="6"/>
  <c r="X65" i="6" s="1"/>
  <c r="P66" i="7" s="1"/>
  <c r="P71" i="40" s="1"/>
  <c r="V64" i="6"/>
  <c r="X64" i="6" s="1"/>
  <c r="P65" i="7" s="1"/>
  <c r="V63" i="6"/>
  <c r="X63" i="6" s="1"/>
  <c r="P64" i="7" s="1"/>
  <c r="V62" i="6"/>
  <c r="X62" i="6" s="1"/>
  <c r="P63" i="7" s="1"/>
  <c r="V61" i="6"/>
  <c r="X61" i="6" s="1"/>
  <c r="P62" i="7" s="1"/>
  <c r="V60" i="6"/>
  <c r="X60" i="6" s="1"/>
  <c r="P61" i="7"/>
  <c r="V59" i="6"/>
  <c r="X59" i="6" s="1"/>
  <c r="P60" i="7" s="1"/>
  <c r="V58" i="6"/>
  <c r="X58" i="6" s="1"/>
  <c r="P59" i="7"/>
  <c r="V57" i="6"/>
  <c r="X57" i="6" s="1"/>
  <c r="P58" i="7" s="1"/>
  <c r="V56" i="6"/>
  <c r="X56" i="6" s="1"/>
  <c r="P57" i="7" s="1"/>
  <c r="V55" i="6"/>
  <c r="X55" i="6" s="1"/>
  <c r="P56" i="7" s="1"/>
  <c r="V54" i="6"/>
  <c r="X54" i="6" s="1"/>
  <c r="P55" i="7" s="1"/>
  <c r="V53" i="6"/>
  <c r="X53" i="6" s="1"/>
  <c r="P54" i="7" s="1"/>
  <c r="V52" i="6"/>
  <c r="X52" i="6" s="1"/>
  <c r="P53" i="7"/>
  <c r="P58" i="40" s="1"/>
  <c r="V51" i="6"/>
  <c r="X51" i="6" s="1"/>
  <c r="P52" i="7" s="1"/>
  <c r="V50" i="6"/>
  <c r="X50" i="6"/>
  <c r="P51" i="7" s="1"/>
  <c r="V49" i="6"/>
  <c r="X49" i="6" s="1"/>
  <c r="P50" i="7" s="1"/>
  <c r="P55" i="40" s="1"/>
  <c r="V48" i="6"/>
  <c r="X48" i="6" s="1"/>
  <c r="P49" i="7" s="1"/>
  <c r="V47" i="6"/>
  <c r="X47" i="6" s="1"/>
  <c r="P48" i="7" s="1"/>
  <c r="V46" i="6"/>
  <c r="X46" i="6" s="1"/>
  <c r="P47" i="7" s="1"/>
  <c r="V45" i="6"/>
  <c r="X45" i="6" s="1"/>
  <c r="P46" i="7" s="1"/>
  <c r="V44" i="6"/>
  <c r="X44" i="6"/>
  <c r="P45" i="7" s="1"/>
  <c r="V43" i="6"/>
  <c r="X43" i="6" s="1"/>
  <c r="P44" i="7" s="1"/>
  <c r="V42" i="6"/>
  <c r="X42" i="6"/>
  <c r="P43" i="7" s="1"/>
  <c r="V41" i="6"/>
  <c r="X41" i="6" s="1"/>
  <c r="P42" i="7" s="1"/>
  <c r="V40" i="6"/>
  <c r="X40" i="6" s="1"/>
  <c r="P41" i="7" s="1"/>
  <c r="V39" i="6"/>
  <c r="X39" i="6" s="1"/>
  <c r="P40" i="7" s="1"/>
  <c r="V38" i="6"/>
  <c r="X38" i="6" s="1"/>
  <c r="P39" i="7" s="1"/>
  <c r="V37" i="6"/>
  <c r="X37" i="6" s="1"/>
  <c r="P38" i="7" s="1"/>
  <c r="V36" i="6"/>
  <c r="X36" i="6"/>
  <c r="P37" i="7" s="1"/>
  <c r="P42" i="40" s="1"/>
  <c r="V35" i="6"/>
  <c r="X35" i="6" s="1"/>
  <c r="P36" i="7" s="1"/>
  <c r="V34" i="6"/>
  <c r="X34" i="6"/>
  <c r="P35" i="7" s="1"/>
  <c r="V33" i="6"/>
  <c r="X33" i="6" s="1"/>
  <c r="P34" i="7" s="1"/>
  <c r="P39" i="40" s="1"/>
  <c r="V32" i="6"/>
  <c r="X32" i="6" s="1"/>
  <c r="P33" i="7" s="1"/>
  <c r="V31" i="6"/>
  <c r="X31" i="6" s="1"/>
  <c r="P32" i="7" s="1"/>
  <c r="V30" i="6"/>
  <c r="X30" i="6" s="1"/>
  <c r="P31" i="7" s="1"/>
  <c r="V29" i="6"/>
  <c r="X29" i="6" s="1"/>
  <c r="P30" i="7" s="1"/>
  <c r="V28" i="6"/>
  <c r="X28" i="6"/>
  <c r="P29" i="7" s="1"/>
  <c r="V27" i="6"/>
  <c r="X27" i="6" s="1"/>
  <c r="P28" i="7" s="1"/>
  <c r="V26" i="6"/>
  <c r="X26" i="6"/>
  <c r="P27" i="7" s="1"/>
  <c r="V25" i="6"/>
  <c r="X25" i="6" s="1"/>
  <c r="P26" i="7" s="1"/>
  <c r="V24" i="6"/>
  <c r="X24" i="6" s="1"/>
  <c r="P25" i="7" s="1"/>
  <c r="V23" i="6"/>
  <c r="X23" i="6" s="1"/>
  <c r="P24" i="7" s="1"/>
  <c r="V22" i="6"/>
  <c r="X22" i="6" s="1"/>
  <c r="P23" i="7" s="1"/>
  <c r="V21" i="6"/>
  <c r="X21" i="6" s="1"/>
  <c r="P22" i="7" s="1"/>
  <c r="V20" i="6"/>
  <c r="X20" i="6"/>
  <c r="P21" i="7" s="1"/>
  <c r="P26" i="40" s="1"/>
  <c r="V19" i="6"/>
  <c r="X19" i="6" s="1"/>
  <c r="P20" i="7" s="1"/>
  <c r="V18" i="6"/>
  <c r="X18" i="6"/>
  <c r="P19" i="7" s="1"/>
  <c r="V17" i="6"/>
  <c r="X17" i="6" s="1"/>
  <c r="P18" i="7" s="1"/>
  <c r="P23" i="40" s="1"/>
  <c r="V16" i="6"/>
  <c r="X16" i="6" s="1"/>
  <c r="P17" i="7" s="1"/>
  <c r="V15" i="6"/>
  <c r="X15" i="6" s="1"/>
  <c r="P16" i="7" s="1"/>
  <c r="V14" i="6"/>
  <c r="X14" i="6" s="1"/>
  <c r="P15" i="7" s="1"/>
  <c r="V13" i="6"/>
  <c r="X13" i="6" s="1"/>
  <c r="P14" i="7" s="1"/>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G88" i="7" s="1"/>
  <c r="P93" i="34" s="1"/>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G43" i="7" s="1"/>
  <c r="P48" i="34" s="1"/>
  <c r="I41" i="6"/>
  <c r="I40" i="6"/>
  <c r="I39" i="6"/>
  <c r="I38" i="6"/>
  <c r="I37" i="6"/>
  <c r="I36" i="6"/>
  <c r="I35" i="6"/>
  <c r="I34" i="6"/>
  <c r="I33" i="6"/>
  <c r="I32" i="6"/>
  <c r="G33" i="7" s="1"/>
  <c r="P38" i="34" s="1"/>
  <c r="I31" i="6"/>
  <c r="I30" i="6"/>
  <c r="I29" i="6"/>
  <c r="I28" i="6"/>
  <c r="I27" i="6"/>
  <c r="I26" i="6"/>
  <c r="I25" i="6"/>
  <c r="G26" i="7" s="1"/>
  <c r="P31" i="34" s="1"/>
  <c r="I24" i="6"/>
  <c r="I23" i="6"/>
  <c r="I22" i="6"/>
  <c r="I21" i="6"/>
  <c r="I20" i="6"/>
  <c r="I19" i="6"/>
  <c r="I18" i="6"/>
  <c r="I17" i="6"/>
  <c r="I16" i="6"/>
  <c r="I15" i="6"/>
  <c r="I14" i="6"/>
  <c r="G93" i="6"/>
  <c r="G92" i="6"/>
  <c r="G91" i="6"/>
  <c r="E92" i="7" s="1"/>
  <c r="P97" i="35" s="1"/>
  <c r="G90" i="6"/>
  <c r="G89" i="6"/>
  <c r="G88" i="6"/>
  <c r="G87" i="6"/>
  <c r="G86" i="6"/>
  <c r="G85" i="6"/>
  <c r="G84" i="6"/>
  <c r="G83" i="6"/>
  <c r="G82" i="6"/>
  <c r="G81" i="6"/>
  <c r="G80" i="6"/>
  <c r="E81" i="7" s="1"/>
  <c r="P86" i="35" s="1"/>
  <c r="G79" i="6"/>
  <c r="G78" i="6"/>
  <c r="G77" i="6"/>
  <c r="G76" i="6"/>
  <c r="G75" i="6"/>
  <c r="G74" i="6"/>
  <c r="G73" i="6"/>
  <c r="G72" i="6"/>
  <c r="G71" i="6"/>
  <c r="G70" i="6"/>
  <c r="E71" i="7" s="1"/>
  <c r="P76" i="35" s="1"/>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E26" i="7" s="1"/>
  <c r="P31" i="35" s="1"/>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R25" i="4" s="1"/>
  <c r="I24" i="4"/>
  <c r="J24" i="4" s="1"/>
  <c r="R24" i="4" s="1"/>
  <c r="I23" i="4"/>
  <c r="J23" i="4" s="1"/>
  <c r="R23" i="4" s="1"/>
  <c r="I22" i="4"/>
  <c r="J22" i="4" s="1"/>
  <c r="R22" i="4" s="1"/>
  <c r="D25" i="4"/>
  <c r="O25" i="4" s="1"/>
  <c r="D24" i="4"/>
  <c r="O24" i="4" s="1"/>
  <c r="D23" i="4"/>
  <c r="O23" i="4" s="1"/>
  <c r="D22" i="4"/>
  <c r="O22" i="4"/>
  <c r="H25" i="4"/>
  <c r="H24" i="4"/>
  <c r="H23" i="4"/>
  <c r="H22" i="4"/>
  <c r="C25" i="4"/>
  <c r="C24" i="4"/>
  <c r="C23" i="4"/>
  <c r="C22" i="4"/>
  <c r="R62" i="4"/>
  <c r="AC4" i="5"/>
  <c r="AB4" i="5"/>
  <c r="Z4" i="5"/>
  <c r="AH25" i="5" s="1"/>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L17" i="7" s="1"/>
  <c r="M17" i="6"/>
  <c r="N17" i="6"/>
  <c r="L18" i="7" s="1"/>
  <c r="M18" i="6"/>
  <c r="N18" i="6"/>
  <c r="M19" i="6"/>
  <c r="N19" i="6"/>
  <c r="L20" i="7" s="1"/>
  <c r="M20" i="6"/>
  <c r="N20" i="6"/>
  <c r="M21" i="6"/>
  <c r="N21" i="6"/>
  <c r="M22" i="6"/>
  <c r="N22" i="6"/>
  <c r="M23" i="6"/>
  <c r="K24" i="7" s="1"/>
  <c r="N23" i="6"/>
  <c r="M24" i="6"/>
  <c r="N24" i="6"/>
  <c r="M25" i="6"/>
  <c r="K26" i="7" s="1"/>
  <c r="N25" i="6"/>
  <c r="L26" i="7" s="1"/>
  <c r="M26" i="6"/>
  <c r="N26" i="6"/>
  <c r="M27" i="6"/>
  <c r="K28" i="7" s="1"/>
  <c r="N27" i="6"/>
  <c r="M28" i="6"/>
  <c r="N28" i="6"/>
  <c r="M29" i="6"/>
  <c r="N29" i="6"/>
  <c r="L30" i="7" s="1"/>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L43" i="7" s="1"/>
  <c r="M43" i="6"/>
  <c r="K44" i="7" s="1"/>
  <c r="N43" i="6"/>
  <c r="M44" i="6"/>
  <c r="N44" i="6"/>
  <c r="M45" i="6"/>
  <c r="N45" i="6"/>
  <c r="M46" i="6"/>
  <c r="N46" i="6"/>
  <c r="M47" i="6"/>
  <c r="K48" i="7" s="1"/>
  <c r="N47" i="6"/>
  <c r="M48" i="6"/>
  <c r="N48" i="6"/>
  <c r="M49" i="6"/>
  <c r="N49" i="6"/>
  <c r="M50" i="6"/>
  <c r="N50" i="6"/>
  <c r="M51" i="6"/>
  <c r="N51" i="6"/>
  <c r="M52" i="6"/>
  <c r="N52" i="6"/>
  <c r="M53" i="6"/>
  <c r="N53" i="6"/>
  <c r="M54" i="6"/>
  <c r="N54" i="6"/>
  <c r="M55" i="6"/>
  <c r="K56" i="7" s="1"/>
  <c r="N55" i="6"/>
  <c r="M56" i="6"/>
  <c r="N56" i="6"/>
  <c r="M57" i="6"/>
  <c r="N57" i="6"/>
  <c r="M58" i="6"/>
  <c r="N58" i="6"/>
  <c r="M59" i="6"/>
  <c r="N59" i="6"/>
  <c r="M60" i="6"/>
  <c r="N60" i="6"/>
  <c r="M61" i="6"/>
  <c r="N61" i="6"/>
  <c r="M62" i="6"/>
  <c r="K63" i="7" s="1"/>
  <c r="N62" i="6"/>
  <c r="M63" i="6"/>
  <c r="N63" i="6"/>
  <c r="L64" i="7" s="1"/>
  <c r="M64" i="6"/>
  <c r="N64" i="6"/>
  <c r="M65" i="6"/>
  <c r="N65" i="6"/>
  <c r="M66" i="6"/>
  <c r="N66" i="6"/>
  <c r="M67" i="6"/>
  <c r="N67" i="6"/>
  <c r="M68" i="6"/>
  <c r="N68" i="6"/>
  <c r="M69" i="6"/>
  <c r="N69" i="6"/>
  <c r="M70" i="6"/>
  <c r="N70" i="6"/>
  <c r="M71" i="6"/>
  <c r="N71" i="6"/>
  <c r="M72" i="6"/>
  <c r="N72" i="6"/>
  <c r="M73" i="6"/>
  <c r="N73" i="6"/>
  <c r="M74" i="6"/>
  <c r="K75" i="7" s="1"/>
  <c r="N74" i="6"/>
  <c r="M75" i="6"/>
  <c r="N75" i="6"/>
  <c r="M76" i="6"/>
  <c r="N76" i="6"/>
  <c r="M77" i="6"/>
  <c r="N77" i="6"/>
  <c r="M78" i="6"/>
  <c r="N78" i="6"/>
  <c r="M79" i="6"/>
  <c r="N79" i="6"/>
  <c r="M80" i="6"/>
  <c r="K81" i="7" s="1"/>
  <c r="N80" i="6"/>
  <c r="M81" i="6"/>
  <c r="N81" i="6"/>
  <c r="M82" i="6"/>
  <c r="N82" i="6"/>
  <c r="M83" i="6"/>
  <c r="N83" i="6"/>
  <c r="M84" i="6"/>
  <c r="N84" i="6"/>
  <c r="M85" i="6"/>
  <c r="N85" i="6"/>
  <c r="M86" i="6"/>
  <c r="N86" i="6"/>
  <c r="M87" i="6"/>
  <c r="N87" i="6"/>
  <c r="M88" i="6"/>
  <c r="K89" i="7" s="1"/>
  <c r="N88" i="6"/>
  <c r="M89" i="6"/>
  <c r="N89" i="6"/>
  <c r="M90" i="6"/>
  <c r="N90" i="6"/>
  <c r="M91" i="6"/>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D79" i="7" s="1"/>
  <c r="C84" i="31" s="1"/>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K13" i="37"/>
  <c r="W13" i="33"/>
  <c r="E53" i="4"/>
  <c r="W4" i="5"/>
  <c r="X4" i="5"/>
  <c r="Y4" i="5"/>
  <c r="AA4" i="5"/>
  <c r="AD4" i="5"/>
  <c r="E58" i="4"/>
  <c r="E59" i="4"/>
  <c r="E55" i="4"/>
  <c r="F75" i="28" s="1"/>
  <c r="C94" i="8"/>
  <c r="D94" i="8"/>
  <c r="E94" i="8"/>
  <c r="F94" i="8"/>
  <c r="G94" i="8"/>
  <c r="C95" i="8"/>
  <c r="D95" i="8"/>
  <c r="E95" i="8"/>
  <c r="F95" i="8"/>
  <c r="G95" i="8"/>
  <c r="C96" i="8"/>
  <c r="D96" i="8"/>
  <c r="E96" i="8"/>
  <c r="F96" i="8"/>
  <c r="G96" i="8"/>
  <c r="C97" i="8"/>
  <c r="D97" i="8"/>
  <c r="E97" i="8"/>
  <c r="F97" i="8"/>
  <c r="G97" i="8"/>
  <c r="C98" i="8"/>
  <c r="D98" i="8"/>
  <c r="E98" i="8"/>
  <c r="F98" i="8"/>
  <c r="G98" i="8"/>
  <c r="B14" i="7"/>
  <c r="O19" i="36" s="1"/>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s="1"/>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E83" i="6"/>
  <c r="J17" i="6"/>
  <c r="K13" i="18"/>
  <c r="H76" i="6"/>
  <c r="J46" i="6"/>
  <c r="E70" i="6"/>
  <c r="E29" i="6"/>
  <c r="E18" i="6"/>
  <c r="E43" i="6"/>
  <c r="F43" i="6"/>
  <c r="H43" i="6"/>
  <c r="J43" i="6"/>
  <c r="K43" i="6"/>
  <c r="L43" i="6"/>
  <c r="E44" i="6"/>
  <c r="E35" i="6"/>
  <c r="E34" i="6"/>
  <c r="E37" i="6"/>
  <c r="E28" i="6"/>
  <c r="E20" i="6"/>
  <c r="E58" i="6"/>
  <c r="J41" i="6"/>
  <c r="E67" i="6"/>
  <c r="E23" i="6"/>
  <c r="J80" i="6"/>
  <c r="H81" i="7" s="1"/>
  <c r="E63" i="6"/>
  <c r="F63" i="6"/>
  <c r="H63" i="6"/>
  <c r="J63" i="6"/>
  <c r="K63" i="6"/>
  <c r="L63" i="6"/>
  <c r="J53" i="6"/>
  <c r="E46" i="6"/>
  <c r="L65" i="6"/>
  <c r="E82" i="6"/>
  <c r="E64" i="6"/>
  <c r="E76" i="6"/>
  <c r="E60" i="6"/>
  <c r="L13" i="6"/>
  <c r="J67" i="6"/>
  <c r="E55" i="6"/>
  <c r="E36" i="6"/>
  <c r="E21" i="6"/>
  <c r="K51" i="6"/>
  <c r="E54" i="6"/>
  <c r="E13" i="6"/>
  <c r="E66" i="6"/>
  <c r="E79" i="6"/>
  <c r="F79" i="6"/>
  <c r="H79" i="6"/>
  <c r="J79" i="6"/>
  <c r="K79" i="6"/>
  <c r="L79" i="6"/>
  <c r="J42" i="6"/>
  <c r="E88" i="6"/>
  <c r="J22" i="6"/>
  <c r="J92" i="6"/>
  <c r="E87" i="6"/>
  <c r="E51" i="6"/>
  <c r="E33" i="6"/>
  <c r="J82" i="6"/>
  <c r="E45" i="6"/>
  <c r="E27" i="6"/>
  <c r="E74" i="6"/>
  <c r="E57" i="6"/>
  <c r="L89" i="6"/>
  <c r="K38" i="6"/>
  <c r="K28" i="6"/>
  <c r="L38" i="6"/>
  <c r="E38" i="6"/>
  <c r="F38" i="6"/>
  <c r="H38" i="6"/>
  <c r="J38" i="6"/>
  <c r="H39" i="7" s="1"/>
  <c r="C44" i="33" s="1"/>
  <c r="K17" i="6"/>
  <c r="F91" i="6"/>
  <c r="D92" i="7" s="1"/>
  <c r="K42" i="6"/>
  <c r="L93" i="6"/>
  <c r="L54" i="6"/>
  <c r="K23" i="6"/>
  <c r="K88" i="6"/>
  <c r="I89" i="7" s="1"/>
  <c r="L40" i="6"/>
  <c r="L24" i="6"/>
  <c r="L42" i="6"/>
  <c r="K65" i="6"/>
  <c r="F18" i="6"/>
  <c r="K26" i="6"/>
  <c r="L34" i="6"/>
  <c r="F41" i="6"/>
  <c r="F93" i="6"/>
  <c r="O23" i="7"/>
  <c r="F20" i="6"/>
  <c r="L71" i="6"/>
  <c r="L55" i="6"/>
  <c r="L25" i="6"/>
  <c r="K22" i="6"/>
  <c r="E22" i="6"/>
  <c r="F22" i="6"/>
  <c r="H22" i="6"/>
  <c r="L22" i="6"/>
  <c r="F92" i="6"/>
  <c r="K47" i="6"/>
  <c r="F26" i="6"/>
  <c r="L17" i="6"/>
  <c r="L75" i="6"/>
  <c r="G85" i="7"/>
  <c r="P90" i="34" s="1"/>
  <c r="J55" i="7"/>
  <c r="G45" i="7"/>
  <c r="P50" i="34" s="1"/>
  <c r="F77" i="6"/>
  <c r="L52" i="6"/>
  <c r="L57" i="6"/>
  <c r="L70" i="6"/>
  <c r="L72" i="6"/>
  <c r="K25" i="6"/>
  <c r="K72" i="6"/>
  <c r="E72" i="6"/>
  <c r="F72" i="6"/>
  <c r="D73" i="7" s="1"/>
  <c r="C78" i="35" s="1"/>
  <c r="H72" i="6"/>
  <c r="J72" i="6"/>
  <c r="K46" i="6"/>
  <c r="F53" i="6"/>
  <c r="L86" i="6"/>
  <c r="K92" i="6"/>
  <c r="F59" i="6"/>
  <c r="K48" i="6"/>
  <c r="I49" i="7" s="1"/>
  <c r="L46" i="6"/>
  <c r="O68" i="7"/>
  <c r="F19" i="6"/>
  <c r="L68" i="6"/>
  <c r="L39" i="6"/>
  <c r="L29" i="6"/>
  <c r="J30" i="7" s="1"/>
  <c r="K77" i="6"/>
  <c r="K55" i="6"/>
  <c r="K81" i="6"/>
  <c r="K59" i="6"/>
  <c r="K74" i="6"/>
  <c r="F86" i="6"/>
  <c r="H14" i="6"/>
  <c r="K68" i="6"/>
  <c r="L31" i="6"/>
  <c r="L59" i="6"/>
  <c r="L83" i="6"/>
  <c r="H86" i="6"/>
  <c r="H26" i="6"/>
  <c r="L18" i="6"/>
  <c r="L80" i="6"/>
  <c r="J81" i="7" s="1"/>
  <c r="L81" i="6"/>
  <c r="L44" i="6"/>
  <c r="L82" i="6"/>
  <c r="L45" i="6"/>
  <c r="L78" i="6"/>
  <c r="K53" i="6"/>
  <c r="I54" i="7" s="1"/>
  <c r="K87" i="6"/>
  <c r="K33" i="6"/>
  <c r="K78" i="6"/>
  <c r="K19" i="6"/>
  <c r="K75" i="6"/>
  <c r="K52" i="6"/>
  <c r="K18" i="6"/>
  <c r="I19" i="7" s="1"/>
  <c r="L23" i="6"/>
  <c r="H67" i="6"/>
  <c r="H80" i="6"/>
  <c r="F81" i="7" s="1"/>
  <c r="H71" i="6"/>
  <c r="H53" i="6"/>
  <c r="K36" i="6"/>
  <c r="K70" i="6"/>
  <c r="L87" i="6"/>
  <c r="H36" i="6"/>
  <c r="F37" i="7" s="1"/>
  <c r="P42" i="32" s="1"/>
  <c r="H48" i="6"/>
  <c r="L26" i="6"/>
  <c r="L27" i="6"/>
  <c r="L20" i="6"/>
  <c r="L49" i="6"/>
  <c r="L16" i="6"/>
  <c r="L50" i="6"/>
  <c r="L90" i="6"/>
  <c r="K34" i="6"/>
  <c r="K45" i="6"/>
  <c r="I46" i="7" s="1"/>
  <c r="K84" i="6"/>
  <c r="I85" i="7" s="1"/>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F82" i="6"/>
  <c r="D83" i="7" s="1"/>
  <c r="F13" i="6"/>
  <c r="F33" i="6"/>
  <c r="F87" i="6"/>
  <c r="F61" i="6"/>
  <c r="F31" i="6"/>
  <c r="F75" i="6"/>
  <c r="F34" i="6"/>
  <c r="F55" i="6"/>
  <c r="L62" i="6"/>
  <c r="L51" i="6"/>
  <c r="L84" i="6"/>
  <c r="L60" i="6"/>
  <c r="L41" i="6"/>
  <c r="L21" i="6"/>
  <c r="L76" i="6"/>
  <c r="L53" i="6"/>
  <c r="J54" i="7" s="1"/>
  <c r="L33" i="6"/>
  <c r="L14" i="6"/>
  <c r="L48" i="6"/>
  <c r="L91" i="6"/>
  <c r="J92" i="7" s="1"/>
  <c r="L47" i="6"/>
  <c r="L74" i="6"/>
  <c r="L67" i="6"/>
  <c r="J68" i="7" s="1"/>
  <c r="L56" i="6"/>
  <c r="L64" i="6"/>
  <c r="L73" i="6"/>
  <c r="L85" i="6"/>
  <c r="K37" i="6"/>
  <c r="K29" i="6"/>
  <c r="K32" i="6"/>
  <c r="K44" i="6"/>
  <c r="K24" i="6"/>
  <c r="K80" i="6"/>
  <c r="K67" i="6"/>
  <c r="K35" i="6"/>
  <c r="K40" i="6"/>
  <c r="K86" i="6"/>
  <c r="K73" i="6"/>
  <c r="K41" i="6"/>
  <c r="K56" i="6"/>
  <c r="K71" i="6"/>
  <c r="K21" i="6"/>
  <c r="K90" i="6"/>
  <c r="K66" i="6"/>
  <c r="K76" i="6"/>
  <c r="I77" i="7" s="1"/>
  <c r="K93" i="6"/>
  <c r="K61" i="6"/>
  <c r="K82" i="6"/>
  <c r="I83" i="7" s="1"/>
  <c r="K62" i="6"/>
  <c r="K20" i="6"/>
  <c r="K58" i="6"/>
  <c r="L15" i="6"/>
  <c r="L36" i="6"/>
  <c r="L61" i="6"/>
  <c r="L77" i="6"/>
  <c r="J78" i="7" s="1"/>
  <c r="F83" i="6"/>
  <c r="F57" i="6"/>
  <c r="F23" i="6"/>
  <c r="D24" i="7" s="1"/>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C92" i="7" s="1"/>
  <c r="P97" i="18" s="1"/>
  <c r="E68" i="6"/>
  <c r="E53" i="6"/>
  <c r="C54" i="7" s="1"/>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H76" i="7" s="1"/>
  <c r="P81" i="33" s="1"/>
  <c r="J55" i="6"/>
  <c r="J29" i="6"/>
  <c r="J16" i="6"/>
  <c r="H17" i="7" s="1"/>
  <c r="P22" i="33" s="1"/>
  <c r="J47" i="6"/>
  <c r="H48" i="7" s="1"/>
  <c r="J68" i="6"/>
  <c r="J14" i="6"/>
  <c r="J87" i="6"/>
  <c r="J93" i="6"/>
  <c r="J39" i="6"/>
  <c r="J70" i="6"/>
  <c r="J51" i="6"/>
  <c r="J35" i="6"/>
  <c r="J13" i="6"/>
  <c r="J45" i="6"/>
  <c r="J77" i="6"/>
  <c r="H46" i="6"/>
  <c r="H52" i="6"/>
  <c r="H20" i="6"/>
  <c r="H84" i="6"/>
  <c r="J65" i="6"/>
  <c r="H27" i="6"/>
  <c r="J56" i="6"/>
  <c r="H74" i="6"/>
  <c r="J20" i="6"/>
  <c r="H21" i="7" s="1"/>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H18" i="6"/>
  <c r="H82" i="6"/>
  <c r="H42" i="6"/>
  <c r="H13" i="6"/>
  <c r="H73" i="6"/>
  <c r="H83" i="6"/>
  <c r="H57" i="6"/>
  <c r="H50" i="6"/>
  <c r="H62" i="6"/>
  <c r="H88" i="6"/>
  <c r="H40" i="6"/>
  <c r="H93" i="6"/>
  <c r="H70" i="6"/>
  <c r="H29" i="6"/>
  <c r="H64" i="6"/>
  <c r="H65" i="6"/>
  <c r="J33" i="6"/>
  <c r="J61" i="6"/>
  <c r="J90" i="6"/>
  <c r="H81" i="6"/>
  <c r="H21" i="6"/>
  <c r="H92" i="6"/>
  <c r="H30" i="6"/>
  <c r="H31" i="6"/>
  <c r="J32" i="6"/>
  <c r="H47" i="6"/>
  <c r="H34" i="6"/>
  <c r="F35" i="7" s="1"/>
  <c r="C40" i="32" s="1"/>
  <c r="H41" i="6"/>
  <c r="H55" i="6"/>
  <c r="F66" i="6"/>
  <c r="F64" i="6"/>
  <c r="F81" i="6"/>
  <c r="F45" i="6"/>
  <c r="F70" i="6"/>
  <c r="D71" i="7" s="1"/>
  <c r="P76" i="31" s="1"/>
  <c r="F56" i="6"/>
  <c r="D57" i="7" s="1"/>
  <c r="P62" i="31" s="1"/>
  <c r="F74" i="6"/>
  <c r="F88" i="6"/>
  <c r="D89" i="7" s="1"/>
  <c r="C94" i="35" s="1"/>
  <c r="F47" i="6"/>
  <c r="D48" i="7" s="1"/>
  <c r="C53" i="35" s="1"/>
  <c r="F14" i="6"/>
  <c r="F71" i="6"/>
  <c r="F44" i="6"/>
  <c r="F16" i="6"/>
  <c r="F65" i="6"/>
  <c r="F42" i="6"/>
  <c r="F85" i="6"/>
  <c r="F52" i="6"/>
  <c r="F17" i="6"/>
  <c r="F80" i="6"/>
  <c r="D81" i="7" s="1"/>
  <c r="C86" i="31" s="1"/>
  <c r="F36" i="6"/>
  <c r="F40" i="6"/>
  <c r="F25" i="6"/>
  <c r="F76" i="6"/>
  <c r="E19" i="6"/>
  <c r="E56" i="6"/>
  <c r="C57" i="7" s="1"/>
  <c r="E24" i="6"/>
  <c r="E40" i="6"/>
  <c r="E49" i="6"/>
  <c r="E32" i="6"/>
  <c r="C33" i="7" s="1"/>
  <c r="E31" i="6"/>
  <c r="E71" i="6"/>
  <c r="E92" i="6"/>
  <c r="H69" i="6"/>
  <c r="J89" i="6"/>
  <c r="J48" i="6"/>
  <c r="J23" i="6"/>
  <c r="J81" i="6"/>
  <c r="J69" i="6"/>
  <c r="J36" i="6"/>
  <c r="O81" i="7"/>
  <c r="C86" i="37" s="1"/>
  <c r="O56" i="7"/>
  <c r="C61" i="37" s="1"/>
  <c r="I33" i="7"/>
  <c r="L89" i="7"/>
  <c r="L45" i="7"/>
  <c r="O43" i="7"/>
  <c r="P48" i="37" s="1"/>
  <c r="F70" i="28"/>
  <c r="F47" i="28"/>
  <c r="F49" i="28"/>
  <c r="F21" i="28"/>
  <c r="F58" i="28"/>
  <c r="F64" i="28"/>
  <c r="F38" i="28"/>
  <c r="F92" i="28"/>
  <c r="F81" i="28"/>
  <c r="F79" i="28"/>
  <c r="F66" i="28"/>
  <c r="F19" i="28"/>
  <c r="F40" i="28"/>
  <c r="F62" i="28"/>
  <c r="F14" i="28"/>
  <c r="F45" i="28"/>
  <c r="F73" i="28"/>
  <c r="F24" i="28"/>
  <c r="F16" i="28"/>
  <c r="W13" i="18"/>
  <c r="K7" i="18"/>
  <c r="W7" i="18"/>
  <c r="F60" i="28"/>
  <c r="K7" i="31"/>
  <c r="W7" i="31"/>
  <c r="K13" i="31"/>
  <c r="W13" i="31"/>
  <c r="K7" i="32"/>
  <c r="W7" i="32"/>
  <c r="K13" i="32"/>
  <c r="W13" i="32"/>
  <c r="K7" i="33"/>
  <c r="K13" i="33"/>
  <c r="E74" i="7"/>
  <c r="P79" i="35" s="1"/>
  <c r="E46" i="7"/>
  <c r="P51" i="35" s="1"/>
  <c r="E35" i="7"/>
  <c r="P40" i="35" s="1"/>
  <c r="E28" i="7"/>
  <c r="P33" i="35" s="1"/>
  <c r="O46" i="4"/>
  <c r="K7" i="34"/>
  <c r="W7" i="34"/>
  <c r="K13" i="34"/>
  <c r="W13" i="34"/>
  <c r="K7" i="35"/>
  <c r="K13" i="35"/>
  <c r="H73" i="7"/>
  <c r="C78" i="33" s="1"/>
  <c r="J48" i="7"/>
  <c r="O24" i="7"/>
  <c r="P29" i="37" s="1"/>
  <c r="O52" i="7"/>
  <c r="C57" i="37" s="1"/>
  <c r="G22" i="7"/>
  <c r="P27" i="34" s="1"/>
  <c r="O26" i="7"/>
  <c r="C31" i="37" s="1"/>
  <c r="D26" i="7"/>
  <c r="C31" i="31" s="1"/>
  <c r="L93" i="7"/>
  <c r="L77" i="7"/>
  <c r="H50" i="7"/>
  <c r="O89" i="7"/>
  <c r="P94" i="37" s="1"/>
  <c r="O79" i="7"/>
  <c r="C84" i="37" s="1"/>
  <c r="L37" i="7"/>
  <c r="G16" i="7"/>
  <c r="P21" i="34" s="1"/>
  <c r="J16" i="7"/>
  <c r="D16" i="7"/>
  <c r="C21" i="35" s="1"/>
  <c r="J17" i="7"/>
  <c r="O46" i="7"/>
  <c r="C51" i="37" s="1"/>
  <c r="O21" i="7"/>
  <c r="C26" i="37" s="1"/>
  <c r="F57" i="7"/>
  <c r="C62" i="32" s="1"/>
  <c r="G30" i="7"/>
  <c r="P35" i="34" s="1"/>
  <c r="H35" i="7"/>
  <c r="P40" i="33" s="1"/>
  <c r="G28" i="7"/>
  <c r="P33" i="34" s="1"/>
  <c r="O28" i="7"/>
  <c r="P33" i="37" s="1"/>
  <c r="F28" i="7"/>
  <c r="F65" i="7"/>
  <c r="P70" i="32" s="1"/>
  <c r="O74" i="7"/>
  <c r="O45" i="7"/>
  <c r="G92" i="7"/>
  <c r="P97" i="34" s="1"/>
  <c r="K92" i="7"/>
  <c r="O92" i="7"/>
  <c r="P97" i="37" s="1"/>
  <c r="L49" i="7"/>
  <c r="G54" i="7"/>
  <c r="P59" i="34" s="1"/>
  <c r="W13" i="35"/>
  <c r="W7" i="36"/>
  <c r="W13" i="36"/>
  <c r="W7" i="37"/>
  <c r="W13" i="37"/>
  <c r="K7" i="36"/>
  <c r="K13" i="36"/>
  <c r="C94" i="37"/>
  <c r="P61" i="37"/>
  <c r="P22" i="40"/>
  <c r="C22" i="40"/>
  <c r="P24" i="40"/>
  <c r="C24" i="40"/>
  <c r="P27" i="40"/>
  <c r="C27" i="40"/>
  <c r="P29" i="40"/>
  <c r="C29" i="40"/>
  <c r="P31" i="40"/>
  <c r="C31" i="40"/>
  <c r="P33" i="40"/>
  <c r="C33" i="40"/>
  <c r="P35" i="40"/>
  <c r="C35" i="40"/>
  <c r="P37" i="40"/>
  <c r="C37" i="40"/>
  <c r="P41" i="40"/>
  <c r="C41" i="40"/>
  <c r="P43" i="40"/>
  <c r="C43" i="40"/>
  <c r="P45" i="40"/>
  <c r="C45" i="40"/>
  <c r="P47" i="40"/>
  <c r="C47" i="40"/>
  <c r="P49" i="40"/>
  <c r="C49" i="40"/>
  <c r="P51" i="40"/>
  <c r="C51" i="40"/>
  <c r="P53" i="40"/>
  <c r="C53" i="40"/>
  <c r="P57" i="40"/>
  <c r="C57" i="40"/>
  <c r="P60" i="40"/>
  <c r="C60" i="40"/>
  <c r="P64" i="40"/>
  <c r="C64" i="40"/>
  <c r="P68" i="40"/>
  <c r="C68" i="40"/>
  <c r="P72" i="40"/>
  <c r="C72" i="40"/>
  <c r="P76" i="40"/>
  <c r="C76" i="40"/>
  <c r="P78" i="40"/>
  <c r="C78" i="40"/>
  <c r="P80" i="40"/>
  <c r="C80" i="40"/>
  <c r="P82" i="40"/>
  <c r="C82" i="40"/>
  <c r="P84" i="40"/>
  <c r="C84" i="40"/>
  <c r="P86" i="40"/>
  <c r="C86" i="40"/>
  <c r="P88" i="40"/>
  <c r="C88" i="40"/>
  <c r="P93" i="40"/>
  <c r="C93" i="40"/>
  <c r="P95" i="40"/>
  <c r="C95" i="40"/>
  <c r="P97" i="40"/>
  <c r="C97" i="40"/>
  <c r="P99" i="40"/>
  <c r="C99" i="40"/>
  <c r="P57" i="37"/>
  <c r="P19" i="40"/>
  <c r="C19" i="40"/>
  <c r="P21" i="40"/>
  <c r="C21" i="40"/>
  <c r="P25" i="40"/>
  <c r="C25" i="40"/>
  <c r="P28" i="40"/>
  <c r="C28" i="40"/>
  <c r="P30" i="40"/>
  <c r="C30" i="40"/>
  <c r="P32" i="40"/>
  <c r="C32" i="40"/>
  <c r="P34" i="40"/>
  <c r="C34" i="40"/>
  <c r="P36" i="40"/>
  <c r="C36" i="40"/>
  <c r="P38" i="40"/>
  <c r="C38" i="40"/>
  <c r="P40" i="40"/>
  <c r="C40" i="40"/>
  <c r="P44" i="40"/>
  <c r="C44" i="40"/>
  <c r="P46" i="40"/>
  <c r="C46" i="40"/>
  <c r="P48" i="40"/>
  <c r="C48" i="40"/>
  <c r="P50" i="40"/>
  <c r="C50" i="40"/>
  <c r="P52" i="40"/>
  <c r="C52" i="40"/>
  <c r="P54" i="40"/>
  <c r="C54" i="40"/>
  <c r="P56" i="40"/>
  <c r="C56" i="40"/>
  <c r="P59" i="40"/>
  <c r="C59" i="40"/>
  <c r="P61" i="40"/>
  <c r="C61" i="40"/>
  <c r="P63" i="40"/>
  <c r="C63" i="40"/>
  <c r="P65" i="40"/>
  <c r="C65" i="40"/>
  <c r="P67" i="40"/>
  <c r="C67" i="40"/>
  <c r="P69" i="40"/>
  <c r="C69" i="40"/>
  <c r="C71" i="40"/>
  <c r="P73" i="40"/>
  <c r="C73" i="40"/>
  <c r="P75" i="40"/>
  <c r="C75" i="40"/>
  <c r="P77" i="40"/>
  <c r="C77" i="40"/>
  <c r="P79" i="40"/>
  <c r="C79" i="40"/>
  <c r="P81" i="40"/>
  <c r="C81" i="40"/>
  <c r="P83" i="40"/>
  <c r="C83" i="40"/>
  <c r="P85" i="40"/>
  <c r="C85" i="40"/>
  <c r="C87" i="40"/>
  <c r="P89" i="40"/>
  <c r="C89" i="40"/>
  <c r="P91" i="40"/>
  <c r="C91" i="40"/>
  <c r="P92" i="40"/>
  <c r="C92" i="40"/>
  <c r="P94" i="40"/>
  <c r="C94" i="40"/>
  <c r="P96" i="40"/>
  <c r="C96" i="40"/>
  <c r="P98" i="40"/>
  <c r="C98" i="40"/>
  <c r="W6" i="37"/>
  <c r="D10" i="39"/>
  <c r="F12" i="39"/>
  <c r="R16" i="4"/>
  <c r="O17" i="4"/>
  <c r="K6" i="32" s="1"/>
  <c r="W8" i="34"/>
  <c r="O19" i="32"/>
  <c r="O19" i="40"/>
  <c r="W6" i="36"/>
  <c r="W8" i="35"/>
  <c r="R15" i="4"/>
  <c r="F10" i="39" s="1"/>
  <c r="K8" i="33"/>
  <c r="K8" i="37"/>
  <c r="K12" i="37" s="1"/>
  <c r="W8" i="37"/>
  <c r="W10" i="35"/>
  <c r="K12" i="34"/>
  <c r="K9" i="34"/>
  <c r="K12" i="35"/>
  <c r="K9" i="37"/>
  <c r="K10" i="37"/>
  <c r="W10" i="37"/>
  <c r="W12" i="37"/>
  <c r="W9" i="37"/>
  <c r="C42" i="32" l="1"/>
  <c r="B19" i="31"/>
  <c r="B19" i="37"/>
  <c r="P51" i="37"/>
  <c r="C97" i="37"/>
  <c r="P79" i="37"/>
  <c r="C79" i="37"/>
  <c r="W6" i="18"/>
  <c r="B19" i="36"/>
  <c r="B19" i="33"/>
  <c r="C40" i="33"/>
  <c r="O19" i="33"/>
  <c r="B19" i="35"/>
  <c r="F36" i="28"/>
  <c r="F55" i="28"/>
  <c r="F15" i="28"/>
  <c r="F29" i="28"/>
  <c r="F41" i="28"/>
  <c r="F31" i="28"/>
  <c r="F65" i="28"/>
  <c r="F22" i="28"/>
  <c r="F27" i="28"/>
  <c r="B19" i="32"/>
  <c r="AH24" i="5"/>
  <c r="G56" i="7"/>
  <c r="P61" i="34" s="1"/>
  <c r="I56" i="7"/>
  <c r="K73" i="7"/>
  <c r="O73" i="7"/>
  <c r="E79" i="7"/>
  <c r="P84" i="35" s="1"/>
  <c r="L79" i="7"/>
  <c r="K65" i="7"/>
  <c r="O65" i="7"/>
  <c r="P70" i="37" s="1"/>
  <c r="I75" i="7"/>
  <c r="H75" i="7"/>
  <c r="C75" i="7"/>
  <c r="C80" i="18" s="1"/>
  <c r="L33" i="7"/>
  <c r="F33" i="7"/>
  <c r="C38" i="34" s="1"/>
  <c r="H74" i="7"/>
  <c r="P79" i="33" s="1"/>
  <c r="G74" i="7"/>
  <c r="P79" i="34" s="1"/>
  <c r="L74" i="7"/>
  <c r="F48" i="7"/>
  <c r="O48" i="7"/>
  <c r="C53" i="37" s="1"/>
  <c r="G48" i="7"/>
  <c r="P53" i="34" s="1"/>
  <c r="G62" i="7"/>
  <c r="P67" i="34" s="1"/>
  <c r="E62" i="7"/>
  <c r="P67" i="35" s="1"/>
  <c r="O62" i="7"/>
  <c r="C67" i="37" s="1"/>
  <c r="I57" i="7"/>
  <c r="G57" i="7"/>
  <c r="P62" i="34" s="1"/>
  <c r="L57" i="7"/>
  <c r="H30" i="7"/>
  <c r="P35" i="33" s="1"/>
  <c r="F30" i="7"/>
  <c r="P35" i="32" s="1"/>
  <c r="E30" i="7"/>
  <c r="P35" i="35" s="1"/>
  <c r="C30" i="7"/>
  <c r="P35" i="18" s="1"/>
  <c r="I30" i="7"/>
  <c r="O54" i="7"/>
  <c r="C59" i="37" s="1"/>
  <c r="E54" i="7"/>
  <c r="P59" i="35" s="1"/>
  <c r="C97" i="35"/>
  <c r="P97" i="31"/>
  <c r="P20" i="40"/>
  <c r="C20" i="40"/>
  <c r="P62" i="40"/>
  <c r="C62" i="40"/>
  <c r="S29" i="8"/>
  <c r="S45" i="8"/>
  <c r="S61" i="8"/>
  <c r="N67" i="8"/>
  <c r="S77" i="8"/>
  <c r="S93" i="8"/>
  <c r="S35" i="8"/>
  <c r="C42" i="40"/>
  <c r="C90" i="40"/>
  <c r="C29" i="7"/>
  <c r="C34" i="18" s="1"/>
  <c r="F29" i="7"/>
  <c r="P34" i="32" s="1"/>
  <c r="I29" i="7"/>
  <c r="G72" i="7"/>
  <c r="P77" i="34" s="1"/>
  <c r="L72" i="7"/>
  <c r="F83" i="7"/>
  <c r="C88" i="34" s="1"/>
  <c r="C83" i="7"/>
  <c r="P88" i="18" s="1"/>
  <c r="E78" i="7"/>
  <c r="P83" i="35" s="1"/>
  <c r="D78" i="7"/>
  <c r="C83" i="35" s="1"/>
  <c r="F12" i="28"/>
  <c r="F74" i="28"/>
  <c r="F28" i="28"/>
  <c r="F50" i="28"/>
  <c r="F69" i="28"/>
  <c r="F33" i="28"/>
  <c r="F37" i="28"/>
  <c r="F88" i="28"/>
  <c r="F80" i="28"/>
  <c r="F54" i="28"/>
  <c r="F90" i="28"/>
  <c r="F42" i="28"/>
  <c r="F51" i="28"/>
  <c r="F77" i="28"/>
  <c r="F30" i="28"/>
  <c r="F25" i="28"/>
  <c r="F82" i="28"/>
  <c r="F35" i="28"/>
  <c r="F56" i="28"/>
  <c r="F57" i="28"/>
  <c r="F61" i="28"/>
  <c r="F13" i="28"/>
  <c r="F48" i="28"/>
  <c r="F18" i="28"/>
  <c r="F68" i="28"/>
  <c r="F44" i="28"/>
  <c r="F34" i="28"/>
  <c r="F85" i="28"/>
  <c r="F86" i="28"/>
  <c r="F53" i="28"/>
  <c r="F32" i="28"/>
  <c r="F78" i="28"/>
  <c r="F89" i="28"/>
  <c r="F39" i="28"/>
  <c r="F67" i="28"/>
  <c r="F20" i="28"/>
  <c r="F63" i="28"/>
  <c r="F72" i="28"/>
  <c r="F23" i="28"/>
  <c r="F46" i="28"/>
  <c r="F91" i="28"/>
  <c r="F17" i="28"/>
  <c r="G82" i="7"/>
  <c r="P87" i="34" s="1"/>
  <c r="K82" i="7"/>
  <c r="H58" i="7"/>
  <c r="P63" i="33" s="1"/>
  <c r="P66" i="40"/>
  <c r="C66" i="40"/>
  <c r="B15" i="7"/>
  <c r="B20" i="37" s="1"/>
  <c r="O19" i="35"/>
  <c r="O19" i="37"/>
  <c r="O19" i="31"/>
  <c r="O19" i="34"/>
  <c r="C58" i="40"/>
  <c r="C26" i="40"/>
  <c r="C23" i="40"/>
  <c r="C74" i="40"/>
  <c r="C55" i="40"/>
  <c r="C39" i="40"/>
  <c r="AH15" i="5"/>
  <c r="I47" i="7"/>
  <c r="K47" i="7"/>
  <c r="B19" i="40"/>
  <c r="B19" i="18"/>
  <c r="B19" i="34"/>
  <c r="F59" i="28"/>
  <c r="F83" i="28"/>
  <c r="F26" i="28"/>
  <c r="F52" i="28"/>
  <c r="F76" i="28"/>
  <c r="F87" i="28"/>
  <c r="F84" i="28"/>
  <c r="F43" i="28"/>
  <c r="F71" i="28"/>
  <c r="C47" i="7"/>
  <c r="P52" i="18" s="1"/>
  <c r="O19" i="18"/>
  <c r="AH16" i="5"/>
  <c r="AH19" i="5"/>
  <c r="R81" i="8"/>
  <c r="E82" i="33" s="1"/>
  <c r="L65" i="7"/>
  <c r="E59" i="7"/>
  <c r="P64" i="35" s="1"/>
  <c r="L56" i="7"/>
  <c r="L54" i="7"/>
  <c r="L48" i="7"/>
  <c r="K33" i="7"/>
  <c r="P70" i="40"/>
  <c r="C70" i="40"/>
  <c r="S21" i="8"/>
  <c r="S37" i="8"/>
  <c r="S53" i="8"/>
  <c r="S69" i="8"/>
  <c r="S85" i="8"/>
  <c r="E24" i="7"/>
  <c r="P29" i="35" s="1"/>
  <c r="E48" i="7"/>
  <c r="P53" i="35" s="1"/>
  <c r="S18" i="8"/>
  <c r="S26" i="8"/>
  <c r="S34" i="8"/>
  <c r="S42" i="8"/>
  <c r="S50" i="8"/>
  <c r="S58" i="8"/>
  <c r="S66" i="8"/>
  <c r="S74" i="8"/>
  <c r="S82" i="8"/>
  <c r="I25" i="7"/>
  <c r="L24" i="7"/>
  <c r="L86" i="7"/>
  <c r="I27" i="7"/>
  <c r="F40" i="7"/>
  <c r="C45" i="32" s="1"/>
  <c r="I50" i="7"/>
  <c r="F80" i="7"/>
  <c r="C85" i="34" s="1"/>
  <c r="G81" i="7"/>
  <c r="P86" i="34" s="1"/>
  <c r="S24" i="8"/>
  <c r="S32" i="8"/>
  <c r="S40" i="8"/>
  <c r="S48" i="8"/>
  <c r="S56" i="8"/>
  <c r="S64" i="8"/>
  <c r="S72" i="8"/>
  <c r="S80" i="8"/>
  <c r="S92" i="8"/>
  <c r="H56" i="7"/>
  <c r="P61" i="33" s="1"/>
  <c r="C74" i="7"/>
  <c r="P79" i="18" s="1"/>
  <c r="C62" i="7"/>
  <c r="P67" i="18" s="1"/>
  <c r="C43" i="7"/>
  <c r="C48" i="18" s="1"/>
  <c r="J65" i="7"/>
  <c r="C46" i="7"/>
  <c r="C51" i="18" s="1"/>
  <c r="F36" i="7"/>
  <c r="P41" i="32" s="1"/>
  <c r="H96" i="8"/>
  <c r="H20" i="8"/>
  <c r="L81" i="7"/>
  <c r="S90" i="8"/>
  <c r="S98" i="8"/>
  <c r="G89" i="7"/>
  <c r="P94" i="34" s="1"/>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C26" i="7"/>
  <c r="P31" i="18" s="1"/>
  <c r="D29" i="7"/>
  <c r="C34" i="35" s="1"/>
  <c r="J24" i="7"/>
  <c r="J83" i="7"/>
  <c r="J23" i="7"/>
  <c r="I23" i="7"/>
  <c r="C24" i="7"/>
  <c r="P29" i="18" s="1"/>
  <c r="C21" i="7"/>
  <c r="C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C77" i="33" s="1"/>
  <c r="K23" i="7"/>
  <c r="D39" i="7"/>
  <c r="C44" i="31" s="1"/>
  <c r="O71" i="7"/>
  <c r="P76" i="37" s="1"/>
  <c r="H26" i="7"/>
  <c r="P31" i="33" s="1"/>
  <c r="C68" i="7"/>
  <c r="P73" i="18" s="1"/>
  <c r="O47" i="7"/>
  <c r="O40" i="7"/>
  <c r="P45" i="37" s="1"/>
  <c r="O78" i="7"/>
  <c r="I63" i="7"/>
  <c r="J63" i="7"/>
  <c r="D63" i="7"/>
  <c r="C68" i="35" s="1"/>
  <c r="C73" i="7"/>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67" i="37"/>
  <c r="C86" i="33"/>
  <c r="P86" i="33"/>
  <c r="H85" i="7"/>
  <c r="P90" i="33" s="1"/>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P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C55" i="35" s="1"/>
  <c r="D30" i="7"/>
  <c r="P35" i="31" s="1"/>
  <c r="J40" i="7"/>
  <c r="E63" i="7"/>
  <c r="P68" i="35" s="1"/>
  <c r="O63" i="7"/>
  <c r="P68" i="37" s="1"/>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79" i="7"/>
  <c r="C84" i="18" s="1"/>
  <c r="J36" i="7"/>
  <c r="I21" i="7"/>
  <c r="I74" i="7"/>
  <c r="I68" i="7"/>
  <c r="D52" i="7"/>
  <c r="C57" i="31" s="1"/>
  <c r="D47" i="7"/>
  <c r="P52" i="31" s="1"/>
  <c r="D33" i="7"/>
  <c r="C38" i="31"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96" i="31"/>
  <c r="E32" i="36"/>
  <c r="R98" i="8"/>
  <c r="E99" i="37" s="1"/>
  <c r="R26" i="8"/>
  <c r="E27" i="34" s="1"/>
  <c r="H30" i="8"/>
  <c r="R37" i="8"/>
  <c r="E38" i="40" s="1"/>
  <c r="Q82" i="36"/>
  <c r="R82" i="36" s="1"/>
  <c r="R97" i="8"/>
  <c r="R19" i="8"/>
  <c r="E20" i="31" s="1"/>
  <c r="H23" i="8"/>
  <c r="R68" i="8"/>
  <c r="E69" i="36" s="1"/>
  <c r="R83" i="8"/>
  <c r="E84" i="31" s="1"/>
  <c r="H91" i="8"/>
  <c r="R18" i="8"/>
  <c r="E19" i="35" s="1"/>
  <c r="H39" i="8"/>
  <c r="H41" i="8"/>
  <c r="R51" i="8"/>
  <c r="E52" i="37" s="1"/>
  <c r="H56" i="8"/>
  <c r="R63" i="8"/>
  <c r="E64" i="36" s="1"/>
  <c r="R65" i="8"/>
  <c r="Q66" i="32" s="1"/>
  <c r="R67" i="8"/>
  <c r="E68" i="34" s="1"/>
  <c r="H69" i="8"/>
  <c r="R71" i="8"/>
  <c r="Q72" i="33" s="1"/>
  <c r="H73" i="8"/>
  <c r="R75" i="8"/>
  <c r="E76" i="18" s="1"/>
  <c r="H79" i="8"/>
  <c r="H82" i="8"/>
  <c r="H84" i="8"/>
  <c r="H86" i="8"/>
  <c r="H90" i="8"/>
  <c r="H92" i="8"/>
  <c r="Q84" i="40"/>
  <c r="Q20" i="32"/>
  <c r="E82" i="40"/>
  <c r="F82" i="40" s="1"/>
  <c r="R23" i="8"/>
  <c r="E24" i="18" s="1"/>
  <c r="Q82" i="18"/>
  <c r="Q52" i="33"/>
  <c r="R69" i="8"/>
  <c r="E70" i="33" s="1"/>
  <c r="Q96" i="32"/>
  <c r="Q96" i="31"/>
  <c r="R73" i="8"/>
  <c r="R55" i="8"/>
  <c r="H55" i="8"/>
  <c r="R59" i="8"/>
  <c r="Q60" i="40" s="1"/>
  <c r="H59" i="8"/>
  <c r="E82" i="36"/>
  <c r="E82" i="18"/>
  <c r="Q82" i="33"/>
  <c r="E82" i="34"/>
  <c r="Q82" i="37"/>
  <c r="Q82" i="32"/>
  <c r="Q20" i="31"/>
  <c r="E82" i="32"/>
  <c r="H77" i="8"/>
  <c r="R77" i="8"/>
  <c r="R93" i="8"/>
  <c r="Q94" i="35" s="1"/>
  <c r="H93" i="8"/>
  <c r="Q82" i="34"/>
  <c r="E82" i="37"/>
  <c r="R39" i="8"/>
  <c r="H98" i="8"/>
  <c r="H22" i="8"/>
  <c r="R29" i="8"/>
  <c r="E30" i="36" s="1"/>
  <c r="H43" i="8"/>
  <c r="H47" i="8"/>
  <c r="H54" i="8"/>
  <c r="R61" i="8"/>
  <c r="H65" i="8"/>
  <c r="H68" i="8"/>
  <c r="H72" i="8"/>
  <c r="R87" i="8"/>
  <c r="E88" i="31" s="1"/>
  <c r="R91" i="8"/>
  <c r="Q92" i="40" s="1"/>
  <c r="E36" i="18"/>
  <c r="E36" i="34"/>
  <c r="E36" i="36"/>
  <c r="E36" i="35"/>
  <c r="Q36" i="35"/>
  <c r="E36" i="40"/>
  <c r="F36" i="40" s="1"/>
  <c r="Q36" i="34"/>
  <c r="E36" i="37"/>
  <c r="E36" i="32"/>
  <c r="Q36" i="37"/>
  <c r="Q36" i="18"/>
  <c r="E76" i="31"/>
  <c r="E58" i="31"/>
  <c r="E35" i="18"/>
  <c r="E35" i="34"/>
  <c r="E35" i="33"/>
  <c r="E35" i="32"/>
  <c r="R85" i="8"/>
  <c r="H85" i="8"/>
  <c r="E35" i="40"/>
  <c r="F35" i="40" s="1"/>
  <c r="Q96" i="40"/>
  <c r="Q96" i="34"/>
  <c r="E96" i="36"/>
  <c r="R89" i="8"/>
  <c r="R27" i="8"/>
  <c r="R53" i="8"/>
  <c r="H53" i="8"/>
  <c r="E83" i="32"/>
  <c r="Q96" i="33"/>
  <c r="Q96" i="37"/>
  <c r="E96" i="34"/>
  <c r="E68" i="36"/>
  <c r="Q82" i="40"/>
  <c r="E82" i="35"/>
  <c r="E82" i="31"/>
  <c r="Q82" i="35"/>
  <c r="Q82" i="31"/>
  <c r="E34" i="40"/>
  <c r="F34" i="40" s="1"/>
  <c r="Q92" i="34"/>
  <c r="H87" i="8"/>
  <c r="I88" i="7"/>
  <c r="P79" i="32"/>
  <c r="C79" i="34"/>
  <c r="C79" i="32"/>
  <c r="C83" i="34"/>
  <c r="P83" i="32"/>
  <c r="C67" i="32"/>
  <c r="P67" i="32"/>
  <c r="C67" i="34"/>
  <c r="C62" i="34"/>
  <c r="P62" i="32"/>
  <c r="C42" i="34"/>
  <c r="F46" i="7"/>
  <c r="E16" i="7"/>
  <c r="P21" i="35" s="1"/>
  <c r="E56" i="7"/>
  <c r="P61" i="35" s="1"/>
  <c r="O62" i="6"/>
  <c r="M63" i="7" s="1"/>
  <c r="O74" i="6"/>
  <c r="M75" i="7" s="1"/>
  <c r="O23" i="6"/>
  <c r="M24" i="7" s="1"/>
  <c r="J26" i="7"/>
  <c r="P82" i="33"/>
  <c r="C82" i="33"/>
  <c r="F82" i="33" s="1"/>
  <c r="O89" i="6"/>
  <c r="M90" i="7" s="1"/>
  <c r="O76" i="6"/>
  <c r="M77" i="7" s="1"/>
  <c r="P78" i="33"/>
  <c r="O82" i="6"/>
  <c r="M83" i="7" s="1"/>
  <c r="O30" i="6"/>
  <c r="M31" i="7" s="1"/>
  <c r="O24" i="6"/>
  <c r="M25" i="7" s="1"/>
  <c r="H15" i="7"/>
  <c r="C20" i="33" s="1"/>
  <c r="O83" i="6"/>
  <c r="P83" i="6" s="1"/>
  <c r="O42" i="6"/>
  <c r="M43" i="7" s="1"/>
  <c r="O72" i="6"/>
  <c r="M73" i="7" s="1"/>
  <c r="D49" i="7"/>
  <c r="P54" i="31" s="1"/>
  <c r="P21" i="6"/>
  <c r="C52" i="31"/>
  <c r="C88" i="31"/>
  <c r="P88" i="31"/>
  <c r="C88" i="35"/>
  <c r="D65" i="7"/>
  <c r="C70" i="31" s="1"/>
  <c r="O88" i="6"/>
  <c r="M89" i="7" s="1"/>
  <c r="O50" i="6"/>
  <c r="P50" i="6" s="1"/>
  <c r="O20" i="6"/>
  <c r="M21" i="7" s="1"/>
  <c r="O14" i="6"/>
  <c r="M15" i="7" s="1"/>
  <c r="C97" i="31"/>
  <c r="O64" i="6"/>
  <c r="M65" i="7" s="1"/>
  <c r="O31" i="6"/>
  <c r="M32" i="7" s="1"/>
  <c r="O49" i="6"/>
  <c r="M50" i="7" s="1"/>
  <c r="P38" i="18"/>
  <c r="C62" i="18"/>
  <c r="P62" i="18"/>
  <c r="P78" i="18"/>
  <c r="C78" i="18"/>
  <c r="C67"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C73" i="18"/>
  <c r="O37" i="6"/>
  <c r="M38" i="7" s="1"/>
  <c r="O29" i="6"/>
  <c r="P29" i="6" s="1"/>
  <c r="O15" i="6"/>
  <c r="M16" i="7" s="1"/>
  <c r="O41" i="6"/>
  <c r="M42" i="7" s="1"/>
  <c r="O65" i="6"/>
  <c r="M66" i="7" s="1"/>
  <c r="O71" i="6"/>
  <c r="P71" i="6" s="1"/>
  <c r="O68" i="6"/>
  <c r="P68" i="6" s="1"/>
  <c r="O45" i="6"/>
  <c r="M46" i="7" s="1"/>
  <c r="O28" i="6"/>
  <c r="O75" i="6"/>
  <c r="P75" i="6" s="1"/>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O63" i="6"/>
  <c r="M64" i="7" s="1"/>
  <c r="P72" i="6"/>
  <c r="P26" i="37"/>
  <c r="C22" i="33"/>
  <c r="P22" i="18"/>
  <c r="C59" i="18"/>
  <c r="P59" i="18"/>
  <c r="P65" i="33"/>
  <c r="C65" i="33"/>
  <c r="C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C82" i="31"/>
  <c r="G94" i="7"/>
  <c r="P99" i="34" s="1"/>
  <c r="O90" i="7"/>
  <c r="C31" i="7"/>
  <c r="G25" i="7"/>
  <c r="P30" i="34" s="1"/>
  <c r="C66" i="7"/>
  <c r="J61" i="7"/>
  <c r="O38" i="7"/>
  <c r="C38" i="7"/>
  <c r="O36" i="7"/>
  <c r="P41" i="37" s="1"/>
  <c r="P83" i="18"/>
  <c r="C83" i="18"/>
  <c r="C53" i="33"/>
  <c r="P53" i="33"/>
  <c r="I64" i="7"/>
  <c r="J67" i="7"/>
  <c r="I14" i="7"/>
  <c r="P59" i="37"/>
  <c r="F41" i="7"/>
  <c r="J41" i="7"/>
  <c r="P31" i="37"/>
  <c r="K18" i="7"/>
  <c r="I86" i="7"/>
  <c r="L90" i="7"/>
  <c r="C81" i="33"/>
  <c r="J31" i="7"/>
  <c r="H55" i="7"/>
  <c r="C60" i="33" s="1"/>
  <c r="G70" i="7"/>
  <c r="P75" i="34" s="1"/>
  <c r="G53" i="7"/>
  <c r="P58" i="34" s="1"/>
  <c r="C70" i="37"/>
  <c r="K20" i="7"/>
  <c r="J44" i="7"/>
  <c r="C40" i="34"/>
  <c r="P40" i="32"/>
  <c r="O61" i="7"/>
  <c r="L19" i="7"/>
  <c r="D41" i="7"/>
  <c r="O91" i="7"/>
  <c r="F22" i="7"/>
  <c r="P53" i="18"/>
  <c r="C53" i="18"/>
  <c r="L67" i="7"/>
  <c r="E66" i="7"/>
  <c r="P71" i="35" s="1"/>
  <c r="O15" i="7"/>
  <c r="P20" i="37" s="1"/>
  <c r="M22" i="7"/>
  <c r="F64" i="7"/>
  <c r="O80" i="7"/>
  <c r="C26" i="33"/>
  <c r="P26" i="33"/>
  <c r="P50" i="33"/>
  <c r="C50" i="33"/>
  <c r="C78" i="31"/>
  <c r="C86" i="34"/>
  <c r="P86" i="32"/>
  <c r="C86" i="32"/>
  <c r="C62" i="35"/>
  <c r="C62" i="31"/>
  <c r="H14" i="7"/>
  <c r="C51" i="7"/>
  <c r="J86" i="7"/>
  <c r="I20" i="7"/>
  <c r="M37"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3" i="37"/>
  <c r="C29" i="37"/>
  <c r="C33" i="32"/>
  <c r="C29" i="34"/>
  <c r="B20" i="35"/>
  <c r="O20" i="34"/>
  <c r="P84" i="31"/>
  <c r="C84" i="35"/>
  <c r="C21" i="31"/>
  <c r="P21" i="31"/>
  <c r="C55" i="33"/>
  <c r="P55" i="33"/>
  <c r="C80" i="33"/>
  <c r="P80" i="33"/>
  <c r="C9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P53" i="31"/>
  <c r="C53" i="31"/>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C63" i="37" s="1"/>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H41" i="7"/>
  <c r="C90" i="7"/>
  <c r="F27" i="7"/>
  <c r="J27" i="7"/>
  <c r="H27" i="7"/>
  <c r="C27" i="7"/>
  <c r="K71" i="7"/>
  <c r="F71" i="7"/>
  <c r="P76" i="32" s="1"/>
  <c r="G69" i="7"/>
  <c r="P74" i="34" s="1"/>
  <c r="J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W8" i="36"/>
  <c r="K8" i="36"/>
  <c r="W6" i="35"/>
  <c r="H10" i="39"/>
  <c r="R17" i="4"/>
  <c r="W8" i="18"/>
  <c r="K8" i="18"/>
  <c r="W9" i="34"/>
  <c r="W12" i="34"/>
  <c r="W10" i="34"/>
  <c r="K10" i="31"/>
  <c r="K12" i="31"/>
  <c r="K9" i="31"/>
  <c r="W12" i="33"/>
  <c r="W10" i="33"/>
  <c r="D12" i="39"/>
  <c r="W6" i="34"/>
  <c r="K9" i="18"/>
  <c r="C31" i="35"/>
  <c r="C29" i="32"/>
  <c r="P93" i="32"/>
  <c r="P33" i="31"/>
  <c r="P86" i="31"/>
  <c r="C83" i="32"/>
  <c r="P76" i="33"/>
  <c r="P44" i="33"/>
  <c r="C86" i="35"/>
  <c r="C97" i="18"/>
  <c r="C38" i="18"/>
  <c r="C33" i="31"/>
  <c r="C93" i="34"/>
  <c r="C68" i="18"/>
  <c r="P82" i="18"/>
  <c r="P31" i="31"/>
  <c r="C94" i="31"/>
  <c r="P78" i="31"/>
  <c r="P94" i="31"/>
  <c r="C90" i="34"/>
  <c r="P41" i="31"/>
  <c r="C41" i="35"/>
  <c r="P55" i="31" l="1"/>
  <c r="P23" i="6"/>
  <c r="M69" i="7"/>
  <c r="C88" i="18"/>
  <c r="C59" i="33"/>
  <c r="C52" i="35"/>
  <c r="C64" i="33"/>
  <c r="C63" i="33"/>
  <c r="P88" i="33"/>
  <c r="C63" i="32"/>
  <c r="P90" i="32"/>
  <c r="P77" i="33"/>
  <c r="C83" i="31"/>
  <c r="F83" i="31" s="1"/>
  <c r="G83" i="31" s="1"/>
  <c r="C82" i="35"/>
  <c r="P80" i="32"/>
  <c r="C80" i="34"/>
  <c r="P82" i="6"/>
  <c r="C79" i="33"/>
  <c r="P51" i="33"/>
  <c r="P83" i="31"/>
  <c r="M76" i="7"/>
  <c r="C76" i="18"/>
  <c r="F76" i="18" s="1"/>
  <c r="C42" i="31"/>
  <c r="P42" i="18"/>
  <c r="C44" i="18"/>
  <c r="C41" i="32"/>
  <c r="C34" i="31"/>
  <c r="C39" i="32"/>
  <c r="C41" i="34"/>
  <c r="P42" i="31"/>
  <c r="O20" i="32"/>
  <c r="O20" i="18"/>
  <c r="B20" i="36"/>
  <c r="O20" i="36"/>
  <c r="O20" i="37"/>
  <c r="B20" i="40"/>
  <c r="P31" i="32"/>
  <c r="P26" i="18"/>
  <c r="C31" i="34"/>
  <c r="C31" i="33"/>
  <c r="O20" i="40"/>
  <c r="O20" i="35"/>
  <c r="B20" i="31"/>
  <c r="B20" i="32"/>
  <c r="B20" i="34"/>
  <c r="B20" i="18"/>
  <c r="P22" i="37"/>
  <c r="P28" i="18"/>
  <c r="P21" i="37"/>
  <c r="C45" i="34"/>
  <c r="P63" i="32"/>
  <c r="P54" i="18"/>
  <c r="C52" i="18"/>
  <c r="F52" i="18" s="1"/>
  <c r="P54" i="37"/>
  <c r="C61" i="33"/>
  <c r="F61" i="33" s="1"/>
  <c r="H61" i="33" s="1"/>
  <c r="P41" i="33"/>
  <c r="P34" i="18"/>
  <c r="C68" i="37"/>
  <c r="P48" i="18"/>
  <c r="P53" i="37"/>
  <c r="C35" i="33"/>
  <c r="F35" i="33" s="1"/>
  <c r="H35" i="33" s="1"/>
  <c r="C50" i="32"/>
  <c r="C50" i="34"/>
  <c r="C89" i="33"/>
  <c r="C39" i="35"/>
  <c r="P47" i="33"/>
  <c r="C45" i="33"/>
  <c r="P52" i="32"/>
  <c r="F88" i="31"/>
  <c r="G88" i="31" s="1"/>
  <c r="P68" i="32"/>
  <c r="C58" i="33"/>
  <c r="P80" i="18"/>
  <c r="P45" i="32"/>
  <c r="P77" i="37"/>
  <c r="C28" i="32"/>
  <c r="P28" i="32"/>
  <c r="P32" i="37"/>
  <c r="C35" i="31"/>
  <c r="F35" i="31" s="1"/>
  <c r="G35" i="31" s="1"/>
  <c r="C45" i="31"/>
  <c r="C38" i="35"/>
  <c r="P38" i="31"/>
  <c r="C48" i="33"/>
  <c r="P34" i="33"/>
  <c r="P45" i="31"/>
  <c r="C35" i="35"/>
  <c r="F35" i="35" s="1"/>
  <c r="P38" i="32"/>
  <c r="C34" i="34"/>
  <c r="F34" i="34" s="1"/>
  <c r="H34" i="34" s="1"/>
  <c r="C32" i="35"/>
  <c r="C34" i="32"/>
  <c r="C35" i="18"/>
  <c r="F35" i="18" s="1"/>
  <c r="C32" i="31"/>
  <c r="P21" i="18"/>
  <c r="C19" i="32"/>
  <c r="Q76" i="18"/>
  <c r="R76" i="18" s="1"/>
  <c r="Q20" i="40"/>
  <c r="Q76" i="33"/>
  <c r="E52" i="33"/>
  <c r="F52" i="33" s="1"/>
  <c r="E52" i="34"/>
  <c r="Q52" i="37"/>
  <c r="C53" i="34"/>
  <c r="C53" i="32"/>
  <c r="P53" i="32"/>
  <c r="P85" i="32"/>
  <c r="P77" i="18"/>
  <c r="E99" i="36"/>
  <c r="C79" i="18"/>
  <c r="C38" i="32"/>
  <c r="R82" i="31"/>
  <c r="Q58" i="35"/>
  <c r="E83" i="40"/>
  <c r="F83" i="40" s="1"/>
  <c r="Q34" i="40"/>
  <c r="B20" i="33"/>
  <c r="O20" i="31"/>
  <c r="O20" i="33"/>
  <c r="B16" i="7"/>
  <c r="P78" i="37"/>
  <c r="C78" i="37"/>
  <c r="C88" i="32"/>
  <c r="C31" i="18"/>
  <c r="Q83" i="33"/>
  <c r="C85" i="32"/>
  <c r="P55" i="18"/>
  <c r="P88" i="32"/>
  <c r="C28" i="33"/>
  <c r="P76" i="6"/>
  <c r="Q58" i="37"/>
  <c r="C35" i="32"/>
  <c r="F35" i="32" s="1"/>
  <c r="C35" i="34"/>
  <c r="F35" i="34" s="1"/>
  <c r="C30" i="32"/>
  <c r="P51" i="18"/>
  <c r="C48" i="35"/>
  <c r="P24" i="6"/>
  <c r="E83" i="37"/>
  <c r="P22" i="31"/>
  <c r="M94" i="7"/>
  <c r="E83" i="31"/>
  <c r="P73" i="33"/>
  <c r="C73" i="33"/>
  <c r="P68" i="31"/>
  <c r="F82" i="34"/>
  <c r="H82" i="34" s="1"/>
  <c r="C52" i="34"/>
  <c r="F52" i="34" s="1"/>
  <c r="H52" i="34" s="1"/>
  <c r="C52" i="37"/>
  <c r="P52" i="37"/>
  <c r="R52" i="37" s="1"/>
  <c r="C69" i="18"/>
  <c r="C68" i="31"/>
  <c r="F68" i="31" s="1"/>
  <c r="G68" i="31" s="1"/>
  <c r="P44" i="31"/>
  <c r="P96" i="32"/>
  <c r="P34" i="31"/>
  <c r="C61" i="34"/>
  <c r="C43" i="32"/>
  <c r="C61" i="31"/>
  <c r="C92" i="33"/>
  <c r="C56" i="34"/>
  <c r="C90" i="37"/>
  <c r="C56" i="32"/>
  <c r="P52" i="33"/>
  <c r="R52" i="33" s="1"/>
  <c r="T52" i="33" s="1"/>
  <c r="P42" i="33"/>
  <c r="C68" i="34"/>
  <c r="F68" i="34" s="1"/>
  <c r="P57" i="31"/>
  <c r="P44" i="37"/>
  <c r="P20" i="33"/>
  <c r="P59" i="31"/>
  <c r="C44" i="35"/>
  <c r="C92" i="34"/>
  <c r="C82" i="32"/>
  <c r="F82" i="32" s="1"/>
  <c r="C39" i="31"/>
  <c r="C29" i="18"/>
  <c r="C37" i="33"/>
  <c r="C77" i="31"/>
  <c r="C55" i="32"/>
  <c r="C83" i="37"/>
  <c r="P83" i="37"/>
  <c r="C28" i="31"/>
  <c r="C28" i="35"/>
  <c r="R82" i="37"/>
  <c r="T82" i="37" s="1"/>
  <c r="P98" i="32"/>
  <c r="P49" i="33"/>
  <c r="C45" i="37"/>
  <c r="C76" i="37"/>
  <c r="Q35" i="33"/>
  <c r="R35" i="33" s="1"/>
  <c r="T35" i="33" s="1"/>
  <c r="E35" i="37"/>
  <c r="E69" i="34"/>
  <c r="E34" i="34"/>
  <c r="Q58" i="40"/>
  <c r="R58" i="40" s="1"/>
  <c r="Q96" i="35"/>
  <c r="E96" i="33"/>
  <c r="E96" i="32"/>
  <c r="E58" i="34"/>
  <c r="E68" i="18"/>
  <c r="Q35" i="40"/>
  <c r="R35" i="40" s="1"/>
  <c r="Q58" i="34"/>
  <c r="E76" i="36"/>
  <c r="E72" i="18"/>
  <c r="E52" i="32"/>
  <c r="F52" i="32" s="1"/>
  <c r="E20" i="40"/>
  <c r="F20" i="40" s="1"/>
  <c r="R96" i="18"/>
  <c r="S96" i="18" s="1"/>
  <c r="Q35" i="18"/>
  <c r="R35" i="18" s="1"/>
  <c r="Q35" i="35"/>
  <c r="R35" i="35" s="1"/>
  <c r="E68" i="31"/>
  <c r="E35" i="35"/>
  <c r="Q96" i="36"/>
  <c r="R96" i="36" s="1"/>
  <c r="Q35" i="31"/>
  <c r="R35" i="31" s="1"/>
  <c r="Q96" i="18"/>
  <c r="E96" i="40"/>
  <c r="F96" i="40" s="1"/>
  <c r="E35" i="36"/>
  <c r="Q76" i="36"/>
  <c r="R76" i="36" s="1"/>
  <c r="E96" i="35"/>
  <c r="Q20" i="33"/>
  <c r="E96" i="37"/>
  <c r="E61" i="18"/>
  <c r="Q70" i="36"/>
  <c r="R70" i="36" s="1"/>
  <c r="Q92" i="32"/>
  <c r="Q32" i="33"/>
  <c r="Q32" i="37"/>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E32" i="31"/>
  <c r="Q64" i="36"/>
  <c r="R64" i="36" s="1"/>
  <c r="E61" i="36"/>
  <c r="Q69" i="32"/>
  <c r="Q61" i="33"/>
  <c r="R61" i="33" s="1"/>
  <c r="T61" i="33" s="1"/>
  <c r="Q61" i="36"/>
  <c r="R61" i="36" s="1"/>
  <c r="E32" i="32"/>
  <c r="E26" i="32"/>
  <c r="E61" i="33"/>
  <c r="Q32" i="35"/>
  <c r="R32" i="35" s="1"/>
  <c r="E32" i="35"/>
  <c r="E61" i="31"/>
  <c r="R76" i="33"/>
  <c r="T76" i="33" s="1"/>
  <c r="Q61" i="18"/>
  <c r="Q61" i="34"/>
  <c r="Q61" i="37"/>
  <c r="R61" i="37" s="1"/>
  <c r="S61" i="37" s="1"/>
  <c r="E52" i="40"/>
  <c r="F52" i="40" s="1"/>
  <c r="Q32" i="32"/>
  <c r="E61" i="35"/>
  <c r="E32" i="18"/>
  <c r="E61" i="34"/>
  <c r="Q32" i="18"/>
  <c r="E68" i="40"/>
  <c r="E32" i="37"/>
  <c r="Q32" i="40"/>
  <c r="R32" i="40" s="1"/>
  <c r="Q76" i="40"/>
  <c r="R76" i="40" s="1"/>
  <c r="E76" i="40"/>
  <c r="Q36" i="36"/>
  <c r="R36" i="36" s="1"/>
  <c r="Q36" i="31"/>
  <c r="E36" i="31"/>
  <c r="E22" i="35"/>
  <c r="E68" i="32"/>
  <c r="F68" i="32" s="1"/>
  <c r="Q52" i="35"/>
  <c r="R52" i="35" s="1"/>
  <c r="E20" i="34"/>
  <c r="E32" i="33"/>
  <c r="E22" i="40"/>
  <c r="E19" i="31"/>
  <c r="Q52" i="18"/>
  <c r="R52" i="18" s="1"/>
  <c r="Q52" i="40"/>
  <c r="R52" i="40" s="1"/>
  <c r="Q68" i="33"/>
  <c r="E68" i="35"/>
  <c r="F68" i="35" s="1"/>
  <c r="G68" i="35" s="1"/>
  <c r="Q68" i="36"/>
  <c r="R68" i="36" s="1"/>
  <c r="Q68" i="18"/>
  <c r="R68" i="18" s="1"/>
  <c r="E53" i="37"/>
  <c r="Q94" i="31"/>
  <c r="R94" i="31" s="1"/>
  <c r="Q52" i="34"/>
  <c r="Q68" i="32"/>
  <c r="Q68" i="31"/>
  <c r="Q68" i="34"/>
  <c r="R68" i="34" s="1"/>
  <c r="E76" i="37"/>
  <c r="Q76" i="31"/>
  <c r="R76" i="31" s="1"/>
  <c r="E76" i="34"/>
  <c r="Q22" i="35"/>
  <c r="R22" i="35" s="1"/>
  <c r="E20" i="36"/>
  <c r="E52" i="36"/>
  <c r="Q20" i="34"/>
  <c r="R20" i="34" s="1"/>
  <c r="E20" i="35"/>
  <c r="Q76" i="34"/>
  <c r="E76" i="33"/>
  <c r="Q76" i="37"/>
  <c r="R76" i="37" s="1"/>
  <c r="S76" i="37" s="1"/>
  <c r="E22" i="31"/>
  <c r="Q52" i="31"/>
  <c r="R52" i="31" s="1"/>
  <c r="Q20" i="18"/>
  <c r="Q20" i="35"/>
  <c r="R20" i="35" s="1"/>
  <c r="F83" i="32"/>
  <c r="F76" i="40"/>
  <c r="E72" i="34"/>
  <c r="E22" i="36"/>
  <c r="E22" i="37"/>
  <c r="Q22" i="40"/>
  <c r="R22" i="40" s="1"/>
  <c r="Q68" i="40"/>
  <c r="R68" i="40" s="1"/>
  <c r="Q38" i="40"/>
  <c r="E19" i="34"/>
  <c r="E94" i="36"/>
  <c r="E52" i="18"/>
  <c r="Q68" i="37"/>
  <c r="R68" i="37" s="1"/>
  <c r="T68" i="37" s="1"/>
  <c r="E68" i="33"/>
  <c r="Q76" i="32"/>
  <c r="E76" i="32"/>
  <c r="Q76" i="35"/>
  <c r="R76" i="35" s="1"/>
  <c r="T76" i="35" s="1"/>
  <c r="E76" i="35"/>
  <c r="E22" i="34"/>
  <c r="Q22" i="31"/>
  <c r="Q20" i="36"/>
  <c r="R20" i="36" s="1"/>
  <c r="E20" i="32"/>
  <c r="E20" i="18"/>
  <c r="E40" i="33"/>
  <c r="E40" i="40"/>
  <c r="F40" i="40" s="1"/>
  <c r="Q40" i="31"/>
  <c r="Q74" i="40"/>
  <c r="R74" i="40" s="1"/>
  <c r="E74" i="32"/>
  <c r="F74" i="32" s="1"/>
  <c r="Q74" i="36"/>
  <c r="R74" i="36" s="1"/>
  <c r="E70" i="40"/>
  <c r="F70" i="40" s="1"/>
  <c r="E70" i="37"/>
  <c r="Q66" i="33"/>
  <c r="Q66" i="34"/>
  <c r="R66" i="34" s="1"/>
  <c r="Q98" i="35"/>
  <c r="R98" i="35" s="1"/>
  <c r="Q98" i="32"/>
  <c r="Q53" i="40"/>
  <c r="R53" i="40" s="1"/>
  <c r="E53" i="40"/>
  <c r="F53" i="40" s="1"/>
  <c r="E53" i="31"/>
  <c r="E53" i="35"/>
  <c r="F53" i="35" s="1"/>
  <c r="Q53" i="32"/>
  <c r="Q53" i="36"/>
  <c r="R53" i="36" s="1"/>
  <c r="E53" i="34"/>
  <c r="F53" i="34" s="1"/>
  <c r="H53" i="34" s="1"/>
  <c r="E53" i="36"/>
  <c r="Q53" i="35"/>
  <c r="R53" i="35" s="1"/>
  <c r="T53" i="35" s="1"/>
  <c r="Q53" i="31"/>
  <c r="R53" i="31" s="1"/>
  <c r="Q53" i="34"/>
  <c r="R53" i="34" s="1"/>
  <c r="Q27" i="32"/>
  <c r="E74" i="36"/>
  <c r="Q84" i="33"/>
  <c r="R84" i="33" s="1"/>
  <c r="E53" i="18"/>
  <c r="E53" i="32"/>
  <c r="F53" i="32" s="1"/>
  <c r="E24" i="34"/>
  <c r="E24" i="36"/>
  <c r="Q24" i="18"/>
  <c r="E24" i="35"/>
  <c r="E72" i="31"/>
  <c r="Q72" i="40"/>
  <c r="R72" i="40" s="1"/>
  <c r="E72" i="36"/>
  <c r="E72" i="33"/>
  <c r="F72" i="33" s="1"/>
  <c r="Q72" i="34"/>
  <c r="R72" i="34" s="1"/>
  <c r="E72" i="40"/>
  <c r="F72" i="40" s="1"/>
  <c r="Q64" i="40"/>
  <c r="R64" i="40" s="1"/>
  <c r="Q64" i="34"/>
  <c r="R64" i="34" s="1"/>
  <c r="E64" i="37"/>
  <c r="E64" i="35"/>
  <c r="Q64" i="18"/>
  <c r="E64" i="32"/>
  <c r="E69" i="31"/>
  <c r="E69" i="18"/>
  <c r="E69" i="40"/>
  <c r="F69" i="40" s="1"/>
  <c r="E69" i="37"/>
  <c r="E99" i="34"/>
  <c r="E99" i="18"/>
  <c r="Q99" i="33"/>
  <c r="Q99" i="32"/>
  <c r="E83" i="35"/>
  <c r="Q83" i="37"/>
  <c r="Q83" i="36"/>
  <c r="R83" i="36" s="1"/>
  <c r="E83" i="36"/>
  <c r="Q83" i="32"/>
  <c r="E83" i="34"/>
  <c r="Q83" i="40"/>
  <c r="R83" i="40" s="1"/>
  <c r="Q83" i="35"/>
  <c r="R83" i="35" s="1"/>
  <c r="T83" i="35" s="1"/>
  <c r="Q83" i="31"/>
  <c r="E58" i="36"/>
  <c r="E58" i="40"/>
  <c r="F58" i="40" s="1"/>
  <c r="E58" i="18"/>
  <c r="E58" i="32"/>
  <c r="E58" i="37"/>
  <c r="Q58" i="18"/>
  <c r="E34" i="32"/>
  <c r="Q34" i="31"/>
  <c r="E34" i="18"/>
  <c r="Q34" i="33"/>
  <c r="E34" i="36"/>
  <c r="Q34" i="32"/>
  <c r="F83" i="37"/>
  <c r="H83" i="37" s="1"/>
  <c r="Q69" i="33"/>
  <c r="Q53" i="37"/>
  <c r="R53" i="37" s="1"/>
  <c r="S53" i="37" s="1"/>
  <c r="Q83" i="18"/>
  <c r="R83" i="18" s="1"/>
  <c r="E83" i="18"/>
  <c r="Q69" i="40"/>
  <c r="R69" i="40" s="1"/>
  <c r="Q34" i="36"/>
  <c r="R34" i="36" s="1"/>
  <c r="Q58" i="31"/>
  <c r="R58" i="31" s="1"/>
  <c r="E58" i="35"/>
  <c r="E83" i="33"/>
  <c r="E53" i="33"/>
  <c r="Q58" i="32"/>
  <c r="Q72" i="18"/>
  <c r="E64" i="31"/>
  <c r="Q92" i="36"/>
  <c r="R92" i="36" s="1"/>
  <c r="E92" i="36"/>
  <c r="E92" i="31"/>
  <c r="E92" i="40"/>
  <c r="E92" i="32"/>
  <c r="E34" i="31"/>
  <c r="F68" i="36"/>
  <c r="R96" i="31"/>
  <c r="E80" i="18"/>
  <c r="E26" i="35"/>
  <c r="C34" i="37"/>
  <c r="F34" i="37" s="1"/>
  <c r="P34" i="37"/>
  <c r="C93" i="37"/>
  <c r="P93" i="37"/>
  <c r="C87" i="34"/>
  <c r="C87" i="32"/>
  <c r="C22" i="34"/>
  <c r="P22" i="32"/>
  <c r="C22" i="32"/>
  <c r="F22" i="32" s="1"/>
  <c r="P81" i="32"/>
  <c r="P61" i="32"/>
  <c r="P91" i="32"/>
  <c r="C21" i="34"/>
  <c r="R82" i="33"/>
  <c r="T82" i="33" s="1"/>
  <c r="P48" i="32"/>
  <c r="C48" i="34"/>
  <c r="C48" i="32"/>
  <c r="C58" i="35"/>
  <c r="C43" i="34"/>
  <c r="C98" i="34"/>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F61" i="35" s="1"/>
  <c r="P82" i="32"/>
  <c r="C96" i="34"/>
  <c r="F96" i="34" s="1"/>
  <c r="P62" i="33"/>
  <c r="P93" i="33"/>
  <c r="C93" i="33"/>
  <c r="C61" i="18"/>
  <c r="P61" i="18"/>
  <c r="Q50" i="18"/>
  <c r="Q50" i="36"/>
  <c r="R50" i="36" s="1"/>
  <c r="Q50" i="32"/>
  <c r="Q50" i="31"/>
  <c r="Q50" i="40"/>
  <c r="R50" i="40" s="1"/>
  <c r="E50" i="36"/>
  <c r="Q50" i="34"/>
  <c r="R50" i="34" s="1"/>
  <c r="E50" i="40"/>
  <c r="Q50" i="37"/>
  <c r="R50" i="37" s="1"/>
  <c r="S50" i="37" s="1"/>
  <c r="E50" i="37"/>
  <c r="E50" i="18"/>
  <c r="F50" i="18" s="1"/>
  <c r="E50" i="31"/>
  <c r="Q50" i="33"/>
  <c r="R50" i="33" s="1"/>
  <c r="S50" i="33" s="1"/>
  <c r="Q50" i="35"/>
  <c r="R50" i="35" s="1"/>
  <c r="T50" i="35" s="1"/>
  <c r="E88" i="32"/>
  <c r="Q26" i="36"/>
  <c r="R26" i="36" s="1"/>
  <c r="E50" i="32"/>
  <c r="E62" i="40"/>
  <c r="E62" i="18"/>
  <c r="E62" i="33"/>
  <c r="E40" i="37"/>
  <c r="Q40" i="36"/>
  <c r="R40" i="36" s="1"/>
  <c r="Q40" i="18"/>
  <c r="R40" i="18" s="1"/>
  <c r="Q40" i="33"/>
  <c r="R40" i="33" s="1"/>
  <c r="S40" i="33" s="1"/>
  <c r="Q40" i="34"/>
  <c r="R40" i="34" s="1"/>
  <c r="E40" i="34"/>
  <c r="Q40" i="40"/>
  <c r="E40" i="32"/>
  <c r="F40" i="32" s="1"/>
  <c r="E26" i="34"/>
  <c r="E26" i="36"/>
  <c r="Q26" i="37"/>
  <c r="R26" i="37" s="1"/>
  <c r="Q26" i="35"/>
  <c r="R26" i="35" s="1"/>
  <c r="Q26" i="33"/>
  <c r="R26" i="33" s="1"/>
  <c r="T26" i="33" s="1"/>
  <c r="E26" i="37"/>
  <c r="E26" i="40"/>
  <c r="F26" i="40" s="1"/>
  <c r="Q26" i="34"/>
  <c r="Q26" i="40"/>
  <c r="R26" i="40" s="1"/>
  <c r="E26" i="31"/>
  <c r="Q26" i="18"/>
  <c r="Q26" i="32"/>
  <c r="Q26" i="31"/>
  <c r="E26" i="18"/>
  <c r="Q80" i="35"/>
  <c r="Q80" i="18"/>
  <c r="R80" i="18" s="1"/>
  <c r="E80" i="40"/>
  <c r="E80" i="33"/>
  <c r="Q80" i="32"/>
  <c r="E80" i="31"/>
  <c r="Q80" i="37"/>
  <c r="E80" i="36"/>
  <c r="E80" i="37"/>
  <c r="Q80" i="36"/>
  <c r="R80" i="36" s="1"/>
  <c r="E80" i="35"/>
  <c r="Q80" i="40"/>
  <c r="R80" i="40" s="1"/>
  <c r="E80" i="32"/>
  <c r="F80" i="32" s="1"/>
  <c r="E80" i="34"/>
  <c r="E50" i="35"/>
  <c r="E50" i="34"/>
  <c r="E50" i="33"/>
  <c r="E66" i="40"/>
  <c r="F66" i="40" s="1"/>
  <c r="E66" i="18"/>
  <c r="Q66" i="31"/>
  <c r="E66" i="31"/>
  <c r="E66" i="32"/>
  <c r="E66" i="35"/>
  <c r="E84" i="32"/>
  <c r="Q84" i="34"/>
  <c r="R84" i="34" s="1"/>
  <c r="E84" i="34"/>
  <c r="E84" i="33"/>
  <c r="Q84" i="35"/>
  <c r="R84" i="35" s="1"/>
  <c r="Q84" i="31"/>
  <c r="R84" i="31" s="1"/>
  <c r="Q84" i="18"/>
  <c r="R84" i="18" s="1"/>
  <c r="E98" i="35"/>
  <c r="Q98" i="33"/>
  <c r="E98" i="32"/>
  <c r="F98" i="32" s="1"/>
  <c r="E98" i="37"/>
  <c r="E98" i="36"/>
  <c r="E98" i="40"/>
  <c r="Q98" i="37"/>
  <c r="E98" i="33"/>
  <c r="Q27" i="37"/>
  <c r="Q27" i="34"/>
  <c r="R27" i="34" s="1"/>
  <c r="E27" i="37"/>
  <c r="E27" i="31"/>
  <c r="Q27" i="33"/>
  <c r="Q27" i="36"/>
  <c r="R27" i="36" s="1"/>
  <c r="Q27" i="18"/>
  <c r="E27" i="36"/>
  <c r="F82" i="35"/>
  <c r="H82" i="35" s="1"/>
  <c r="Q69" i="31"/>
  <c r="Q69" i="35"/>
  <c r="R69" i="35" s="1"/>
  <c r="S69" i="35" s="1"/>
  <c r="Q69" i="37"/>
  <c r="Q99" i="31"/>
  <c r="Q99" i="35"/>
  <c r="R99" i="35" s="1"/>
  <c r="S99" i="35" s="1"/>
  <c r="R36" i="35"/>
  <c r="T36" i="35" s="1"/>
  <c r="E99" i="35"/>
  <c r="E69" i="35"/>
  <c r="Q72" i="35"/>
  <c r="R72" i="35" s="1"/>
  <c r="Q72" i="36"/>
  <c r="R72" i="36" s="1"/>
  <c r="Q72" i="37"/>
  <c r="E72" i="37"/>
  <c r="E72" i="35"/>
  <c r="Q22" i="18"/>
  <c r="R22" i="18" s="1"/>
  <c r="Q22" i="37"/>
  <c r="E22" i="18"/>
  <c r="E22" i="33"/>
  <c r="Q22" i="36"/>
  <c r="R22" i="36" s="1"/>
  <c r="Q64" i="37"/>
  <c r="E64" i="40"/>
  <c r="E64" i="33"/>
  <c r="E64" i="34"/>
  <c r="E99" i="33"/>
  <c r="Q58" i="33"/>
  <c r="R58" i="33" s="1"/>
  <c r="T58" i="33" s="1"/>
  <c r="E58" i="33"/>
  <c r="Q34" i="34"/>
  <c r="E34" i="35"/>
  <c r="F34" i="35" s="1"/>
  <c r="H34" i="35" s="1"/>
  <c r="Q34" i="18"/>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F38" i="40"/>
  <c r="Q19" i="34"/>
  <c r="R19" i="34" s="1"/>
  <c r="E40" i="36"/>
  <c r="Q24" i="32"/>
  <c r="Q24" i="40"/>
  <c r="R24" i="40" s="1"/>
  <c r="E84" i="37"/>
  <c r="E66" i="33"/>
  <c r="Q66" i="18"/>
  <c r="Q40" i="37"/>
  <c r="E66" i="34"/>
  <c r="E66" i="36"/>
  <c r="E98" i="18"/>
  <c r="Q84" i="32"/>
  <c r="E84" i="36"/>
  <c r="E84" i="35"/>
  <c r="Q68" i="35"/>
  <c r="R68" i="35" s="1"/>
  <c r="E68" i="37"/>
  <c r="Q52" i="36"/>
  <c r="R52" i="36" s="1"/>
  <c r="E52" i="31"/>
  <c r="Q52" i="32"/>
  <c r="E52" i="35"/>
  <c r="E20" i="33"/>
  <c r="E20" i="37"/>
  <c r="Q20" i="37"/>
  <c r="R20" i="37" s="1"/>
  <c r="T20" i="37" s="1"/>
  <c r="E19" i="40"/>
  <c r="E19" i="33"/>
  <c r="Q19" i="18"/>
  <c r="E19" i="18"/>
  <c r="E19" i="32"/>
  <c r="Q19" i="31"/>
  <c r="Q19" i="37"/>
  <c r="Q19" i="35"/>
  <c r="E19" i="36"/>
  <c r="Q19" i="33"/>
  <c r="E38" i="35"/>
  <c r="E38" i="18"/>
  <c r="Q38" i="34"/>
  <c r="E38" i="31"/>
  <c r="E38" i="34"/>
  <c r="F38" i="34" s="1"/>
  <c r="G38" i="34" s="1"/>
  <c r="Q38" i="37"/>
  <c r="Q38" i="33"/>
  <c r="Q38" i="31"/>
  <c r="E38" i="37"/>
  <c r="E38" i="33"/>
  <c r="E38" i="36"/>
  <c r="Q38" i="32"/>
  <c r="E38" i="32"/>
  <c r="Q38" i="35"/>
  <c r="R38" i="35" s="1"/>
  <c r="Q38" i="18"/>
  <c r="R38" i="18" s="1"/>
  <c r="S38" i="18" s="1"/>
  <c r="Q38" i="36"/>
  <c r="R38" i="36" s="1"/>
  <c r="R19" i="35"/>
  <c r="S19" i="35" s="1"/>
  <c r="U19" i="35" s="1"/>
  <c r="Q19" i="36"/>
  <c r="R19" i="36" s="1"/>
  <c r="Q66" i="35"/>
  <c r="R66" i="35" s="1"/>
  <c r="E66" i="37"/>
  <c r="E98" i="34"/>
  <c r="F98" i="34" s="1"/>
  <c r="Q98" i="18"/>
  <c r="E27" i="33"/>
  <c r="Q27" i="40"/>
  <c r="R27" i="40" s="1"/>
  <c r="E27" i="32"/>
  <c r="E27" i="40"/>
  <c r="F27" i="40" s="1"/>
  <c r="Q27" i="31"/>
  <c r="Q27" i="35"/>
  <c r="R27" i="35" s="1"/>
  <c r="R80" i="31"/>
  <c r="F26" i="33"/>
  <c r="G26" i="33" s="1"/>
  <c r="Q98" i="36"/>
  <c r="R98" i="36" s="1"/>
  <c r="Q70" i="32"/>
  <c r="E19" i="37"/>
  <c r="E92" i="37"/>
  <c r="Q19" i="32"/>
  <c r="Q19" i="40"/>
  <c r="R19" i="40" s="1"/>
  <c r="Q74" i="32"/>
  <c r="E84" i="40"/>
  <c r="Q84" i="36"/>
  <c r="R84" i="36" s="1"/>
  <c r="Q24" i="35"/>
  <c r="R24" i="35" s="1"/>
  <c r="S24" i="35" s="1"/>
  <c r="Q84" i="37"/>
  <c r="R84" i="37" s="1"/>
  <c r="Q40" i="35"/>
  <c r="R40" i="35" s="1"/>
  <c r="Q66" i="40"/>
  <c r="R66" i="40" s="1"/>
  <c r="E40" i="31"/>
  <c r="Q66" i="37"/>
  <c r="Q66" i="36"/>
  <c r="R66" i="36" s="1"/>
  <c r="E27" i="18"/>
  <c r="E27" i="35"/>
  <c r="Q98" i="34"/>
  <c r="Q98" i="40"/>
  <c r="R98" i="40" s="1"/>
  <c r="Q98" i="31"/>
  <c r="E98" i="31"/>
  <c r="E84" i="18"/>
  <c r="E69" i="32"/>
  <c r="E69" i="33"/>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Q30" i="34"/>
  <c r="R30" i="34" s="1"/>
  <c r="E30" i="34"/>
  <c r="F30" i="34" s="1"/>
  <c r="G30" i="34" s="1"/>
  <c r="E30" i="18"/>
  <c r="E30" i="31"/>
  <c r="Q30" i="35"/>
  <c r="R30" i="35" s="1"/>
  <c r="E30" i="40"/>
  <c r="F30" i="40" s="1"/>
  <c r="E30" i="37"/>
  <c r="Q30" i="32"/>
  <c r="E62" i="32"/>
  <c r="F62" i="32" s="1"/>
  <c r="E88" i="37"/>
  <c r="Q30" i="36"/>
  <c r="R30" i="36" s="1"/>
  <c r="Q62" i="34"/>
  <c r="R62" i="34" s="1"/>
  <c r="Q62" i="32"/>
  <c r="E88" i="18"/>
  <c r="Q30" i="18"/>
  <c r="Q88" i="32"/>
  <c r="Q30" i="33"/>
  <c r="R30" i="33" s="1"/>
  <c r="S30" i="33" s="1"/>
  <c r="E94" i="37"/>
  <c r="E94" i="31"/>
  <c r="F94" i="31" s="1"/>
  <c r="G94" i="31" s="1"/>
  <c r="Q94" i="33"/>
  <c r="E94" i="35"/>
  <c r="Q94" i="37"/>
  <c r="R94" i="37" s="1"/>
  <c r="Q94" i="32"/>
  <c r="E94" i="33"/>
  <c r="Q94" i="40"/>
  <c r="R94" i="40" s="1"/>
  <c r="Q94" i="34"/>
  <c r="R94" i="34" s="1"/>
  <c r="Q94" i="18"/>
  <c r="Q94" i="36"/>
  <c r="R94" i="36" s="1"/>
  <c r="E94" i="18"/>
  <c r="E94" i="34"/>
  <c r="E62" i="31"/>
  <c r="F62" i="31" s="1"/>
  <c r="H62" i="31" s="1"/>
  <c r="Q62" i="31"/>
  <c r="R62" i="31" s="1"/>
  <c r="E62" i="36"/>
  <c r="Q62" i="37"/>
  <c r="Q62" i="18"/>
  <c r="R62" i="18" s="1"/>
  <c r="T62" i="18" s="1"/>
  <c r="Q62" i="40"/>
  <c r="R62" i="40" s="1"/>
  <c r="E62" i="34"/>
  <c r="F62" i="34" s="1"/>
  <c r="H62" i="34" s="1"/>
  <c r="Q62" i="33"/>
  <c r="Q62" i="35"/>
  <c r="R62" i="35" s="1"/>
  <c r="S62" i="35" s="1"/>
  <c r="E62" i="35"/>
  <c r="F62" i="35" s="1"/>
  <c r="G62" i="35" s="1"/>
  <c r="E62" i="37"/>
  <c r="Q30" i="37"/>
  <c r="E88" i="36"/>
  <c r="E56" i="34"/>
  <c r="E56" i="18"/>
  <c r="Q56" i="34"/>
  <c r="R56" i="34" s="1"/>
  <c r="Q56" i="18"/>
  <c r="E56" i="40"/>
  <c r="E56" i="37"/>
  <c r="E56" i="33"/>
  <c r="Q56" i="37"/>
  <c r="Q56" i="33"/>
  <c r="E56" i="31"/>
  <c r="F56" i="31" s="1"/>
  <c r="Q56" i="31"/>
  <c r="E56" i="35"/>
  <c r="E56" i="36"/>
  <c r="Q56" i="36"/>
  <c r="R56" i="36" s="1"/>
  <c r="Q56" i="35"/>
  <c r="R56" i="35" s="1"/>
  <c r="S56" i="35" s="1"/>
  <c r="Q56" i="40"/>
  <c r="E56" i="32"/>
  <c r="Q56" i="32"/>
  <c r="R82" i="18"/>
  <c r="F96" i="32"/>
  <c r="Q62" i="36"/>
  <c r="R62" i="36" s="1"/>
  <c r="Q88" i="31"/>
  <c r="R88" i="31" s="1"/>
  <c r="Q30" i="31"/>
  <c r="Q88" i="34"/>
  <c r="R88" i="34" s="1"/>
  <c r="Q88" i="36"/>
  <c r="R88" i="36" s="1"/>
  <c r="E30" i="32"/>
  <c r="E92" i="34"/>
  <c r="F92" i="34" s="1"/>
  <c r="G92" i="34" s="1"/>
  <c r="Q92" i="35"/>
  <c r="R92" i="35" s="1"/>
  <c r="E92" i="33"/>
  <c r="Q92" i="33"/>
  <c r="R92" i="33" s="1"/>
  <c r="E92" i="35"/>
  <c r="Q92" i="18"/>
  <c r="Q92" i="37"/>
  <c r="E92" i="18"/>
  <c r="Q92" i="31"/>
  <c r="E40" i="18"/>
  <c r="Q40" i="32"/>
  <c r="E40" i="35"/>
  <c r="E78" i="34"/>
  <c r="E78" i="18"/>
  <c r="Q78" i="32"/>
  <c r="Q78" i="36"/>
  <c r="R78" i="36" s="1"/>
  <c r="Q78" i="40"/>
  <c r="R78" i="40" s="1"/>
  <c r="E78" i="33"/>
  <c r="Q78" i="35"/>
  <c r="Q78" i="31"/>
  <c r="R78" i="31" s="1"/>
  <c r="E78" i="37"/>
  <c r="E78" i="31"/>
  <c r="Q78" i="37"/>
  <c r="R78" i="37" s="1"/>
  <c r="S78" i="37" s="1"/>
  <c r="Q78" i="33"/>
  <c r="R78" i="33" s="1"/>
  <c r="T78" i="33" s="1"/>
  <c r="E78" i="40"/>
  <c r="Q78" i="34"/>
  <c r="R78" i="34" s="1"/>
  <c r="E78" i="36"/>
  <c r="E78" i="35"/>
  <c r="E78" i="32"/>
  <c r="Q78" i="18"/>
  <c r="R78" i="18" s="1"/>
  <c r="E60" i="40"/>
  <c r="F60" i="40" s="1"/>
  <c r="E60" i="34"/>
  <c r="E60" i="18"/>
  <c r="Q60" i="34"/>
  <c r="R60" i="34" s="1"/>
  <c r="Q60" i="18"/>
  <c r="E60" i="37"/>
  <c r="E60" i="33"/>
  <c r="Q60" i="37"/>
  <c r="Q60" i="33"/>
  <c r="E60" i="31"/>
  <c r="Q60" i="31"/>
  <c r="E60" i="35"/>
  <c r="E60" i="36"/>
  <c r="Q60" i="36"/>
  <c r="R60" i="36" s="1"/>
  <c r="Q60" i="35"/>
  <c r="R60" i="35" s="1"/>
  <c r="E60" i="32"/>
  <c r="Q60" i="32"/>
  <c r="E74" i="40"/>
  <c r="E74" i="35"/>
  <c r="E74" i="18"/>
  <c r="E74" i="34"/>
  <c r="E74" i="31"/>
  <c r="Q74" i="33"/>
  <c r="Q74" i="35"/>
  <c r="R74" i="35" s="1"/>
  <c r="Q74" i="37"/>
  <c r="Q74" i="31"/>
  <c r="R74" i="31" s="1"/>
  <c r="E74" i="37"/>
  <c r="Q74" i="18"/>
  <c r="E74" i="33"/>
  <c r="Q74" i="34"/>
  <c r="R74" i="34" s="1"/>
  <c r="E70" i="35"/>
  <c r="Q70" i="37"/>
  <c r="R70" i="37" s="1"/>
  <c r="Q70" i="31"/>
  <c r="Q70" i="40"/>
  <c r="R70" i="40" s="1"/>
  <c r="E70" i="34"/>
  <c r="F70" i="34" s="1"/>
  <c r="G70" i="34" s="1"/>
  <c r="Q70" i="35"/>
  <c r="R70" i="35" s="1"/>
  <c r="T70" i="35" s="1"/>
  <c r="Q70" i="18"/>
  <c r="E70" i="36"/>
  <c r="Q70" i="33"/>
  <c r="E70" i="31"/>
  <c r="E70" i="32"/>
  <c r="F70" i="32" s="1"/>
  <c r="E70" i="18"/>
  <c r="Q70" i="34"/>
  <c r="R70" i="34" s="1"/>
  <c r="T70" i="34" s="1"/>
  <c r="E24" i="32"/>
  <c r="E24" i="31"/>
  <c r="E24" i="40"/>
  <c r="F24" i="40" s="1"/>
  <c r="E24" i="37"/>
  <c r="Q24" i="37"/>
  <c r="Q24" i="31"/>
  <c r="E24" i="33"/>
  <c r="Q24" i="34"/>
  <c r="R24" i="34" s="1"/>
  <c r="Q24" i="33"/>
  <c r="Q24" i="36"/>
  <c r="R24" i="36" s="1"/>
  <c r="F72" i="34"/>
  <c r="G72" i="34" s="1"/>
  <c r="E90" i="36"/>
  <c r="E90" i="32"/>
  <c r="F90" i="32" s="1"/>
  <c r="Q90" i="35"/>
  <c r="R90" i="35" s="1"/>
  <c r="Q90" i="31"/>
  <c r="E90" i="18"/>
  <c r="E90" i="33"/>
  <c r="Q90" i="34"/>
  <c r="R90" i="34" s="1"/>
  <c r="E90" i="37"/>
  <c r="E90" i="31"/>
  <c r="Q90" i="33"/>
  <c r="R90" i="33" s="1"/>
  <c r="T90" i="33" s="1"/>
  <c r="E90" i="35"/>
  <c r="Q90" i="37"/>
  <c r="R90" i="37" s="1"/>
  <c r="Q90" i="32"/>
  <c r="E90" i="40"/>
  <c r="Q90" i="40"/>
  <c r="R90" i="40" s="1"/>
  <c r="E90" i="34"/>
  <c r="F90" i="34" s="1"/>
  <c r="H90" i="34" s="1"/>
  <c r="Q90" i="36"/>
  <c r="R90" i="36" s="1"/>
  <c r="Q90" i="18"/>
  <c r="R90" i="18" s="1"/>
  <c r="Q86" i="40"/>
  <c r="R86" i="40" s="1"/>
  <c r="E86" i="40"/>
  <c r="F86" i="40" s="1"/>
  <c r="E86" i="36"/>
  <c r="E86" i="32"/>
  <c r="F86" i="32" s="1"/>
  <c r="Q86" i="35"/>
  <c r="R86" i="35" s="1"/>
  <c r="Q86" i="31"/>
  <c r="R86" i="31" s="1"/>
  <c r="E86" i="18"/>
  <c r="E86" i="33"/>
  <c r="Q86" i="34"/>
  <c r="R86" i="34" s="1"/>
  <c r="E86" i="37"/>
  <c r="E86" i="31"/>
  <c r="Q86" i="33"/>
  <c r="R86" i="33" s="1"/>
  <c r="T86" i="33" s="1"/>
  <c r="E86" i="35"/>
  <c r="Q86" i="37"/>
  <c r="R86" i="37" s="1"/>
  <c r="Q86" i="32"/>
  <c r="E86" i="34"/>
  <c r="F86" i="34" s="1"/>
  <c r="Q86" i="36"/>
  <c r="R86" i="36" s="1"/>
  <c r="Q86" i="18"/>
  <c r="R86" i="18" s="1"/>
  <c r="F50" i="33"/>
  <c r="G50" i="33" s="1"/>
  <c r="E54" i="36"/>
  <c r="E54" i="32"/>
  <c r="Q54" i="36"/>
  <c r="R54" i="36" s="1"/>
  <c r="Q54" i="32"/>
  <c r="Q54" i="40"/>
  <c r="R54" i="40" s="1"/>
  <c r="E54" i="37"/>
  <c r="E54" i="31"/>
  <c r="Q54" i="34"/>
  <c r="R54" i="34" s="1"/>
  <c r="E54" i="33"/>
  <c r="Q54" i="33"/>
  <c r="R54" i="33" s="1"/>
  <c r="E54" i="40"/>
  <c r="E54" i="18"/>
  <c r="Q54" i="31"/>
  <c r="R54" i="31" s="1"/>
  <c r="E54" i="35"/>
  <c r="Q54" i="37"/>
  <c r="R54" i="37" s="1"/>
  <c r="T54" i="37" s="1"/>
  <c r="Q54" i="18"/>
  <c r="E54" i="34"/>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C43" i="31"/>
  <c r="M61" i="7"/>
  <c r="M51" i="7"/>
  <c r="M20" i="7"/>
  <c r="M19" i="7"/>
  <c r="P64" i="6"/>
  <c r="C58" i="31"/>
  <c r="F58" i="31" s="1"/>
  <c r="H58" i="31" s="1"/>
  <c r="C48" i="31"/>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C49" i="31"/>
  <c r="P49" i="31"/>
  <c r="C49" i="35"/>
  <c r="P38" i="33"/>
  <c r="C38" i="33"/>
  <c r="C42" i="37"/>
  <c r="P42" i="37"/>
  <c r="P33" i="33"/>
  <c r="C33" i="33"/>
  <c r="P95" i="37"/>
  <c r="C95" i="37"/>
  <c r="C23" i="37"/>
  <c r="P23" i="37"/>
  <c r="C36" i="37"/>
  <c r="F36" i="37" s="1"/>
  <c r="G36" i="37" s="1"/>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P96" i="33"/>
  <c r="R96" i="33" s="1"/>
  <c r="T96" i="33" s="1"/>
  <c r="C24" i="37"/>
  <c r="P24" i="37"/>
  <c r="P81" i="31"/>
  <c r="P47" i="32"/>
  <c r="C56" i="35"/>
  <c r="P72" i="33"/>
  <c r="R72" i="33" s="1"/>
  <c r="S72" i="33" s="1"/>
  <c r="C92" i="32"/>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F19" i="37" s="1"/>
  <c r="H19" i="37" s="1"/>
  <c r="J19" i="37" s="1"/>
  <c r="K19" i="37" s="1"/>
  <c r="J17" i="17" s="1"/>
  <c r="P24" i="32"/>
  <c r="C24" i="32"/>
  <c r="C24" i="34"/>
  <c r="P56" i="31"/>
  <c r="C41" i="37"/>
  <c r="P36" i="37"/>
  <c r="R36" i="37" s="1"/>
  <c r="C47" i="34"/>
  <c r="C74" i="35"/>
  <c r="P49" i="18"/>
  <c r="P89" i="31"/>
  <c r="P25" i="31"/>
  <c r="P30" i="31"/>
  <c r="P51" i="31"/>
  <c r="C96" i="35"/>
  <c r="F96" i="35" s="1"/>
  <c r="C30" i="33"/>
  <c r="C29" i="33"/>
  <c r="P39" i="18"/>
  <c r="P36" i="33"/>
  <c r="C93" i="35"/>
  <c r="C93" i="31"/>
  <c r="P93" i="31"/>
  <c r="C94" i="32"/>
  <c r="C94" i="34"/>
  <c r="P94" i="32"/>
  <c r="C97" i="34"/>
  <c r="P97" i="32"/>
  <c r="C97" i="32"/>
  <c r="C19" i="33"/>
  <c r="P19" i="33"/>
  <c r="P96" i="37"/>
  <c r="R96" i="37" s="1"/>
  <c r="S96" i="37" s="1"/>
  <c r="C96" i="37"/>
  <c r="P43" i="18"/>
  <c r="C43" i="18"/>
  <c r="C71" i="37"/>
  <c r="P71" i="37"/>
  <c r="C71" i="31"/>
  <c r="P71" i="31"/>
  <c r="C66" i="31"/>
  <c r="C66" i="35"/>
  <c r="P66" i="31"/>
  <c r="C98" i="35"/>
  <c r="P98" i="31"/>
  <c r="C56" i="33"/>
  <c r="P56" i="33"/>
  <c r="C65" i="37"/>
  <c r="P65" i="37"/>
  <c r="C75" i="18"/>
  <c r="P75" i="18"/>
  <c r="C69" i="37"/>
  <c r="P69" i="37"/>
  <c r="P69" i="31"/>
  <c r="C69" i="31"/>
  <c r="C69" i="35"/>
  <c r="C92" i="18"/>
  <c r="P92" i="18"/>
  <c r="C64" i="18"/>
  <c r="P64" i="18"/>
  <c r="C64" i="34"/>
  <c r="F64" i="34" s="1"/>
  <c r="C64" i="32"/>
  <c r="P64" i="32"/>
  <c r="C89" i="34"/>
  <c r="C89" i="32"/>
  <c r="P89" i="32"/>
  <c r="P91" i="31"/>
  <c r="C91" i="35"/>
  <c r="P92" i="37"/>
  <c r="C92" i="37"/>
  <c r="P27" i="37"/>
  <c r="C27" i="37"/>
  <c r="C37" i="34"/>
  <c r="F76" i="36"/>
  <c r="F68" i="18"/>
  <c r="F52" i="37"/>
  <c r="H52" i="37" s="1"/>
  <c r="E93" i="18"/>
  <c r="Q93" i="37"/>
  <c r="R93" i="37" s="1"/>
  <c r="S93" i="37" s="1"/>
  <c r="Q93" i="36"/>
  <c r="R93" i="36" s="1"/>
  <c r="E93" i="37"/>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E77" i="32"/>
  <c r="Q77" i="18"/>
  <c r="R77" i="18" s="1"/>
  <c r="E77" i="35"/>
  <c r="E77" i="33"/>
  <c r="E77" i="31"/>
  <c r="E77" i="40"/>
  <c r="Q77" i="40"/>
  <c r="R77" i="40" s="1"/>
  <c r="E89" i="18"/>
  <c r="Q89" i="37"/>
  <c r="Q89" i="36"/>
  <c r="R89" i="36" s="1"/>
  <c r="E89" i="37"/>
  <c r="Q89" i="35"/>
  <c r="R89" i="35" s="1"/>
  <c r="Q89" i="34"/>
  <c r="R89" i="34" s="1"/>
  <c r="Q89" i="33"/>
  <c r="R89" i="33" s="1"/>
  <c r="S89" i="33" s="1"/>
  <c r="Q89" i="32"/>
  <c r="Q89" i="31"/>
  <c r="Q89" i="18"/>
  <c r="R89" i="18" s="1"/>
  <c r="E89" i="35"/>
  <c r="E89" i="33"/>
  <c r="E89" i="31"/>
  <c r="E89" i="36"/>
  <c r="E89" i="34"/>
  <c r="F89" i="34" s="1"/>
  <c r="E89" i="32"/>
  <c r="F89" i="32" s="1"/>
  <c r="Q89" i="40"/>
  <c r="R89" i="40" s="1"/>
  <c r="E89" i="40"/>
  <c r="F89" i="40" s="1"/>
  <c r="E71" i="18"/>
  <c r="E71" i="37"/>
  <c r="E71" i="36"/>
  <c r="Q71" i="35"/>
  <c r="R71" i="35" s="1"/>
  <c r="S71" i="35" s="1"/>
  <c r="Q71" i="34"/>
  <c r="R71" i="34" s="1"/>
  <c r="Q71" i="33"/>
  <c r="Q71" i="32"/>
  <c r="Q71" i="31"/>
  <c r="Q71" i="37"/>
  <c r="R71" i="37" s="1"/>
  <c r="T71" i="37" s="1"/>
  <c r="E71" i="34"/>
  <c r="E71" i="32"/>
  <c r="Q71" i="36"/>
  <c r="R71" i="36" s="1"/>
  <c r="E71" i="35"/>
  <c r="E71" i="33"/>
  <c r="E71" i="31"/>
  <c r="Q71" i="18"/>
  <c r="Q71" i="40"/>
  <c r="R71" i="40" s="1"/>
  <c r="E71" i="40"/>
  <c r="E55" i="18"/>
  <c r="E55" i="37"/>
  <c r="E55" i="36"/>
  <c r="Q55" i="35"/>
  <c r="R55" i="35" s="1"/>
  <c r="Q55" i="34"/>
  <c r="R55" i="34" s="1"/>
  <c r="Q55" i="33"/>
  <c r="R55" i="33" s="1"/>
  <c r="S55" i="33" s="1"/>
  <c r="Q55" i="32"/>
  <c r="Q55" i="31"/>
  <c r="R55" i="31" s="1"/>
  <c r="Q55" i="18"/>
  <c r="Q55" i="37"/>
  <c r="E55" i="34"/>
  <c r="E55" i="32"/>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E37" i="36"/>
  <c r="E37" i="35"/>
  <c r="E37" i="33"/>
  <c r="E37" i="37"/>
  <c r="E37" i="34"/>
  <c r="E37" i="32"/>
  <c r="Q37" i="18"/>
  <c r="Q37" i="31"/>
  <c r="Q37" i="40"/>
  <c r="R37" i="40" s="1"/>
  <c r="E37" i="40"/>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E95" i="34"/>
  <c r="E95" i="32"/>
  <c r="F95" i="32" s="1"/>
  <c r="E95" i="18"/>
  <c r="E95" i="35"/>
  <c r="E95" i="33"/>
  <c r="E95" i="31"/>
  <c r="Q95" i="40"/>
  <c r="R95" i="40" s="1"/>
  <c r="E95" i="40"/>
  <c r="Q31" i="35"/>
  <c r="R31" i="35" s="1"/>
  <c r="Q31" i="34"/>
  <c r="R31" i="34" s="1"/>
  <c r="Q31" i="33"/>
  <c r="R31" i="33" s="1"/>
  <c r="T31" i="33" s="1"/>
  <c r="Q31" i="32"/>
  <c r="Q31" i="31"/>
  <c r="R31" i="31" s="1"/>
  <c r="Q31" i="18"/>
  <c r="R31" i="18" s="1"/>
  <c r="E31" i="37"/>
  <c r="E31" i="36"/>
  <c r="E31" i="34"/>
  <c r="E31" i="32"/>
  <c r="F31" i="32" s="1"/>
  <c r="E31" i="18"/>
  <c r="Q31" i="37"/>
  <c r="R31" i="37" s="1"/>
  <c r="S31" i="37" s="1"/>
  <c r="E31" i="35"/>
  <c r="E31" i="33"/>
  <c r="E31" i="31"/>
  <c r="F31" i="31" s="1"/>
  <c r="Q31" i="36"/>
  <c r="R31" i="36" s="1"/>
  <c r="Q31" i="40"/>
  <c r="R31" i="40" s="1"/>
  <c r="E31" i="40"/>
  <c r="F31" i="40" s="1"/>
  <c r="E41" i="18"/>
  <c r="E41" i="37"/>
  <c r="Q41" i="36"/>
  <c r="R41" i="36" s="1"/>
  <c r="Q41" i="35"/>
  <c r="R41" i="35" s="1"/>
  <c r="T41" i="35" s="1"/>
  <c r="Q41" i="34"/>
  <c r="R41" i="34" s="1"/>
  <c r="Q41" i="33"/>
  <c r="Q41" i="32"/>
  <c r="Q41" i="31"/>
  <c r="R41" i="31" s="1"/>
  <c r="E41" i="36"/>
  <c r="E41" i="35"/>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E43" i="36"/>
  <c r="Q43" i="37"/>
  <c r="E43" i="35"/>
  <c r="E43" i="33"/>
  <c r="E43" i="31"/>
  <c r="E43" i="40"/>
  <c r="E43" i="34"/>
  <c r="E43" i="32"/>
  <c r="E43" i="18"/>
  <c r="Q43" i="40"/>
  <c r="R43" i="40" s="1"/>
  <c r="E45" i="18"/>
  <c r="E45" i="37"/>
  <c r="Q45" i="36"/>
  <c r="R45" i="36" s="1"/>
  <c r="Q45" i="35"/>
  <c r="R45" i="35" s="1"/>
  <c r="S45" i="35" s="1"/>
  <c r="Q45" i="34"/>
  <c r="R45" i="34" s="1"/>
  <c r="Q45" i="33"/>
  <c r="R45" i="33" s="1"/>
  <c r="S45" i="33" s="1"/>
  <c r="Q45" i="32"/>
  <c r="Q45" i="31"/>
  <c r="Q45" i="18"/>
  <c r="Q45" i="37"/>
  <c r="R45" i="37" s="1"/>
  <c r="T45" i="37" s="1"/>
  <c r="E45" i="34"/>
  <c r="E45" i="32"/>
  <c r="F45" i="32" s="1"/>
  <c r="E45" i="36"/>
  <c r="E45" i="35"/>
  <c r="E45" i="33"/>
  <c r="E45" i="31"/>
  <c r="E45" i="40"/>
  <c r="Q45" i="40"/>
  <c r="R45" i="40" s="1"/>
  <c r="Q47" i="35"/>
  <c r="R47" i="35" s="1"/>
  <c r="T47" i="35" s="1"/>
  <c r="Q47" i="34"/>
  <c r="R47" i="34" s="1"/>
  <c r="Q47" i="33"/>
  <c r="Q47" i="32"/>
  <c r="Q47" i="31"/>
  <c r="Q47" i="18"/>
  <c r="Q47" i="37"/>
  <c r="Q47" i="36"/>
  <c r="R47" i="36" s="1"/>
  <c r="E47" i="34"/>
  <c r="E47" i="32"/>
  <c r="F47" i="32" s="1"/>
  <c r="E47" i="18"/>
  <c r="E47" i="36"/>
  <c r="E47" i="35"/>
  <c r="E47" i="33"/>
  <c r="E47" i="31"/>
  <c r="E47" i="37"/>
  <c r="E47" i="40"/>
  <c r="Q47" i="40"/>
  <c r="R47" i="40" s="1"/>
  <c r="Q49" i="37"/>
  <c r="Q49" i="36"/>
  <c r="R49" i="36" s="1"/>
  <c r="E49" i="35"/>
  <c r="E49" i="34"/>
  <c r="E49" i="33"/>
  <c r="E49" i="32"/>
  <c r="F49" i="32" s="1"/>
  <c r="E49" i="31"/>
  <c r="E49" i="18"/>
  <c r="E49" i="36"/>
  <c r="E49" i="37"/>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E65" i="32"/>
  <c r="E65" i="18"/>
  <c r="E65" i="36"/>
  <c r="E65" i="35"/>
  <c r="E65" i="33"/>
  <c r="E65" i="31"/>
  <c r="E65" i="37"/>
  <c r="Q65" i="40"/>
  <c r="R65" i="40" s="1"/>
  <c r="E65" i="40"/>
  <c r="Q91" i="35"/>
  <c r="R91" i="35" s="1"/>
  <c r="T91" i="35" s="1"/>
  <c r="Q91" i="34"/>
  <c r="R91" i="34" s="1"/>
  <c r="Q91" i="33"/>
  <c r="Q91" i="32"/>
  <c r="Q91" i="31"/>
  <c r="Q91" i="18"/>
  <c r="R91" i="18" s="1"/>
  <c r="Q91" i="37"/>
  <c r="Q91" i="36"/>
  <c r="R91" i="36" s="1"/>
  <c r="E91" i="34"/>
  <c r="E91" i="32"/>
  <c r="F91" i="32" s="1"/>
  <c r="E91" i="18"/>
  <c r="E91" i="36"/>
  <c r="E91" i="35"/>
  <c r="E91" i="33"/>
  <c r="E91" i="31"/>
  <c r="F91" i="31" s="1"/>
  <c r="G91" i="31" s="1"/>
  <c r="E91" i="37"/>
  <c r="Q91" i="40"/>
  <c r="R91" i="40" s="1"/>
  <c r="E91" i="40"/>
  <c r="E87" i="37"/>
  <c r="E87" i="36"/>
  <c r="Q87" i="35"/>
  <c r="R87" i="35" s="1"/>
  <c r="T87" i="35" s="1"/>
  <c r="Q87" i="34"/>
  <c r="R87" i="34" s="1"/>
  <c r="Q87" i="33"/>
  <c r="Q87" i="32"/>
  <c r="Q87" i="31"/>
  <c r="Q87" i="37"/>
  <c r="E87" i="34"/>
  <c r="E87" i="32"/>
  <c r="E87" i="18"/>
  <c r="Q87" i="36"/>
  <c r="R87" i="36" s="1"/>
  <c r="E87" i="35"/>
  <c r="E87" i="33"/>
  <c r="E87" i="31"/>
  <c r="Q87" i="18"/>
  <c r="E87" i="40"/>
  <c r="Q87" i="40"/>
  <c r="R87" i="40" s="1"/>
  <c r="C20" i="31"/>
  <c r="F20" i="31" s="1"/>
  <c r="G20" i="31" s="1"/>
  <c r="C20" i="35"/>
  <c r="P20" i="31"/>
  <c r="R20" i="31" s="1"/>
  <c r="C37" i="31"/>
  <c r="C37" i="35"/>
  <c r="P37" i="31"/>
  <c r="P37" i="18"/>
  <c r="C37" i="18"/>
  <c r="C63" i="35"/>
  <c r="P63" i="31"/>
  <c r="C63" i="31"/>
  <c r="P85" i="33"/>
  <c r="C85" i="33"/>
  <c r="C87" i="35"/>
  <c r="F87" i="35" s="1"/>
  <c r="P87" i="31"/>
  <c r="C87" i="31"/>
  <c r="F87" i="31" s="1"/>
  <c r="G87" i="31" s="1"/>
  <c r="P87" i="18"/>
  <c r="R87" i="18" s="1"/>
  <c r="C87" i="18"/>
  <c r="C99" i="37"/>
  <c r="P99" i="37"/>
  <c r="C99" i="31"/>
  <c r="P99" i="31"/>
  <c r="C99" i="35"/>
  <c r="E51" i="37"/>
  <c r="Q51" i="36"/>
  <c r="R51" i="36" s="1"/>
  <c r="Q51" i="35"/>
  <c r="R51" i="35" s="1"/>
  <c r="Q51" i="34"/>
  <c r="R51" i="34" s="1"/>
  <c r="Q51" i="33"/>
  <c r="R51" i="33" s="1"/>
  <c r="S51" i="33" s="1"/>
  <c r="Q51" i="32"/>
  <c r="Q51" i="31"/>
  <c r="E51" i="18"/>
  <c r="Q51" i="37"/>
  <c r="R51" i="37" s="1"/>
  <c r="T51" i="37" s="1"/>
  <c r="E51" i="36"/>
  <c r="E51" i="35"/>
  <c r="E51" i="33"/>
  <c r="E51" i="31"/>
  <c r="F51" i="31" s="1"/>
  <c r="G51" i="31" s="1"/>
  <c r="Q51" i="18"/>
  <c r="E51" i="34"/>
  <c r="E51" i="32"/>
  <c r="E51" i="40"/>
  <c r="F51" i="40" s="1"/>
  <c r="Q51" i="40"/>
  <c r="R51" i="40" s="1"/>
  <c r="Q33" i="37"/>
  <c r="R33" i="37" s="1"/>
  <c r="T33" i="37" s="1"/>
  <c r="E33" i="36"/>
  <c r="E33" i="35"/>
  <c r="F33" i="35" s="1"/>
  <c r="H33" i="35" s="1"/>
  <c r="E33" i="34"/>
  <c r="F33" i="34" s="1"/>
  <c r="E33" i="33"/>
  <c r="E33" i="32"/>
  <c r="F33" i="32" s="1"/>
  <c r="E33" i="31"/>
  <c r="E33" i="18"/>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P80" i="37"/>
  <c r="C80" i="37"/>
  <c r="P58" i="32"/>
  <c r="C58" i="34"/>
  <c r="F58" i="34" s="1"/>
  <c r="C58" i="32"/>
  <c r="P70" i="33"/>
  <c r="C70" i="33"/>
  <c r="F70" i="33" s="1"/>
  <c r="H70" i="33" s="1"/>
  <c r="C84" i="33"/>
  <c r="P97" i="33"/>
  <c r="C97" i="33"/>
  <c r="Q85" i="37"/>
  <c r="Q85" i="36"/>
  <c r="R85" i="36" s="1"/>
  <c r="E85" i="35"/>
  <c r="E85" i="34"/>
  <c r="F85" i="34" s="1"/>
  <c r="E85" i="33"/>
  <c r="E85" i="32"/>
  <c r="F85" i="32" s="1"/>
  <c r="E85" i="31"/>
  <c r="E85" i="18"/>
  <c r="E85" i="36"/>
  <c r="E85" i="37"/>
  <c r="Q85" i="35"/>
  <c r="R85" i="35" s="1"/>
  <c r="Q85" i="33"/>
  <c r="Q85" i="31"/>
  <c r="Q85" i="32"/>
  <c r="E85" i="40"/>
  <c r="Q85" i="34"/>
  <c r="R85" i="34" s="1"/>
  <c r="Q85" i="18"/>
  <c r="Q85" i="40"/>
  <c r="R85" i="40" s="1"/>
  <c r="Q73" i="37"/>
  <c r="R73" i="37" s="1"/>
  <c r="T73" i="37" s="1"/>
  <c r="Q73" i="36"/>
  <c r="R73" i="36" s="1"/>
  <c r="E73" i="37"/>
  <c r="Q73" i="35"/>
  <c r="R73" i="35" s="1"/>
  <c r="S73" i="35" s="1"/>
  <c r="Q73" i="34"/>
  <c r="R73" i="34" s="1"/>
  <c r="Q73" i="33"/>
  <c r="Q73" i="32"/>
  <c r="Q73" i="31"/>
  <c r="Q73" i="18"/>
  <c r="R73" i="18" s="1"/>
  <c r="E73" i="18"/>
  <c r="E73" i="35"/>
  <c r="E73" i="33"/>
  <c r="E73" i="31"/>
  <c r="E73" i="36"/>
  <c r="E73" i="34"/>
  <c r="E73" i="32"/>
  <c r="E73" i="40"/>
  <c r="Q73" i="40"/>
  <c r="R73" i="40" s="1"/>
  <c r="E63" i="35"/>
  <c r="E63" i="34"/>
  <c r="F63" i="34" s="1"/>
  <c r="E63" i="33"/>
  <c r="E63" i="32"/>
  <c r="F63" i="32" s="1"/>
  <c r="E63" i="31"/>
  <c r="E63" i="18"/>
  <c r="E63" i="37"/>
  <c r="E63" i="36"/>
  <c r="Q63" i="35"/>
  <c r="R63" i="35" s="1"/>
  <c r="T63" i="35" s="1"/>
  <c r="Q63" i="33"/>
  <c r="R63" i="33" s="1"/>
  <c r="S63" i="33" s="1"/>
  <c r="Q63" i="3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Q29" i="37"/>
  <c r="R29" i="37" s="1"/>
  <c r="T29" i="37" s="1"/>
  <c r="E29" i="36"/>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E21" i="34"/>
  <c r="E21" i="32"/>
  <c r="F21" i="32" s="1"/>
  <c r="E21" i="18"/>
  <c r="Q21" i="37"/>
  <c r="R21" i="37" s="1"/>
  <c r="S21" i="37" s="1"/>
  <c r="E21" i="35"/>
  <c r="F21" i="35" s="1"/>
  <c r="G21" i="35" s="1"/>
  <c r="E21" i="33"/>
  <c r="E21" i="31"/>
  <c r="Q21" i="36"/>
  <c r="R21" i="36" s="1"/>
  <c r="E21" i="40"/>
  <c r="Q21" i="40"/>
  <c r="R21" i="40" s="1"/>
  <c r="E97" i="37"/>
  <c r="E97" i="36"/>
  <c r="Q97" i="35"/>
  <c r="R97" i="35" s="1"/>
  <c r="Q97" i="34"/>
  <c r="R97" i="34" s="1"/>
  <c r="Q97" i="33"/>
  <c r="Q97" i="32"/>
  <c r="Q97" i="31"/>
  <c r="R97" i="31" s="1"/>
  <c r="Q97" i="18"/>
  <c r="R97" i="18" s="1"/>
  <c r="Q97" i="37"/>
  <c r="R97" i="37" s="1"/>
  <c r="S97" i="37" s="1"/>
  <c r="E97" i="34"/>
  <c r="E97" i="32"/>
  <c r="E97" i="18"/>
  <c r="Q97" i="36"/>
  <c r="R97" i="36" s="1"/>
  <c r="E97" i="35"/>
  <c r="E97" i="33"/>
  <c r="E97" i="31"/>
  <c r="Q97" i="40"/>
  <c r="R97" i="40" s="1"/>
  <c r="E97" i="40"/>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Q23" i="36"/>
  <c r="R23" i="36" s="1"/>
  <c r="Q23" i="35"/>
  <c r="R23" i="35" s="1"/>
  <c r="Q23" i="34"/>
  <c r="R23" i="34" s="1"/>
  <c r="Q23" i="33"/>
  <c r="Q23" i="32"/>
  <c r="E23" i="31"/>
  <c r="F23" i="31" s="1"/>
  <c r="G23" i="31" s="1"/>
  <c r="E23" i="18"/>
  <c r="E23" i="36"/>
  <c r="E23" i="34"/>
  <c r="E23" i="32"/>
  <c r="Q23" i="37"/>
  <c r="E23" i="35"/>
  <c r="E23" i="33"/>
  <c r="Q23" i="18"/>
  <c r="Q23" i="31"/>
  <c r="E23" i="40"/>
  <c r="Q23" i="40"/>
  <c r="R23" i="40" s="1"/>
  <c r="E39" i="18"/>
  <c r="E39" i="37"/>
  <c r="Q39" i="36"/>
  <c r="R39" i="36" s="1"/>
  <c r="Q39" i="35"/>
  <c r="R39" i="35" s="1"/>
  <c r="Q39" i="34"/>
  <c r="R39" i="34" s="1"/>
  <c r="Q39" i="33"/>
  <c r="Q39" i="32"/>
  <c r="Q39" i="18"/>
  <c r="E39" i="31"/>
  <c r="E39" i="34"/>
  <c r="F39" i="34" s="1"/>
  <c r="E39" i="32"/>
  <c r="Q39" i="31"/>
  <c r="R39" i="31" s="1"/>
  <c r="Q39" i="37"/>
  <c r="R39" i="37" s="1"/>
  <c r="S39" i="37" s="1"/>
  <c r="E39" i="36"/>
  <c r="E39" i="35"/>
  <c r="E39" i="33"/>
  <c r="Q39" i="40"/>
  <c r="R39" i="40" s="1"/>
  <c r="E39" i="40"/>
  <c r="E42" i="18"/>
  <c r="Q42" i="37"/>
  <c r="Q42" i="36"/>
  <c r="R42" i="36" s="1"/>
  <c r="Q42" i="35"/>
  <c r="R42" i="35" s="1"/>
  <c r="Q42" i="34"/>
  <c r="R42" i="34" s="1"/>
  <c r="Q42" i="33"/>
  <c r="Q42" i="32"/>
  <c r="Q42" i="31"/>
  <c r="Q42" i="18"/>
  <c r="E42" i="35"/>
  <c r="F42" i="35" s="1"/>
  <c r="E42" i="33"/>
  <c r="E42" i="31"/>
  <c r="E42" i="37"/>
  <c r="E42" i="36"/>
  <c r="E42" i="34"/>
  <c r="F42" i="34" s="1"/>
  <c r="E42" i="32"/>
  <c r="F42" i="32" s="1"/>
  <c r="Q42" i="40"/>
  <c r="R42" i="40" s="1"/>
  <c r="E42" i="40"/>
  <c r="Q44" i="37"/>
  <c r="E44" i="18"/>
  <c r="E44" i="37"/>
  <c r="Q44" i="36"/>
  <c r="R44" i="36" s="1"/>
  <c r="Q44" i="35"/>
  <c r="R44" i="35" s="1"/>
  <c r="T44" i="35" s="1"/>
  <c r="Q44" i="34"/>
  <c r="R44" i="34" s="1"/>
  <c r="Q44" i="33"/>
  <c r="R44" i="33" s="1"/>
  <c r="Q44" i="32"/>
  <c r="Q44" i="31"/>
  <c r="E44" i="36"/>
  <c r="E44" i="34"/>
  <c r="E44" i="32"/>
  <c r="E44" i="35"/>
  <c r="E44" i="33"/>
  <c r="E44" i="31"/>
  <c r="F44" i="31" s="1"/>
  <c r="H44" i="31" s="1"/>
  <c r="Q44" i="18"/>
  <c r="R44" i="18" s="1"/>
  <c r="Q44" i="40"/>
  <c r="R44" i="40" s="1"/>
  <c r="E44" i="40"/>
  <c r="E46" i="37"/>
  <c r="E46" i="35"/>
  <c r="E46" i="34"/>
  <c r="E46" i="33"/>
  <c r="E46" i="32"/>
  <c r="E46" i="31"/>
  <c r="E46" i="18"/>
  <c r="Q46" i="36"/>
  <c r="R46" i="36" s="1"/>
  <c r="Q46" i="35"/>
  <c r="R46" i="35" s="1"/>
  <c r="T46" i="35" s="1"/>
  <c r="Q46" i="33"/>
  <c r="Q46" i="31"/>
  <c r="Q46" i="37"/>
  <c r="Q46" i="40"/>
  <c r="R46" i="40" s="1"/>
  <c r="Q46" i="34"/>
  <c r="R46" i="34" s="1"/>
  <c r="Q46" i="32"/>
  <c r="Q46" i="18"/>
  <c r="E46" i="36"/>
  <c r="E46" i="40"/>
  <c r="Q48" i="35"/>
  <c r="R48" i="35" s="1"/>
  <c r="S48" i="35" s="1"/>
  <c r="Q48" i="34"/>
  <c r="R48" i="34" s="1"/>
  <c r="Q48" i="33"/>
  <c r="R48" i="33" s="1"/>
  <c r="Q48" i="32"/>
  <c r="Q48" i="31"/>
  <c r="R48" i="31" s="1"/>
  <c r="Q48" i="18"/>
  <c r="Q48" i="37"/>
  <c r="R48" i="37" s="1"/>
  <c r="Q48" i="36"/>
  <c r="R48" i="36" s="1"/>
  <c r="E48" i="34"/>
  <c r="E48" i="32"/>
  <c r="E48" i="18"/>
  <c r="E48" i="36"/>
  <c r="E48" i="35"/>
  <c r="E48" i="33"/>
  <c r="E48" i="31"/>
  <c r="E48" i="37"/>
  <c r="Q48" i="40"/>
  <c r="R48" i="40" s="1"/>
  <c r="E48" i="40"/>
  <c r="Q57" i="37"/>
  <c r="R57" i="37" s="1"/>
  <c r="E57" i="37"/>
  <c r="E57" i="36"/>
  <c r="Q57" i="35"/>
  <c r="R57" i="35" s="1"/>
  <c r="Q57" i="34"/>
  <c r="R57" i="34" s="1"/>
  <c r="Q57" i="33"/>
  <c r="Q57" i="32"/>
  <c r="Q57" i="31"/>
  <c r="R57" i="31" s="1"/>
  <c r="E57" i="35"/>
  <c r="E57" i="33"/>
  <c r="E57" i="31"/>
  <c r="E57" i="18"/>
  <c r="Q57" i="36"/>
  <c r="R57" i="36" s="1"/>
  <c r="E57" i="34"/>
  <c r="F57" i="34" s="1"/>
  <c r="E57" i="32"/>
  <c r="Q57" i="18"/>
  <c r="Q57" i="40"/>
  <c r="R57" i="40" s="1"/>
  <c r="E57" i="40"/>
  <c r="Q75" i="35"/>
  <c r="R75" i="35" s="1"/>
  <c r="S75" i="35" s="1"/>
  <c r="Q75" i="34"/>
  <c r="R75" i="34" s="1"/>
  <c r="Q75" i="33"/>
  <c r="Q75" i="32"/>
  <c r="Q75" i="31"/>
  <c r="Q75" i="18"/>
  <c r="Q75" i="37"/>
  <c r="Q75" i="36"/>
  <c r="R75" i="36" s="1"/>
  <c r="E75" i="34"/>
  <c r="E75" i="32"/>
  <c r="E75" i="18"/>
  <c r="E75" i="36"/>
  <c r="E75" i="35"/>
  <c r="E75" i="33"/>
  <c r="E75" i="31"/>
  <c r="E75" i="37"/>
  <c r="E75" i="40"/>
  <c r="Q75" i="40"/>
  <c r="R75" i="40" s="1"/>
  <c r="E79" i="35"/>
  <c r="E79" i="34"/>
  <c r="F79" i="34" s="1"/>
  <c r="E79" i="33"/>
  <c r="E79" i="32"/>
  <c r="F79" i="32" s="1"/>
  <c r="E79" i="31"/>
  <c r="E79" i="18"/>
  <c r="E79" i="37"/>
  <c r="E79" i="36"/>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E67" i="36"/>
  <c r="Q67" i="35"/>
  <c r="R67" i="35" s="1"/>
  <c r="S67" i="35" s="1"/>
  <c r="Q67" i="34"/>
  <c r="R67" i="34" s="1"/>
  <c r="Q67" i="33"/>
  <c r="Q67" i="32"/>
  <c r="Q67" i="31"/>
  <c r="E67" i="18"/>
  <c r="Q67" i="37"/>
  <c r="R67" i="37" s="1"/>
  <c r="S67" i="37" s="1"/>
  <c r="E67" i="35"/>
  <c r="E67" i="33"/>
  <c r="E67" i="3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Q81" i="35"/>
  <c r="R81" i="35" s="1"/>
  <c r="Q81" i="34"/>
  <c r="R81" i="34" s="1"/>
  <c r="Q81" i="33"/>
  <c r="R81" i="33" s="1"/>
  <c r="S81" i="33" s="1"/>
  <c r="Q81" i="32"/>
  <c r="Q81" i="31"/>
  <c r="Q81" i="18"/>
  <c r="R81" i="18" s="1"/>
  <c r="Q81" i="37"/>
  <c r="R81" i="37" s="1"/>
  <c r="T81" i="37" s="1"/>
  <c r="Q81" i="36"/>
  <c r="R81" i="36" s="1"/>
  <c r="E81" i="34"/>
  <c r="E81" i="32"/>
  <c r="E81" i="18"/>
  <c r="E81" i="36"/>
  <c r="E81" i="35"/>
  <c r="E81" i="33"/>
  <c r="E81" i="31"/>
  <c r="E81" i="37"/>
  <c r="E81" i="40"/>
  <c r="F81" i="40" s="1"/>
  <c r="Q81" i="40"/>
  <c r="R81" i="40" s="1"/>
  <c r="Q59" i="37"/>
  <c r="R59" i="37" s="1"/>
  <c r="Q59" i="36"/>
  <c r="R59" i="36" s="1"/>
  <c r="E59" i="35"/>
  <c r="E59" i="34"/>
  <c r="E59" i="33"/>
  <c r="E59" i="32"/>
  <c r="E59" i="31"/>
  <c r="E59" i="18"/>
  <c r="E59" i="36"/>
  <c r="E59" i="37"/>
  <c r="Q59" i="35"/>
  <c r="R59" i="35" s="1"/>
  <c r="T59" i="35" s="1"/>
  <c r="Q59" i="33"/>
  <c r="R59" i="33" s="1"/>
  <c r="S59" i="33" s="1"/>
  <c r="Q59" i="31"/>
  <c r="Q59" i="40"/>
  <c r="R59" i="40" s="1"/>
  <c r="Q59" i="34"/>
  <c r="R59" i="34" s="1"/>
  <c r="Q59" i="32"/>
  <c r="Q59" i="18"/>
  <c r="R59" i="18" s="1"/>
  <c r="E59" i="40"/>
  <c r="E25" i="37"/>
  <c r="Q25" i="36"/>
  <c r="R25" i="36" s="1"/>
  <c r="Q25" i="35"/>
  <c r="R25" i="35" s="1"/>
  <c r="S25" i="35" s="1"/>
  <c r="Q25" i="34"/>
  <c r="R25" i="34" s="1"/>
  <c r="Q25" i="33"/>
  <c r="Q25" i="32"/>
  <c r="Q25" i="18"/>
  <c r="E25" i="31"/>
  <c r="E25" i="18"/>
  <c r="E25" i="34"/>
  <c r="E25" i="32"/>
  <c r="F25" i="32" s="1"/>
  <c r="Q25" i="31"/>
  <c r="Q25" i="37"/>
  <c r="E25" i="36"/>
  <c r="E25" i="35"/>
  <c r="E25" i="33"/>
  <c r="Q25" i="40"/>
  <c r="R25" i="40" s="1"/>
  <c r="E25" i="40"/>
  <c r="F25" i="40" s="1"/>
  <c r="C96" i="18"/>
  <c r="F96" i="18" s="1"/>
  <c r="C30" i="18"/>
  <c r="P30" i="18"/>
  <c r="P30" i="37"/>
  <c r="C30" i="37"/>
  <c r="C75" i="34"/>
  <c r="C75" i="32"/>
  <c r="P75" i="32"/>
  <c r="C75" i="37"/>
  <c r="P75" i="37"/>
  <c r="P58" i="18"/>
  <c r="C58" i="18"/>
  <c r="C70" i="18"/>
  <c r="P70" i="18"/>
  <c r="C84" i="32"/>
  <c r="P84" i="32"/>
  <c r="C84" i="34"/>
  <c r="F84" i="34" s="1"/>
  <c r="C68" i="33"/>
  <c r="P68" i="33"/>
  <c r="K9" i="36"/>
  <c r="K12" i="36"/>
  <c r="K10" i="36"/>
  <c r="K8" i="40"/>
  <c r="W8" i="40"/>
  <c r="F24" i="18"/>
  <c r="F82" i="18"/>
  <c r="W8" i="32"/>
  <c r="K8" i="32"/>
  <c r="K10" i="18"/>
  <c r="K12" i="18"/>
  <c r="R40" i="40"/>
  <c r="R60" i="40"/>
  <c r="R84" i="40"/>
  <c r="R34" i="40"/>
  <c r="R38" i="40"/>
  <c r="R92" i="40"/>
  <c r="R61" i="40"/>
  <c r="R96" i="40"/>
  <c r="R82" i="40"/>
  <c r="R20" i="40"/>
  <c r="R56" i="40"/>
  <c r="F76" i="37"/>
  <c r="H76" i="37" s="1"/>
  <c r="R61" i="35"/>
  <c r="T61" i="35" s="1"/>
  <c r="F36" i="36"/>
  <c r="H36" i="36" s="1"/>
  <c r="R96" i="35"/>
  <c r="R94" i="35"/>
  <c r="R82" i="35"/>
  <c r="F61" i="36"/>
  <c r="F58" i="36"/>
  <c r="F69" i="36"/>
  <c r="F90" i="36"/>
  <c r="F35" i="36"/>
  <c r="F99" i="36"/>
  <c r="F64" i="36"/>
  <c r="F86" i="36"/>
  <c r="F96" i="36"/>
  <c r="F30" i="36"/>
  <c r="F32" i="36"/>
  <c r="F82" i="36"/>
  <c r="W10" i="18"/>
  <c r="W9" i="18"/>
  <c r="W12" i="18"/>
  <c r="F76" i="31"/>
  <c r="H76" i="31" s="1"/>
  <c r="F11" i="39"/>
  <c r="W6" i="32"/>
  <c r="W12" i="36"/>
  <c r="W9" i="36"/>
  <c r="W10" i="36"/>
  <c r="W12" i="31"/>
  <c r="W9" i="31"/>
  <c r="W10" i="31"/>
  <c r="R32" i="31"/>
  <c r="R70" i="31"/>
  <c r="F96" i="37"/>
  <c r="H96" i="37" s="1"/>
  <c r="F82" i="31"/>
  <c r="G82" i="31" s="1"/>
  <c r="R78" i="35"/>
  <c r="S78" i="35" s="1"/>
  <c r="R80" i="35"/>
  <c r="S80" i="35" s="1"/>
  <c r="R58" i="35"/>
  <c r="S58" i="35" s="1"/>
  <c r="F82" i="37"/>
  <c r="G82" i="37" s="1"/>
  <c r="F99" i="37"/>
  <c r="H99" i="37" s="1"/>
  <c r="F68" i="37"/>
  <c r="F84" i="31"/>
  <c r="G84" i="31" s="1"/>
  <c r="T69" i="36"/>
  <c r="S69" i="36"/>
  <c r="T64" i="35"/>
  <c r="H82" i="33"/>
  <c r="G82" i="33"/>
  <c r="T99" i="35"/>
  <c r="R76" i="34"/>
  <c r="R58" i="34"/>
  <c r="R98" i="34"/>
  <c r="R32" i="34"/>
  <c r="R52" i="34"/>
  <c r="R38" i="34"/>
  <c r="R36" i="34"/>
  <c r="R26" i="34"/>
  <c r="R96" i="34"/>
  <c r="R82" i="34"/>
  <c r="R35" i="34"/>
  <c r="R34" i="34"/>
  <c r="R61" i="34"/>
  <c r="R83" i="34"/>
  <c r="R92" i="34"/>
  <c r="T52" i="31"/>
  <c r="S41" i="36"/>
  <c r="G82" i="34" l="1"/>
  <c r="R38" i="31"/>
  <c r="H88" i="31"/>
  <c r="R59" i="31"/>
  <c r="F57" i="35"/>
  <c r="H57" i="35" s="1"/>
  <c r="R42" i="31"/>
  <c r="T42" i="31" s="1"/>
  <c r="R73" i="33"/>
  <c r="S73" i="33" s="1"/>
  <c r="F97" i="32"/>
  <c r="F56" i="34"/>
  <c r="H56" i="34" s="1"/>
  <c r="R94" i="33"/>
  <c r="S94" i="33" s="1"/>
  <c r="F61" i="34"/>
  <c r="G61" i="34" s="1"/>
  <c r="R83" i="31"/>
  <c r="F75" i="31"/>
  <c r="G75" i="31" s="1"/>
  <c r="R42" i="18"/>
  <c r="S42" i="18" s="1"/>
  <c r="F55" i="32"/>
  <c r="F88" i="32"/>
  <c r="F42" i="31"/>
  <c r="H42" i="31" s="1"/>
  <c r="R48" i="18"/>
  <c r="T48" i="18" s="1"/>
  <c r="F39" i="32"/>
  <c r="F43" i="32"/>
  <c r="R22" i="37"/>
  <c r="S22" i="37" s="1"/>
  <c r="F48" i="35"/>
  <c r="G48" i="35" s="1"/>
  <c r="F41" i="32"/>
  <c r="R28" i="18"/>
  <c r="S28" i="18" s="1"/>
  <c r="R47" i="33"/>
  <c r="S47" i="33" s="1"/>
  <c r="R44" i="31"/>
  <c r="S44" i="31" s="1"/>
  <c r="R44" i="37"/>
  <c r="S44" i="37" s="1"/>
  <c r="F45" i="34"/>
  <c r="H45" i="34" s="1"/>
  <c r="R26" i="18"/>
  <c r="T26" i="18" s="1"/>
  <c r="F31" i="34"/>
  <c r="H31" i="34" s="1"/>
  <c r="R34" i="18"/>
  <c r="S34" i="18" s="1"/>
  <c r="F34" i="32"/>
  <c r="F21" i="34"/>
  <c r="G21" i="34" s="1"/>
  <c r="R22" i="31"/>
  <c r="T22" i="31" s="1"/>
  <c r="F25" i="34"/>
  <c r="H25" i="34" s="1"/>
  <c r="R21" i="18"/>
  <c r="T21" i="18" s="1"/>
  <c r="F19" i="32"/>
  <c r="S68" i="37"/>
  <c r="F73" i="34"/>
  <c r="G73" i="34" s="1"/>
  <c r="S35" i="33"/>
  <c r="R33" i="33"/>
  <c r="S33" i="33" s="1"/>
  <c r="R45" i="18"/>
  <c r="S45" i="18" s="1"/>
  <c r="T61" i="37"/>
  <c r="R57" i="33"/>
  <c r="T57" i="33" s="1"/>
  <c r="R49" i="33"/>
  <c r="S49" i="33" s="1"/>
  <c r="F50" i="32"/>
  <c r="S64" i="33"/>
  <c r="F48" i="32"/>
  <c r="R51" i="18"/>
  <c r="R41" i="33"/>
  <c r="S41" i="33" s="1"/>
  <c r="R47" i="37"/>
  <c r="S47" i="37" s="1"/>
  <c r="G52" i="34"/>
  <c r="F50" i="34"/>
  <c r="H50" i="34" s="1"/>
  <c r="R55" i="18"/>
  <c r="S55" i="18" s="1"/>
  <c r="R54" i="18"/>
  <c r="T54" i="18" s="1"/>
  <c r="R32" i="37"/>
  <c r="T32" i="37" s="1"/>
  <c r="R63" i="31"/>
  <c r="R62" i="33"/>
  <c r="T62" i="33" s="1"/>
  <c r="R85" i="37"/>
  <c r="S85" i="37" s="1"/>
  <c r="F28" i="32"/>
  <c r="F48" i="34"/>
  <c r="G48" i="34" s="1"/>
  <c r="F44" i="35"/>
  <c r="H44" i="35" s="1"/>
  <c r="R42" i="33"/>
  <c r="T42" i="33" s="1"/>
  <c r="R45" i="31"/>
  <c r="T45" i="31" s="1"/>
  <c r="F38" i="32"/>
  <c r="F38" i="35"/>
  <c r="G38" i="35" s="1"/>
  <c r="F32" i="35"/>
  <c r="H32" i="35" s="1"/>
  <c r="F44" i="32"/>
  <c r="R34" i="31"/>
  <c r="S34" i="31" s="1"/>
  <c r="F30" i="32"/>
  <c r="R34" i="33"/>
  <c r="S34" i="33" s="1"/>
  <c r="S36" i="35"/>
  <c r="R40" i="37"/>
  <c r="T40" i="37" s="1"/>
  <c r="S82" i="37"/>
  <c r="F96" i="33"/>
  <c r="H96" i="33" s="1"/>
  <c r="F53" i="31"/>
  <c r="H53" i="31" s="1"/>
  <c r="F87" i="36"/>
  <c r="H87" i="36" s="1"/>
  <c r="F80" i="31"/>
  <c r="H80" i="31" s="1"/>
  <c r="R69" i="31"/>
  <c r="S69" i="31" s="1"/>
  <c r="H35" i="34"/>
  <c r="G35" i="34"/>
  <c r="G68" i="34"/>
  <c r="H68" i="34"/>
  <c r="T77" i="18"/>
  <c r="H76" i="18"/>
  <c r="T86" i="31"/>
  <c r="R90" i="31"/>
  <c r="T90" i="31" s="1"/>
  <c r="T94" i="36"/>
  <c r="S88" i="18"/>
  <c r="T38" i="18"/>
  <c r="S69" i="18"/>
  <c r="T40" i="18"/>
  <c r="S83" i="18"/>
  <c r="S44" i="18"/>
  <c r="T97" i="36"/>
  <c r="T29" i="18"/>
  <c r="S31" i="18"/>
  <c r="G76" i="36"/>
  <c r="T54" i="31"/>
  <c r="T74" i="31"/>
  <c r="S78" i="31"/>
  <c r="S88" i="31"/>
  <c r="S62" i="18"/>
  <c r="T96" i="31"/>
  <c r="S39" i="36"/>
  <c r="T97" i="18"/>
  <c r="T85" i="36"/>
  <c r="S20" i="31"/>
  <c r="T45" i="36"/>
  <c r="T41" i="36"/>
  <c r="H36" i="18"/>
  <c r="T64" i="31"/>
  <c r="T90" i="18"/>
  <c r="T94" i="31"/>
  <c r="T82" i="18"/>
  <c r="T80" i="31"/>
  <c r="S22" i="18"/>
  <c r="H68" i="36"/>
  <c r="R76" i="32"/>
  <c r="S52" i="31"/>
  <c r="S68" i="18"/>
  <c r="S81" i="18"/>
  <c r="S46" i="36"/>
  <c r="S97" i="31"/>
  <c r="S87" i="36"/>
  <c r="T91" i="18"/>
  <c r="H68" i="18"/>
  <c r="S54" i="36"/>
  <c r="S78" i="18"/>
  <c r="S84" i="36"/>
  <c r="T84" i="18"/>
  <c r="S80" i="36"/>
  <c r="T80" i="18"/>
  <c r="T53" i="18"/>
  <c r="R20" i="33"/>
  <c r="S20" i="33" s="1"/>
  <c r="B21" i="40"/>
  <c r="B17" i="7"/>
  <c r="B21" i="34"/>
  <c r="O21" i="31"/>
  <c r="O21" i="34"/>
  <c r="O21" i="33"/>
  <c r="O21" i="37"/>
  <c r="O21" i="35"/>
  <c r="B21" i="36"/>
  <c r="B21" i="32"/>
  <c r="B21" i="31"/>
  <c r="O21" i="18"/>
  <c r="O21" i="32"/>
  <c r="B21" i="33"/>
  <c r="B21" i="35"/>
  <c r="O21" i="36"/>
  <c r="B21" i="18"/>
  <c r="B21" i="37"/>
  <c r="O21" i="40"/>
  <c r="T52" i="37"/>
  <c r="S52" i="37"/>
  <c r="F49" i="34"/>
  <c r="H49" i="34" s="1"/>
  <c r="S76" i="33"/>
  <c r="F48" i="31"/>
  <c r="H48" i="31" s="1"/>
  <c r="R23" i="33"/>
  <c r="S23" i="33" s="1"/>
  <c r="F73" i="32"/>
  <c r="R91" i="37"/>
  <c r="S91" i="37" s="1"/>
  <c r="F71" i="32"/>
  <c r="F27" i="37"/>
  <c r="G27" i="37" s="1"/>
  <c r="R83" i="37"/>
  <c r="R68" i="31"/>
  <c r="T68" i="31" s="1"/>
  <c r="R61" i="18"/>
  <c r="T61" i="18" s="1"/>
  <c r="T22" i="18"/>
  <c r="R81" i="31"/>
  <c r="T81" i="31" s="1"/>
  <c r="R79" i="31"/>
  <c r="S79" i="31" s="1"/>
  <c r="F57" i="32"/>
  <c r="R46" i="31"/>
  <c r="T46" i="31" s="1"/>
  <c r="R65" i="37"/>
  <c r="T65" i="37" s="1"/>
  <c r="F58" i="18"/>
  <c r="H58" i="18" s="1"/>
  <c r="R81" i="32"/>
  <c r="R55" i="37"/>
  <c r="T55" i="37" s="1"/>
  <c r="F56" i="32"/>
  <c r="R27" i="31"/>
  <c r="S27" i="31" s="1"/>
  <c r="G83" i="37"/>
  <c r="F22" i="36"/>
  <c r="H22" i="36" s="1"/>
  <c r="T76" i="37"/>
  <c r="F20" i="34"/>
  <c r="H20" i="34" s="1"/>
  <c r="R36" i="33"/>
  <c r="S36" i="33" s="1"/>
  <c r="F69" i="34"/>
  <c r="H69" i="34" s="1"/>
  <c r="S22" i="33"/>
  <c r="G68" i="18"/>
  <c r="F69" i="18"/>
  <c r="G69" i="18" s="1"/>
  <c r="F34" i="18"/>
  <c r="H34" i="18" s="1"/>
  <c r="R32" i="18"/>
  <c r="T32" i="18" s="1"/>
  <c r="F36" i="31"/>
  <c r="G36" i="31" s="1"/>
  <c r="F66" i="35"/>
  <c r="H66" i="35" s="1"/>
  <c r="F64" i="35"/>
  <c r="H64" i="35" s="1"/>
  <c r="T88" i="33"/>
  <c r="D33" i="38"/>
  <c r="G34" i="34"/>
  <c r="F61" i="18"/>
  <c r="G61" i="18" s="1"/>
  <c r="H36" i="33"/>
  <c r="G36" i="33"/>
  <c r="T84" i="33"/>
  <c r="S84" i="33"/>
  <c r="T40" i="33"/>
  <c r="F32" i="18"/>
  <c r="G32" i="18" s="1"/>
  <c r="F20" i="35"/>
  <c r="G20" i="35" s="1"/>
  <c r="I20" i="35" s="1"/>
  <c r="F26" i="32"/>
  <c r="F92" i="32"/>
  <c r="R27" i="18"/>
  <c r="S27" i="18" s="1"/>
  <c r="F83" i="34"/>
  <c r="G83" i="34" s="1"/>
  <c r="F19" i="34"/>
  <c r="H19" i="34" s="1"/>
  <c r="J19" i="34" s="1"/>
  <c r="K19" i="34" s="1"/>
  <c r="G17" i="17" s="1"/>
  <c r="S80" i="31"/>
  <c r="G76" i="37"/>
  <c r="E62" i="38"/>
  <c r="F34" i="31"/>
  <c r="H34" i="31" s="1"/>
  <c r="F43" i="34"/>
  <c r="H43" i="34" s="1"/>
  <c r="R99" i="18"/>
  <c r="S99" i="18" s="1"/>
  <c r="T54" i="36"/>
  <c r="F22" i="31"/>
  <c r="G22" i="31" s="1"/>
  <c r="F24" i="36"/>
  <c r="G24" i="36" s="1"/>
  <c r="F67" i="31"/>
  <c r="G67" i="31" s="1"/>
  <c r="D69" i="38"/>
  <c r="R58" i="18"/>
  <c r="T58" i="18" s="1"/>
  <c r="F32" i="32"/>
  <c r="F50" i="31"/>
  <c r="G50" i="31" s="1"/>
  <c r="F94" i="32"/>
  <c r="F58" i="37"/>
  <c r="H58" i="37" s="1"/>
  <c r="F22" i="35"/>
  <c r="H22" i="35" s="1"/>
  <c r="T77" i="33"/>
  <c r="R33" i="18"/>
  <c r="T33" i="18" s="1"/>
  <c r="F38" i="18"/>
  <c r="H38" i="18" s="1"/>
  <c r="T53" i="33"/>
  <c r="E54" i="38"/>
  <c r="E87" i="38"/>
  <c r="T78" i="37"/>
  <c r="F61" i="31"/>
  <c r="G61" i="31" s="1"/>
  <c r="F78" i="36"/>
  <c r="H78" i="36" s="1"/>
  <c r="F72" i="36"/>
  <c r="G72" i="36" s="1"/>
  <c r="F41" i="35"/>
  <c r="H41" i="35" s="1"/>
  <c r="F74" i="33"/>
  <c r="H74" i="33" s="1"/>
  <c r="F56" i="35"/>
  <c r="H56" i="35" s="1"/>
  <c r="D61" i="38"/>
  <c r="F68" i="40"/>
  <c r="F61" i="37"/>
  <c r="T84" i="36"/>
  <c r="T20" i="31"/>
  <c r="G68" i="36"/>
  <c r="E35" i="38"/>
  <c r="E51" i="38"/>
  <c r="S88" i="35"/>
  <c r="F32" i="31"/>
  <c r="G32" i="31" s="1"/>
  <c r="F88" i="36"/>
  <c r="G88" i="36" s="1"/>
  <c r="F20" i="36"/>
  <c r="G20" i="36" s="1"/>
  <c r="F53" i="18"/>
  <c r="H53" i="18" s="1"/>
  <c r="F22" i="37"/>
  <c r="G22" i="37" s="1"/>
  <c r="R20" i="18"/>
  <c r="S20" i="18" s="1"/>
  <c r="F20" i="32"/>
  <c r="R74" i="37"/>
  <c r="T74" i="37" s="1"/>
  <c r="F80" i="35"/>
  <c r="G80" i="35" s="1"/>
  <c r="F32" i="34"/>
  <c r="H32" i="34" s="1"/>
  <c r="F98" i="18"/>
  <c r="H98" i="18" s="1"/>
  <c r="R60" i="33"/>
  <c r="T60" i="33" s="1"/>
  <c r="F74" i="34"/>
  <c r="F80" i="34"/>
  <c r="H80" i="34" s="1"/>
  <c r="F32" i="37"/>
  <c r="S28" i="33"/>
  <c r="T28" i="33"/>
  <c r="T84" i="37"/>
  <c r="S84" i="37"/>
  <c r="F92" i="40"/>
  <c r="D85" i="38"/>
  <c r="F83" i="35"/>
  <c r="S96" i="31"/>
  <c r="E92" i="38"/>
  <c r="T95" i="35"/>
  <c r="S53" i="31"/>
  <c r="H68" i="35"/>
  <c r="F59" i="36"/>
  <c r="H59" i="36" s="1"/>
  <c r="F83" i="33"/>
  <c r="G83" i="33" s="1"/>
  <c r="F87" i="33"/>
  <c r="G87" i="33" s="1"/>
  <c r="F58" i="32"/>
  <c r="S58" i="37"/>
  <c r="T58" i="37"/>
  <c r="F78" i="37"/>
  <c r="G78" i="37" s="1"/>
  <c r="F56" i="37"/>
  <c r="H56" i="37" s="1"/>
  <c r="F62" i="37"/>
  <c r="G62" i="37" s="1"/>
  <c r="F80" i="18"/>
  <c r="G80" i="18" s="1"/>
  <c r="F76" i="33"/>
  <c r="F52" i="36"/>
  <c r="G52" i="36" s="1"/>
  <c r="F53" i="37"/>
  <c r="G53" i="37" s="1"/>
  <c r="F22" i="40"/>
  <c r="D15" i="38"/>
  <c r="S82" i="33"/>
  <c r="H92" i="34"/>
  <c r="F28" i="18"/>
  <c r="H28" i="18" s="1"/>
  <c r="F40" i="33"/>
  <c r="H40" i="33" s="1"/>
  <c r="S92" i="33"/>
  <c r="T92" i="33"/>
  <c r="F52" i="35"/>
  <c r="H52" i="35" s="1"/>
  <c r="F66" i="31"/>
  <c r="G66" i="31" s="1"/>
  <c r="S26" i="37"/>
  <c r="T26" i="37"/>
  <c r="S52" i="33"/>
  <c r="S74" i="31"/>
  <c r="T72" i="33"/>
  <c r="F97" i="31"/>
  <c r="H97" i="31" s="1"/>
  <c r="F19" i="36"/>
  <c r="G19" i="36" s="1"/>
  <c r="I19" i="36" s="1"/>
  <c r="F84" i="18"/>
  <c r="G84" i="18" s="1"/>
  <c r="F74" i="36"/>
  <c r="H74" i="36" s="1"/>
  <c r="S54" i="37"/>
  <c r="D26" i="38"/>
  <c r="T93" i="33"/>
  <c r="S93" i="33"/>
  <c r="T27" i="35"/>
  <c r="S27" i="35"/>
  <c r="F19" i="18"/>
  <c r="G19" i="18" s="1"/>
  <c r="I19" i="18" s="1"/>
  <c r="F64" i="40"/>
  <c r="D57" i="38"/>
  <c r="R68" i="33"/>
  <c r="S68" i="33" s="1"/>
  <c r="R38" i="37"/>
  <c r="T38" i="37" s="1"/>
  <c r="F19" i="31"/>
  <c r="G19" i="31" s="1"/>
  <c r="I19" i="31" s="1"/>
  <c r="I20" i="31" s="1"/>
  <c r="F76" i="34"/>
  <c r="H76" i="34" s="1"/>
  <c r="F24" i="34"/>
  <c r="H24" i="34" s="1"/>
  <c r="R66" i="33"/>
  <c r="F99" i="34"/>
  <c r="G99" i="34" s="1"/>
  <c r="R98" i="37"/>
  <c r="T98" i="37" s="1"/>
  <c r="H91" i="31"/>
  <c r="R70" i="18"/>
  <c r="T70" i="18" s="1"/>
  <c r="R50" i="18"/>
  <c r="T50" i="18" s="1"/>
  <c r="R60" i="18"/>
  <c r="S60" i="18" s="1"/>
  <c r="F76" i="32"/>
  <c r="T50" i="33"/>
  <c r="F60" i="36"/>
  <c r="G60" i="36" s="1"/>
  <c r="F64" i="18"/>
  <c r="H64" i="18" s="1"/>
  <c r="F69" i="31"/>
  <c r="G69" i="31" s="1"/>
  <c r="R66" i="18"/>
  <c r="T66" i="18" s="1"/>
  <c r="R72" i="37"/>
  <c r="T72" i="37" s="1"/>
  <c r="F64" i="31"/>
  <c r="G53" i="34"/>
  <c r="F44" i="36"/>
  <c r="G44" i="36" s="1"/>
  <c r="F44" i="18"/>
  <c r="H44" i="18" s="1"/>
  <c r="F39" i="40"/>
  <c r="D32" i="38"/>
  <c r="F39" i="36"/>
  <c r="H39" i="36" s="1"/>
  <c r="F39" i="37"/>
  <c r="H39" i="37" s="1"/>
  <c r="F23" i="18"/>
  <c r="H23" i="18" s="1"/>
  <c r="F90" i="40"/>
  <c r="D83" i="38"/>
  <c r="F98" i="31"/>
  <c r="H98" i="31" s="1"/>
  <c r="F22" i="18"/>
  <c r="G22" i="18" s="1"/>
  <c r="F98" i="40"/>
  <c r="F80" i="33"/>
  <c r="H80" i="33" s="1"/>
  <c r="E33" i="38"/>
  <c r="F40" i="34"/>
  <c r="G40" i="34" s="1"/>
  <c r="F62" i="40"/>
  <c r="D55" i="38"/>
  <c r="F50" i="37"/>
  <c r="H50" i="37" s="1"/>
  <c r="H61" i="35"/>
  <c r="G61" i="35"/>
  <c r="H53" i="35"/>
  <c r="G53" i="35"/>
  <c r="S90" i="33"/>
  <c r="E57" i="38"/>
  <c r="R66" i="31"/>
  <c r="T66" i="31" s="1"/>
  <c r="F26" i="18"/>
  <c r="G26" i="18" s="1"/>
  <c r="E31" i="38"/>
  <c r="G61" i="33"/>
  <c r="F94" i="36"/>
  <c r="G94" i="36" s="1"/>
  <c r="F79" i="36"/>
  <c r="H79" i="36" s="1"/>
  <c r="F26" i="31"/>
  <c r="H26" i="31" s="1"/>
  <c r="F93" i="31"/>
  <c r="G93" i="31" s="1"/>
  <c r="F48" i="40"/>
  <c r="F44" i="40"/>
  <c r="D37" i="38"/>
  <c r="F26" i="37"/>
  <c r="G26" i="37" s="1"/>
  <c r="F26" i="36"/>
  <c r="G26" i="36" s="1"/>
  <c r="H36" i="34"/>
  <c r="T62" i="31"/>
  <c r="S62" i="31"/>
  <c r="T83" i="18"/>
  <c r="S58" i="33"/>
  <c r="S90" i="18"/>
  <c r="F50" i="36"/>
  <c r="H50" i="36" s="1"/>
  <c r="F80" i="36"/>
  <c r="G80" i="36" s="1"/>
  <c r="F70" i="37"/>
  <c r="G70" i="37" s="1"/>
  <c r="F78" i="31"/>
  <c r="H78" i="31" s="1"/>
  <c r="T30" i="35"/>
  <c r="S30" i="35"/>
  <c r="H88" i="35"/>
  <c r="G88" i="35"/>
  <c r="R19" i="37"/>
  <c r="T19" i="37" s="1"/>
  <c r="V19" i="37" s="1"/>
  <c r="W19" i="37" s="1"/>
  <c r="AA17" i="17" s="1"/>
  <c r="R64" i="37"/>
  <c r="S64" i="37" s="1"/>
  <c r="R72" i="31"/>
  <c r="T72" i="31" s="1"/>
  <c r="F72" i="37"/>
  <c r="H72" i="37" s="1"/>
  <c r="R56" i="37"/>
  <c r="R72" i="32"/>
  <c r="F76" i="35"/>
  <c r="G76" i="35" s="1"/>
  <c r="F84" i="32"/>
  <c r="F75" i="32"/>
  <c r="F20" i="18"/>
  <c r="H20" i="18" s="1"/>
  <c r="R98" i="33"/>
  <c r="F89" i="37"/>
  <c r="G89" i="37" s="1"/>
  <c r="S96" i="33"/>
  <c r="D62" i="38"/>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E26" i="38"/>
  <c r="F45" i="37"/>
  <c r="G45" i="37" s="1"/>
  <c r="F53" i="36"/>
  <c r="H53" i="36" s="1"/>
  <c r="D42" i="38"/>
  <c r="T53" i="37"/>
  <c r="F90" i="31"/>
  <c r="H90" i="31" s="1"/>
  <c r="R99" i="37"/>
  <c r="T99" i="37" s="1"/>
  <c r="F26" i="35"/>
  <c r="H26" i="35" s="1"/>
  <c r="F92" i="37"/>
  <c r="G92" i="37" s="1"/>
  <c r="F64" i="32"/>
  <c r="R69" i="33"/>
  <c r="R24" i="37"/>
  <c r="S24" i="37" s="1"/>
  <c r="F69" i="32"/>
  <c r="F58" i="35"/>
  <c r="G58" i="35" s="1"/>
  <c r="T80" i="35"/>
  <c r="S61" i="33"/>
  <c r="H76" i="36"/>
  <c r="T48" i="35"/>
  <c r="E20" i="38"/>
  <c r="E19" i="38"/>
  <c r="F94" i="37"/>
  <c r="G94" i="37" s="1"/>
  <c r="F77" i="31"/>
  <c r="H77" i="31" s="1"/>
  <c r="F31" i="36"/>
  <c r="H31" i="36" s="1"/>
  <c r="F51" i="36"/>
  <c r="G51" i="36" s="1"/>
  <c r="F62" i="18"/>
  <c r="H62" i="18" s="1"/>
  <c r="D23" i="38"/>
  <c r="D41" i="38"/>
  <c r="D19" i="38"/>
  <c r="F83" i="18"/>
  <c r="H83" i="18" s="1"/>
  <c r="F60" i="18"/>
  <c r="H60" i="18" s="1"/>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D59" i="38"/>
  <c r="F86" i="18"/>
  <c r="H86" i="18" s="1"/>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T96" i="37"/>
  <c r="G35" i="33"/>
  <c r="R67" i="31"/>
  <c r="T67" i="31" s="1"/>
  <c r="F91" i="35"/>
  <c r="H91" i="35" s="1"/>
  <c r="F65" i="31"/>
  <c r="G65" i="31" s="1"/>
  <c r="S40" i="18"/>
  <c r="S26" i="33"/>
  <c r="T89" i="33"/>
  <c r="G82" i="35"/>
  <c r="G34" i="35"/>
  <c r="T19" i="35"/>
  <c r="V19" i="35" s="1"/>
  <c r="W19" i="35" s="1"/>
  <c r="V17" i="17" s="1"/>
  <c r="T97" i="31"/>
  <c r="S94" i="31"/>
  <c r="S45" i="37"/>
  <c r="S51" i="37"/>
  <c r="R25" i="32"/>
  <c r="F81" i="32"/>
  <c r="R21" i="33"/>
  <c r="S21" i="33" s="1"/>
  <c r="F37" i="32"/>
  <c r="F71" i="34"/>
  <c r="H71" i="34" s="1"/>
  <c r="G22" i="36"/>
  <c r="H26" i="33"/>
  <c r="H38" i="34"/>
  <c r="H82" i="31"/>
  <c r="G52" i="37"/>
  <c r="H98" i="34"/>
  <c r="G98" i="34"/>
  <c r="H50" i="18"/>
  <c r="G50" i="18"/>
  <c r="T88" i="31"/>
  <c r="T51" i="33"/>
  <c r="S86" i="33"/>
  <c r="T37" i="35"/>
  <c r="T69" i="18"/>
  <c r="S54" i="31"/>
  <c r="E83" i="38"/>
  <c r="S53" i="35"/>
  <c r="H51" i="31"/>
  <c r="F45" i="18"/>
  <c r="G45" i="18" s="1"/>
  <c r="S55" i="37"/>
  <c r="F98" i="36"/>
  <c r="H98" i="36" s="1"/>
  <c r="F84" i="36"/>
  <c r="H84" i="36" s="1"/>
  <c r="D82" i="38"/>
  <c r="D17" i="38"/>
  <c r="F65" i="18"/>
  <c r="G65" i="18" s="1"/>
  <c r="F97" i="37"/>
  <c r="G97" i="37" s="1"/>
  <c r="R26" i="31"/>
  <c r="T26" i="31" s="1"/>
  <c r="F60" i="37"/>
  <c r="H60" i="37" s="1"/>
  <c r="F54" i="33"/>
  <c r="H54" i="33" s="1"/>
  <c r="F50" i="40"/>
  <c r="D43" i="38"/>
  <c r="F80" i="40"/>
  <c r="D73" i="38"/>
  <c r="F64" i="33"/>
  <c r="S78" i="33"/>
  <c r="E73" i="38"/>
  <c r="H62" i="35"/>
  <c r="T93" i="37"/>
  <c r="F48" i="36"/>
  <c r="H48" i="36" s="1"/>
  <c r="F45" i="36"/>
  <c r="G45" i="36" s="1"/>
  <c r="F33" i="31"/>
  <c r="G33" i="31" s="1"/>
  <c r="F94" i="18"/>
  <c r="G94" i="18" s="1"/>
  <c r="F37" i="31"/>
  <c r="G37" i="31" s="1"/>
  <c r="F50" i="35"/>
  <c r="G50" i="35" s="1"/>
  <c r="F26" i="34"/>
  <c r="G26" i="34" s="1"/>
  <c r="F92" i="18"/>
  <c r="H92" i="18" s="1"/>
  <c r="R98" i="31"/>
  <c r="T98" i="31" s="1"/>
  <c r="R27" i="33"/>
  <c r="S27" i="33" s="1"/>
  <c r="F72" i="35"/>
  <c r="H72" i="35" s="1"/>
  <c r="F62" i="33"/>
  <c r="F34" i="33"/>
  <c r="E49" i="38"/>
  <c r="T30" i="33"/>
  <c r="T71" i="35"/>
  <c r="E17" i="38"/>
  <c r="E44" i="38"/>
  <c r="S97" i="36"/>
  <c r="F21" i="31"/>
  <c r="G21" i="31" s="1"/>
  <c r="F56" i="36"/>
  <c r="H56" i="36" s="1"/>
  <c r="F84" i="37"/>
  <c r="H84" i="37" s="1"/>
  <c r="F51" i="37"/>
  <c r="H51" i="37" s="1"/>
  <c r="F63" i="37"/>
  <c r="G63" i="37" s="1"/>
  <c r="D18" i="38"/>
  <c r="F67" i="18"/>
  <c r="G67" i="18" s="1"/>
  <c r="F84" i="33"/>
  <c r="G84" i="33" s="1"/>
  <c r="R80" i="37"/>
  <c r="T80" i="37" s="1"/>
  <c r="R99" i="31"/>
  <c r="T99" i="31" s="1"/>
  <c r="F40" i="37"/>
  <c r="H40" i="37" s="1"/>
  <c r="G56" i="34"/>
  <c r="R27" i="37"/>
  <c r="S27" i="37" s="1"/>
  <c r="F98" i="35"/>
  <c r="H98" i="35" s="1"/>
  <c r="F90" i="33"/>
  <c r="F58" i="33"/>
  <c r="T38" i="31"/>
  <c r="S38" i="31"/>
  <c r="S28" i="37"/>
  <c r="T28" i="37"/>
  <c r="S70" i="37"/>
  <c r="T70" i="37"/>
  <c r="F99" i="31"/>
  <c r="H99" i="31" s="1"/>
  <c r="S20" i="37"/>
  <c r="F59" i="31"/>
  <c r="F81" i="34"/>
  <c r="G81" i="34" s="1"/>
  <c r="F21" i="18"/>
  <c r="H21" i="18" s="1"/>
  <c r="F21" i="37"/>
  <c r="G21" i="37" s="1"/>
  <c r="F29" i="18"/>
  <c r="G29" i="18" s="1"/>
  <c r="F63" i="33"/>
  <c r="G63" i="33" s="1"/>
  <c r="F73" i="40"/>
  <c r="F85" i="31"/>
  <c r="G85" i="31" s="1"/>
  <c r="D78" i="38"/>
  <c r="F94" i="35"/>
  <c r="H30" i="35"/>
  <c r="G30" i="35"/>
  <c r="F52" i="31"/>
  <c r="G52" i="31" s="1"/>
  <c r="F84" i="35"/>
  <c r="F66" i="36"/>
  <c r="F40" i="36"/>
  <c r="H40" i="36" s="1"/>
  <c r="S83" i="33"/>
  <c r="T50" i="37"/>
  <c r="S36" i="31"/>
  <c r="T36" i="31"/>
  <c r="F55" i="18"/>
  <c r="H55" i="18" s="1"/>
  <c r="F77" i="18"/>
  <c r="G77" i="18" s="1"/>
  <c r="F93" i="18"/>
  <c r="G93" i="18" s="1"/>
  <c r="T69" i="37"/>
  <c r="D31" i="38"/>
  <c r="F38" i="31"/>
  <c r="H38" i="31" s="1"/>
  <c r="G87" i="35"/>
  <c r="H87" i="35"/>
  <c r="F87" i="34"/>
  <c r="G87" i="34" s="1"/>
  <c r="E80" i="38"/>
  <c r="F47" i="40"/>
  <c r="F47" i="34"/>
  <c r="G47" i="34" s="1"/>
  <c r="F41" i="34"/>
  <c r="G41" i="34" s="1"/>
  <c r="F95" i="34"/>
  <c r="G95" i="34" s="1"/>
  <c r="E88" i="38"/>
  <c r="F95" i="36"/>
  <c r="G95" i="36" s="1"/>
  <c r="F70" i="31"/>
  <c r="G70" i="31" s="1"/>
  <c r="S92" i="35"/>
  <c r="T92" i="35"/>
  <c r="F66" i="33"/>
  <c r="G96" i="34"/>
  <c r="H96" i="34"/>
  <c r="F66" i="37"/>
  <c r="H66" i="37" s="1"/>
  <c r="T69" i="35"/>
  <c r="F40" i="31"/>
  <c r="H40" i="31" s="1"/>
  <c r="F74" i="18"/>
  <c r="G74" i="18" s="1"/>
  <c r="F24" i="32"/>
  <c r="F60" i="32"/>
  <c r="R24" i="33"/>
  <c r="F19" i="40"/>
  <c r="F20" i="33"/>
  <c r="H62" i="37"/>
  <c r="T29" i="35"/>
  <c r="H83" i="31"/>
  <c r="E12" i="38"/>
  <c r="H12" i="38" s="1"/>
  <c r="F44" i="37"/>
  <c r="H44" i="37" s="1"/>
  <c r="S35" i="37"/>
  <c r="F39" i="31"/>
  <c r="H39" i="31" s="1"/>
  <c r="F25" i="36"/>
  <c r="G25" i="36" s="1"/>
  <c r="F46" i="36"/>
  <c r="H46" i="36" s="1"/>
  <c r="F38" i="36"/>
  <c r="H38" i="36" s="1"/>
  <c r="F54" i="36"/>
  <c r="F67" i="37"/>
  <c r="F45" i="31"/>
  <c r="G45" i="31" s="1"/>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D77" i="38"/>
  <c r="D76" i="38"/>
  <c r="D56" i="38"/>
  <c r="T31" i="37"/>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F85" i="36"/>
  <c r="H85" i="36" s="1"/>
  <c r="T86" i="37"/>
  <c r="S86" i="37"/>
  <c r="F86" i="37"/>
  <c r="G86" i="37" s="1"/>
  <c r="S94" i="37"/>
  <c r="T94" i="37"/>
  <c r="D81" i="38"/>
  <c r="F88" i="40"/>
  <c r="G88" i="34"/>
  <c r="H88" i="34"/>
  <c r="G99" i="37"/>
  <c r="S63" i="35"/>
  <c r="F79" i="37"/>
  <c r="H79" i="37" s="1"/>
  <c r="F75" i="40"/>
  <c r="F57" i="36"/>
  <c r="H57" i="36" s="1"/>
  <c r="F73" i="18"/>
  <c r="H73" i="18" s="1"/>
  <c r="F28" i="31"/>
  <c r="H28" i="31" s="1"/>
  <c r="G28" i="34"/>
  <c r="H28" i="34"/>
  <c r="F28" i="37"/>
  <c r="G28" i="37" s="1"/>
  <c r="F54" i="18"/>
  <c r="G54" i="18" s="1"/>
  <c r="F86" i="35"/>
  <c r="S88" i="37"/>
  <c r="T88" i="37"/>
  <c r="E21" i="38"/>
  <c r="F57" i="31"/>
  <c r="F90" i="37"/>
  <c r="F39" i="18"/>
  <c r="G39" i="18" s="1"/>
  <c r="F30" i="18"/>
  <c r="G30" i="18" s="1"/>
  <c r="F59" i="35"/>
  <c r="G59" i="35" s="1"/>
  <c r="F79" i="18"/>
  <c r="G79" i="18" s="1"/>
  <c r="F33" i="37"/>
  <c r="G33" i="37" s="1"/>
  <c r="F87" i="40"/>
  <c r="D80" i="38"/>
  <c r="F91" i="18"/>
  <c r="G91" i="18" s="1"/>
  <c r="F43" i="36"/>
  <c r="H43" i="36" s="1"/>
  <c r="F31" i="35"/>
  <c r="G31" i="35" s="1"/>
  <c r="F71" i="36"/>
  <c r="G71" i="36" s="1"/>
  <c r="F28" i="40"/>
  <c r="F54" i="40"/>
  <c r="D47" i="38"/>
  <c r="F60" i="33"/>
  <c r="F78" i="40"/>
  <c r="H52" i="33"/>
  <c r="G52" i="33"/>
  <c r="F88" i="37"/>
  <c r="H88" i="37" s="1"/>
  <c r="T85" i="37"/>
  <c r="R75" i="31"/>
  <c r="T75" i="31" s="1"/>
  <c r="F91" i="40"/>
  <c r="F65" i="36"/>
  <c r="G65" i="36" s="1"/>
  <c r="F47" i="36"/>
  <c r="G47" i="36" s="1"/>
  <c r="F45" i="35"/>
  <c r="H45" i="35" s="1"/>
  <c r="F43" i="33"/>
  <c r="F95" i="40"/>
  <c r="D88" i="38"/>
  <c r="F37" i="40"/>
  <c r="F55" i="31"/>
  <c r="G55" i="31" s="1"/>
  <c r="D48" i="38"/>
  <c r="F71" i="40"/>
  <c r="D64" i="38"/>
  <c r="F77" i="35"/>
  <c r="G77" i="35" s="1"/>
  <c r="F77" i="36"/>
  <c r="G77" i="36" s="1"/>
  <c r="F88" i="18"/>
  <c r="F94" i="34"/>
  <c r="F30" i="33"/>
  <c r="F70" i="36"/>
  <c r="H70" i="36" s="1"/>
  <c r="F74" i="40"/>
  <c r="D67" i="38"/>
  <c r="F60" i="31"/>
  <c r="H60" i="31" s="1"/>
  <c r="D53" i="38"/>
  <c r="F78" i="35"/>
  <c r="F56" i="40"/>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F78" i="33"/>
  <c r="F92" i="33"/>
  <c r="F94" i="33"/>
  <c r="T90" i="34"/>
  <c r="S90" i="34"/>
  <c r="T28" i="31"/>
  <c r="S28" i="31"/>
  <c r="S54" i="33"/>
  <c r="T54" i="33"/>
  <c r="F59" i="37"/>
  <c r="F67" i="40"/>
  <c r="D60" i="38"/>
  <c r="T79" i="33"/>
  <c r="S79" i="33"/>
  <c r="F75" i="36"/>
  <c r="G75" i="36" s="1"/>
  <c r="F57" i="40"/>
  <c r="F42" i="36"/>
  <c r="G42" i="36" s="1"/>
  <c r="H42" i="35"/>
  <c r="G42" i="35"/>
  <c r="F21" i="40"/>
  <c r="D14" i="38"/>
  <c r="F29" i="34"/>
  <c r="G29" i="34" s="1"/>
  <c r="F87" i="18"/>
  <c r="G87" i="18" s="1"/>
  <c r="F47" i="18"/>
  <c r="H47" i="18" s="1"/>
  <c r="F45" i="40"/>
  <c r="E38" i="38"/>
  <c r="F43" i="35"/>
  <c r="F41" i="40"/>
  <c r="F41" i="36"/>
  <c r="H41" i="36" s="1"/>
  <c r="F55" i="33"/>
  <c r="F55" i="34"/>
  <c r="H55" i="34" s="1"/>
  <c r="F55" i="36"/>
  <c r="G55" i="36" s="1"/>
  <c r="F71" i="35"/>
  <c r="H71" i="35" s="1"/>
  <c r="F77" i="40"/>
  <c r="E70" i="38"/>
  <c r="T44" i="18"/>
  <c r="T65" i="33"/>
  <c r="T75" i="35"/>
  <c r="E39" i="38"/>
  <c r="S70" i="35"/>
  <c r="T77" i="37"/>
  <c r="S29" i="36"/>
  <c r="F37" i="36"/>
  <c r="G37" i="36" s="1"/>
  <c r="F49" i="36"/>
  <c r="H49" i="36" s="1"/>
  <c r="F25" i="35"/>
  <c r="H25" i="35" s="1"/>
  <c r="S59" i="37"/>
  <c r="T59" i="37"/>
  <c r="F81" i="31"/>
  <c r="F73" i="35"/>
  <c r="F67" i="35"/>
  <c r="G67" i="35" s="1"/>
  <c r="F79" i="40"/>
  <c r="D72" i="38"/>
  <c r="T57" i="37"/>
  <c r="S57" i="37"/>
  <c r="F48" i="18"/>
  <c r="G48" i="18" s="1"/>
  <c r="F44" i="34"/>
  <c r="H44" i="34" s="1"/>
  <c r="F42" i="18"/>
  <c r="H42" i="18" s="1"/>
  <c r="F39" i="35"/>
  <c r="H39" i="35" s="1"/>
  <c r="F23" i="40"/>
  <c r="E16" i="38"/>
  <c r="F95" i="18"/>
  <c r="H95" i="18" s="1"/>
  <c r="F97" i="40"/>
  <c r="D90" i="38"/>
  <c r="F97" i="35"/>
  <c r="G97" i="35" s="1"/>
  <c r="F97" i="36"/>
  <c r="G97" i="36" s="1"/>
  <c r="F29" i="40"/>
  <c r="D22" i="38"/>
  <c r="F29" i="35"/>
  <c r="G29" i="35" s="1"/>
  <c r="F63" i="36"/>
  <c r="G63" i="36" s="1"/>
  <c r="F73" i="36"/>
  <c r="H73" i="36" s="1"/>
  <c r="F33" i="36"/>
  <c r="H33" i="36" s="1"/>
  <c r="R87" i="31"/>
  <c r="S87" i="31" s="1"/>
  <c r="F63" i="31"/>
  <c r="H63" i="31" s="1"/>
  <c r="F37" i="18"/>
  <c r="H37" i="18" s="1"/>
  <c r="F91" i="37"/>
  <c r="H91" i="37" s="1"/>
  <c r="F91" i="36"/>
  <c r="G91" i="36" s="1"/>
  <c r="F65" i="40"/>
  <c r="D58" i="38"/>
  <c r="E58" i="38"/>
  <c r="F43" i="40"/>
  <c r="D36" i="38"/>
  <c r="F79" i="31"/>
  <c r="H79" i="31" s="1"/>
  <c r="F37" i="37"/>
  <c r="H37" i="37" s="1"/>
  <c r="F55" i="37"/>
  <c r="H55" i="37" s="1"/>
  <c r="F89" i="36"/>
  <c r="G89" i="36" s="1"/>
  <c r="F77" i="37"/>
  <c r="F93" i="40"/>
  <c r="F93" i="35"/>
  <c r="H93" i="35" s="1"/>
  <c r="F93" i="36"/>
  <c r="H93" i="36" s="1"/>
  <c r="R91" i="31"/>
  <c r="T91" i="31" s="1"/>
  <c r="R49" i="31"/>
  <c r="S49" i="31" s="1"/>
  <c r="R95" i="31"/>
  <c r="T95" i="31" s="1"/>
  <c r="F28" i="35"/>
  <c r="F54" i="37"/>
  <c r="H86" i="34"/>
  <c r="G86" i="34"/>
  <c r="F86" i="33"/>
  <c r="T55" i="33"/>
  <c r="T45" i="35"/>
  <c r="G90" i="34"/>
  <c r="T39" i="36"/>
  <c r="S46" i="35"/>
  <c r="E24" i="38"/>
  <c r="E36" i="38"/>
  <c r="F23" i="37"/>
  <c r="H23" i="37" s="1"/>
  <c r="F23" i="36"/>
  <c r="G23" i="36" s="1"/>
  <c r="F29" i="36"/>
  <c r="G29" i="36" s="1"/>
  <c r="D29" i="38"/>
  <c r="F91" i="34"/>
  <c r="G91" i="34" s="1"/>
  <c r="F54" i="32"/>
  <c r="R51" i="31"/>
  <c r="T51" i="31" s="1"/>
  <c r="T36" i="37"/>
  <c r="S36" i="37"/>
  <c r="F47" i="31"/>
  <c r="F25" i="31"/>
  <c r="H25" i="31" s="1"/>
  <c r="F71" i="18"/>
  <c r="G71" i="18" s="1"/>
  <c r="F46" i="31"/>
  <c r="G46" i="31" s="1"/>
  <c r="F54" i="35"/>
  <c r="S66" i="35"/>
  <c r="T66" i="35"/>
  <c r="F28" i="36"/>
  <c r="F28" i="33"/>
  <c r="D79" i="38"/>
  <c r="F86" i="31"/>
  <c r="G35" i="35"/>
  <c r="H35" i="35"/>
  <c r="F81" i="37"/>
  <c r="G81" i="37" s="1"/>
  <c r="F81" i="36"/>
  <c r="G81" i="36" s="1"/>
  <c r="F67" i="36"/>
  <c r="G67" i="36" s="1"/>
  <c r="F57" i="37"/>
  <c r="F73" i="37"/>
  <c r="D89" i="38"/>
  <c r="D38" i="38"/>
  <c r="D50" i="38"/>
  <c r="S31" i="33"/>
  <c r="E14" i="38"/>
  <c r="S71" i="37"/>
  <c r="F21" i="36"/>
  <c r="G21" i="36" s="1"/>
  <c r="F85" i="37"/>
  <c r="T81" i="35"/>
  <c r="S81" i="35"/>
  <c r="F46" i="37"/>
  <c r="H46" i="37" s="1"/>
  <c r="F31" i="18"/>
  <c r="G31" i="18" s="1"/>
  <c r="H72" i="34"/>
  <c r="F85" i="40"/>
  <c r="E78" i="38"/>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70" i="33"/>
  <c r="R95" i="33"/>
  <c r="S95" i="33" s="1"/>
  <c r="R71" i="33"/>
  <c r="H23" i="31"/>
  <c r="H68" i="31"/>
  <c r="G44" i="31"/>
  <c r="G41" i="31"/>
  <c r="F49" i="35"/>
  <c r="F47" i="35"/>
  <c r="G47" i="35" s="1"/>
  <c r="R23" i="18"/>
  <c r="T23" i="18" s="1"/>
  <c r="S64" i="31"/>
  <c r="G62" i="31"/>
  <c r="H84" i="31"/>
  <c r="F49" i="31"/>
  <c r="F89" i="31"/>
  <c r="F23" i="35"/>
  <c r="H23" i="35" s="1"/>
  <c r="F95" i="35"/>
  <c r="G95" i="35" s="1"/>
  <c r="G76" i="18"/>
  <c r="R25" i="18"/>
  <c r="S25" i="18" s="1"/>
  <c r="T28" i="35"/>
  <c r="T24" i="35"/>
  <c r="H21" i="35"/>
  <c r="T48" i="33"/>
  <c r="S48" i="33"/>
  <c r="S29" i="33"/>
  <c r="T29" i="33"/>
  <c r="T45" i="33"/>
  <c r="G33" i="35"/>
  <c r="T79" i="37"/>
  <c r="S79" i="37"/>
  <c r="R46" i="18"/>
  <c r="T46" i="18" s="1"/>
  <c r="T81" i="33"/>
  <c r="S70" i="34"/>
  <c r="T67" i="35"/>
  <c r="H68" i="37"/>
  <c r="G68" i="37"/>
  <c r="T97" i="37"/>
  <c r="S41" i="37"/>
  <c r="G56" i="31"/>
  <c r="H56" i="31"/>
  <c r="T21" i="37"/>
  <c r="G27" i="34"/>
  <c r="H27" i="34"/>
  <c r="T43" i="33"/>
  <c r="T67" i="37"/>
  <c r="R75" i="18"/>
  <c r="S75" i="18" s="1"/>
  <c r="S41" i="35"/>
  <c r="T78" i="35"/>
  <c r="G96" i="31"/>
  <c r="T37" i="33"/>
  <c r="H92" i="37"/>
  <c r="S81"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S72" i="37"/>
  <c r="S32" i="33"/>
  <c r="S33" i="37"/>
  <c r="S29" i="37"/>
  <c r="H35" i="31"/>
  <c r="G36" i="35"/>
  <c r="H19" i="35"/>
  <c r="J19" i="35" s="1"/>
  <c r="K19" i="35" s="1"/>
  <c r="E17" i="17" s="1"/>
  <c r="H20" i="31"/>
  <c r="G58" i="31"/>
  <c r="G36" i="36"/>
  <c r="G19" i="37"/>
  <c r="I19" i="37" s="1"/>
  <c r="G96" i="37"/>
  <c r="H36" i="37"/>
  <c r="G35" i="37"/>
  <c r="T57" i="31"/>
  <c r="S57" i="31"/>
  <c r="S48" i="18"/>
  <c r="S33" i="31"/>
  <c r="T33" i="31"/>
  <c r="S31" i="31"/>
  <c r="T31" i="31"/>
  <c r="G93" i="34"/>
  <c r="H93" i="34"/>
  <c r="T59" i="31"/>
  <c r="S59" i="31"/>
  <c r="H81" i="34"/>
  <c r="S81" i="31"/>
  <c r="T44" i="33"/>
  <c r="S44" i="33"/>
  <c r="H85" i="34"/>
  <c r="G85" i="34"/>
  <c r="S41" i="31"/>
  <c r="T41" i="31"/>
  <c r="S86" i="31"/>
  <c r="T78" i="31"/>
  <c r="R63" i="32"/>
  <c r="R93" i="32"/>
  <c r="R74" i="32"/>
  <c r="T56" i="36"/>
  <c r="S78" i="36"/>
  <c r="S64" i="36"/>
  <c r="S34" i="36"/>
  <c r="T46" i="36"/>
  <c r="R96" i="32"/>
  <c r="R90" i="32"/>
  <c r="R68" i="32"/>
  <c r="R85" i="32"/>
  <c r="R49" i="32"/>
  <c r="T32" i="36"/>
  <c r="T50" i="36"/>
  <c r="S89" i="36"/>
  <c r="H84" i="34"/>
  <c r="G84" i="34"/>
  <c r="F25" i="33"/>
  <c r="F59" i="40"/>
  <c r="F59" i="18"/>
  <c r="F81" i="33"/>
  <c r="H67" i="34"/>
  <c r="G67" i="34"/>
  <c r="F79" i="33"/>
  <c r="F75" i="18"/>
  <c r="S48" i="37"/>
  <c r="T48" i="37"/>
  <c r="H42" i="34"/>
  <c r="G42" i="34"/>
  <c r="F42" i="37"/>
  <c r="F42" i="33"/>
  <c r="R46" i="33"/>
  <c r="F29" i="33"/>
  <c r="H73" i="34"/>
  <c r="F97" i="18"/>
  <c r="R97" i="33"/>
  <c r="G58" i="34"/>
  <c r="H58" i="34"/>
  <c r="F75" i="35"/>
  <c r="R75" i="33"/>
  <c r="R67" i="33"/>
  <c r="R57" i="18"/>
  <c r="G33" i="34"/>
  <c r="H33" i="34"/>
  <c r="F51" i="33"/>
  <c r="F51" i="18"/>
  <c r="H51" i="18" s="1"/>
  <c r="R85" i="33"/>
  <c r="F49" i="33"/>
  <c r="F45" i="33"/>
  <c r="F43" i="18"/>
  <c r="G43" i="18" s="1"/>
  <c r="F41" i="33"/>
  <c r="F41" i="18"/>
  <c r="G41" i="18" s="1"/>
  <c r="F31" i="37"/>
  <c r="F95" i="33"/>
  <c r="F37" i="33"/>
  <c r="G89" i="34"/>
  <c r="H89" i="34"/>
  <c r="F77" i="33"/>
  <c r="F93" i="33"/>
  <c r="D66" i="38"/>
  <c r="D54" i="38"/>
  <c r="T38" i="36"/>
  <c r="S82" i="36"/>
  <c r="T29" i="36"/>
  <c r="F59" i="33"/>
  <c r="H79" i="34"/>
  <c r="G79" i="34"/>
  <c r="G57" i="34"/>
  <c r="H57" i="34"/>
  <c r="F57" i="33"/>
  <c r="F48" i="37"/>
  <c r="F48" i="33"/>
  <c r="D39" i="38"/>
  <c r="F46" i="40"/>
  <c r="F44" i="33"/>
  <c r="F42" i="40"/>
  <c r="D35" i="38"/>
  <c r="H39" i="34"/>
  <c r="G39" i="34"/>
  <c r="F23" i="33"/>
  <c r="F39" i="33"/>
  <c r="F46" i="33"/>
  <c r="F21" i="33"/>
  <c r="F29" i="37"/>
  <c r="G63" i="34"/>
  <c r="H63" i="34"/>
  <c r="F73" i="33"/>
  <c r="F97" i="33"/>
  <c r="F75" i="33"/>
  <c r="F59" i="32"/>
  <c r="F59" i="34"/>
  <c r="F67" i="33"/>
  <c r="F81" i="18"/>
  <c r="F33" i="33"/>
  <c r="F85" i="33"/>
  <c r="F63" i="35"/>
  <c r="F91" i="33"/>
  <c r="F65" i="37"/>
  <c r="F65" i="33"/>
  <c r="F49" i="18"/>
  <c r="F47" i="33"/>
  <c r="F31" i="33"/>
  <c r="F79" i="35"/>
  <c r="F65" i="35"/>
  <c r="H55" i="35"/>
  <c r="G55" i="35"/>
  <c r="F71" i="33"/>
  <c r="F71" i="37"/>
  <c r="F89" i="33"/>
  <c r="S98" i="35"/>
  <c r="T98" i="35"/>
  <c r="T83" i="31"/>
  <c r="S83" i="31"/>
  <c r="S61" i="31"/>
  <c r="T61" i="31"/>
  <c r="T63" i="31"/>
  <c r="S63" i="31"/>
  <c r="G87" i="36"/>
  <c r="H44" i="36"/>
  <c r="H37" i="36"/>
  <c r="H51"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S59" i="18"/>
  <c r="T89" i="18"/>
  <c r="T59" i="18"/>
  <c r="S86" i="18"/>
  <c r="T55" i="18"/>
  <c r="S98" i="18"/>
  <c r="T86" i="18"/>
  <c r="S97" i="18"/>
  <c r="G48" i="36"/>
  <c r="G59" i="36"/>
  <c r="G86" i="36"/>
  <c r="H86" i="36"/>
  <c r="H19" i="36"/>
  <c r="J19" i="36" s="1"/>
  <c r="K19" i="36" s="1"/>
  <c r="I17" i="17" s="1"/>
  <c r="S43" i="35"/>
  <c r="T43" i="35"/>
  <c r="T97" i="35"/>
  <c r="S97" i="35"/>
  <c r="T40" i="35"/>
  <c r="S40" i="35"/>
  <c r="G52" i="18"/>
  <c r="H52" i="18"/>
  <c r="G66" i="18"/>
  <c r="H66" i="18"/>
  <c r="T79" i="31"/>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H24" i="36"/>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63" i="18"/>
  <c r="H63" i="18"/>
  <c r="G82" i="18"/>
  <c r="H82" i="18"/>
  <c r="G60" i="18"/>
  <c r="G34" i="37"/>
  <c r="H34" i="37"/>
  <c r="S91" i="35"/>
  <c r="S76" i="35"/>
  <c r="T73" i="35"/>
  <c r="S59" i="35"/>
  <c r="D40" i="38"/>
  <c r="H82" i="37"/>
  <c r="S79" i="18"/>
  <c r="T67" i="18"/>
  <c r="T73" i="18"/>
  <c r="T87" i="18"/>
  <c r="S76" i="18"/>
  <c r="T25" i="35"/>
  <c r="T96" i="18"/>
  <c r="T81" i="18"/>
  <c r="S91" i="18"/>
  <c r="S82" i="18"/>
  <c r="G64" i="37"/>
  <c r="S54" i="18"/>
  <c r="T52" i="18"/>
  <c r="S35" i="18"/>
  <c r="T56" i="35"/>
  <c r="T88" i="18"/>
  <c r="G36" i="18"/>
  <c r="S84" i="18"/>
  <c r="S29" i="18"/>
  <c r="T68" i="18"/>
  <c r="G54" i="31"/>
  <c r="G76" i="31"/>
  <c r="E90" i="38"/>
  <c r="E45" i="38"/>
  <c r="T49" i="35"/>
  <c r="S50" i="35"/>
  <c r="S36" i="18"/>
  <c r="S51" i="18"/>
  <c r="S56" i="36"/>
  <c r="T78" i="36"/>
  <c r="T64" i="36"/>
  <c r="T34" i="36"/>
  <c r="T74" i="36"/>
  <c r="T33" i="36"/>
  <c r="D20" i="38"/>
  <c r="D25" i="38"/>
  <c r="D28" i="38"/>
  <c r="D13" i="38"/>
  <c r="D30" i="38"/>
  <c r="D70" i="38"/>
  <c r="S38" i="36"/>
  <c r="S50" i="36"/>
  <c r="T89" i="36"/>
  <c r="T74" i="35"/>
  <c r="S74" i="35"/>
  <c r="T35" i="31"/>
  <c r="S35" i="31"/>
  <c r="T21" i="31"/>
  <c r="S21" i="31"/>
  <c r="G96" i="36"/>
  <c r="H96" i="36"/>
  <c r="H94" i="36"/>
  <c r="G99" i="36"/>
  <c r="H99" i="36"/>
  <c r="T82" i="35"/>
  <c r="S82" i="35"/>
  <c r="S65" i="35"/>
  <c r="T65" i="35"/>
  <c r="S38" i="35"/>
  <c r="T38" i="35"/>
  <c r="T39" i="35"/>
  <c r="S39" i="35"/>
  <c r="W10" i="40"/>
  <c r="W12" i="40"/>
  <c r="T24" i="40" s="1"/>
  <c r="W9" i="40"/>
  <c r="T58" i="31"/>
  <c r="S58" i="31"/>
  <c r="C84" i="38"/>
  <c r="C72" i="38"/>
  <c r="C62" i="38"/>
  <c r="C52" i="38"/>
  <c r="C40" i="38"/>
  <c r="C30" i="38"/>
  <c r="C20" i="38"/>
  <c r="C37" i="38"/>
  <c r="C15" i="38"/>
  <c r="C86" i="38"/>
  <c r="C76" i="38"/>
  <c r="C64" i="38"/>
  <c r="C54" i="38"/>
  <c r="C44" i="38"/>
  <c r="C32" i="38"/>
  <c r="C22" i="38"/>
  <c r="C41" i="38"/>
  <c r="C51" i="38"/>
  <c r="C69" i="38"/>
  <c r="C31" i="38"/>
  <c r="C80" i="38"/>
  <c r="C60" i="38"/>
  <c r="C38" i="38"/>
  <c r="C16" i="38"/>
  <c r="C17" i="38"/>
  <c r="C43" i="38"/>
  <c r="C63" i="38"/>
  <c r="C87" i="38"/>
  <c r="C65" i="38"/>
  <c r="C85" i="38"/>
  <c r="C88" i="38"/>
  <c r="C68" i="38"/>
  <c r="C46" i="38"/>
  <c r="C24" i="38"/>
  <c r="C89" i="38"/>
  <c r="C23" i="38"/>
  <c r="C27" i="38"/>
  <c r="C59" i="38"/>
  <c r="C83" i="38"/>
  <c r="C25" i="38"/>
  <c r="C61" i="38"/>
  <c r="C56" i="38"/>
  <c r="C14" i="38"/>
  <c r="C73" i="38"/>
  <c r="C91" i="38"/>
  <c r="C53" i="38"/>
  <c r="C70" i="38"/>
  <c r="C28" i="38"/>
  <c r="C79" i="38"/>
  <c r="C49" i="38"/>
  <c r="C36" i="38"/>
  <c r="C81" i="38"/>
  <c r="C78" i="38"/>
  <c r="C47" i="38"/>
  <c r="C21" i="38"/>
  <c r="C48" i="38"/>
  <c r="C92" i="38"/>
  <c r="C77" i="38"/>
  <c r="C35" i="38"/>
  <c r="C67" i="38"/>
  <c r="C34" i="38"/>
  <c r="C75" i="38"/>
  <c r="C90" i="38"/>
  <c r="C26" i="38"/>
  <c r="C33" i="38"/>
  <c r="C66" i="38"/>
  <c r="C12" i="38"/>
  <c r="F12" i="38" s="1"/>
  <c r="C13" i="38"/>
  <c r="G30" i="36"/>
  <c r="H30" i="36"/>
  <c r="G34" i="36"/>
  <c r="G84" i="36"/>
  <c r="T31" i="35"/>
  <c r="S31" i="35"/>
  <c r="S26" i="35"/>
  <c r="T26" i="35"/>
  <c r="S55" i="35"/>
  <c r="T55" i="35"/>
  <c r="G60" i="37"/>
  <c r="S98" i="40"/>
  <c r="S93" i="40"/>
  <c r="T95" i="40"/>
  <c r="T99" i="40"/>
  <c r="G70" i="18"/>
  <c r="H65" i="18"/>
  <c r="T86" i="35"/>
  <c r="S86" i="35"/>
  <c r="S34" i="35"/>
  <c r="T34" i="35"/>
  <c r="S70" i="31"/>
  <c r="T70" i="31"/>
  <c r="S48" i="31"/>
  <c r="T48" i="31"/>
  <c r="T39" i="31"/>
  <c r="S39"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H81" i="36"/>
  <c r="G90" i="36"/>
  <c r="H90" i="36"/>
  <c r="S22" i="35"/>
  <c r="T22" i="35"/>
  <c r="T51" i="35"/>
  <c r="S51" i="35"/>
  <c r="S94" i="35"/>
  <c r="T94" i="35"/>
  <c r="T52" i="35"/>
  <c r="S52" i="35"/>
  <c r="S60" i="35"/>
  <c r="T60" i="35"/>
  <c r="T89" i="35"/>
  <c r="S89" i="35"/>
  <c r="S79" i="35"/>
  <c r="T79" i="35"/>
  <c r="G55" i="18"/>
  <c r="S82" i="40"/>
  <c r="S76" i="40"/>
  <c r="S37" i="40"/>
  <c r="T51" i="40"/>
  <c r="T38" i="40"/>
  <c r="S60" i="40"/>
  <c r="T42" i="40"/>
  <c r="T66" i="40"/>
  <c r="W12" i="32"/>
  <c r="W9" i="32"/>
  <c r="W10" i="32"/>
  <c r="H96" i="18"/>
  <c r="G96" i="18"/>
  <c r="H24" i="18"/>
  <c r="G24" i="18"/>
  <c r="G98" i="18"/>
  <c r="H99" i="18"/>
  <c r="G99" i="18"/>
  <c r="K9" i="40"/>
  <c r="K12" i="40"/>
  <c r="K10" i="40"/>
  <c r="G72" i="31"/>
  <c r="D87" i="38"/>
  <c r="S89" i="18"/>
  <c r="T79" i="18"/>
  <c r="S67" i="18"/>
  <c r="S73" i="18"/>
  <c r="S87" i="18"/>
  <c r="T76" i="18"/>
  <c r="S53" i="18"/>
  <c r="S52" i="18"/>
  <c r="T35" i="18"/>
  <c r="S77" i="18"/>
  <c r="S80" i="18"/>
  <c r="T31" i="18"/>
  <c r="E71" i="38"/>
  <c r="T36" i="18"/>
  <c r="T51" i="18"/>
  <c r="T80" i="36"/>
  <c r="T87" i="36"/>
  <c r="S94" i="36"/>
  <c r="S45" i="36"/>
  <c r="S74" i="36"/>
  <c r="T53" i="31"/>
  <c r="D12" i="38"/>
  <c r="G12" i="38" s="1"/>
  <c r="D46" i="38"/>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S42" i="31" l="1"/>
  <c r="G45" i="34"/>
  <c r="G57" i="35"/>
  <c r="G50" i="34"/>
  <c r="H83" i="34"/>
  <c r="H99" i="34"/>
  <c r="G83" i="36"/>
  <c r="G78" i="36"/>
  <c r="H94" i="37"/>
  <c r="G84" i="37"/>
  <c r="H53" i="37"/>
  <c r="H61" i="18"/>
  <c r="S90" i="31"/>
  <c r="G83" i="18"/>
  <c r="S62" i="33"/>
  <c r="H52" i="31"/>
  <c r="G80" i="31"/>
  <c r="E41" i="38"/>
  <c r="S61" i="18"/>
  <c r="T69" i="31"/>
  <c r="S72" i="18"/>
  <c r="T60" i="18"/>
  <c r="T73" i="33"/>
  <c r="G66" i="35"/>
  <c r="S68" i="31"/>
  <c r="H75" i="31"/>
  <c r="G64" i="35"/>
  <c r="S57" i="33"/>
  <c r="H69" i="18"/>
  <c r="T42" i="18"/>
  <c r="G96" i="33"/>
  <c r="G58" i="18"/>
  <c r="G86" i="18"/>
  <c r="H67" i="31"/>
  <c r="T94" i="33"/>
  <c r="G42" i="31"/>
  <c r="S26" i="18"/>
  <c r="T49" i="33"/>
  <c r="T22" i="37"/>
  <c r="T28" i="18"/>
  <c r="T34" i="31"/>
  <c r="G43" i="34"/>
  <c r="H48" i="35"/>
  <c r="H21" i="34"/>
  <c r="G48" i="31"/>
  <c r="T44" i="31"/>
  <c r="T33" i="33"/>
  <c r="T44" i="37"/>
  <c r="S46" i="31"/>
  <c r="S40" i="37"/>
  <c r="T45" i="18"/>
  <c r="G31" i="34"/>
  <c r="T47" i="33"/>
  <c r="T41" i="33"/>
  <c r="T47" i="37"/>
  <c r="T34" i="18"/>
  <c r="S42" i="33"/>
  <c r="G44" i="35"/>
  <c r="J20" i="31"/>
  <c r="K20" i="31" s="1"/>
  <c r="D18" i="17" s="1"/>
  <c r="G32" i="35"/>
  <c r="G34" i="18"/>
  <c r="H38" i="37"/>
  <c r="S32" i="18"/>
  <c r="G20" i="34"/>
  <c r="H22" i="34"/>
  <c r="S21" i="18"/>
  <c r="H38" i="35"/>
  <c r="G25" i="34"/>
  <c r="T24" i="37"/>
  <c r="S22" i="31"/>
  <c r="T27" i="31"/>
  <c r="T23" i="33"/>
  <c r="H20" i="35"/>
  <c r="J20" i="35" s="1"/>
  <c r="K20" i="35" s="1"/>
  <c r="E18" i="17" s="1"/>
  <c r="T20" i="33"/>
  <c r="G24" i="35"/>
  <c r="H22" i="31"/>
  <c r="H22" i="37"/>
  <c r="T20" i="18"/>
  <c r="S19" i="18"/>
  <c r="U19" i="18" s="1"/>
  <c r="U20" i="18" s="1"/>
  <c r="V21" i="18" s="1"/>
  <c r="W21" i="18" s="1"/>
  <c r="T19" i="17" s="1"/>
  <c r="H40" i="34"/>
  <c r="H48" i="34"/>
  <c r="H66" i="31"/>
  <c r="G58" i="37"/>
  <c r="S32" i="37"/>
  <c r="G69" i="34"/>
  <c r="S45" i="31"/>
  <c r="H69" i="31"/>
  <c r="G53" i="31"/>
  <c r="T36" i="33"/>
  <c r="T34" i="33"/>
  <c r="G40" i="18"/>
  <c r="G45" i="35"/>
  <c r="H27" i="37"/>
  <c r="H26" i="37"/>
  <c r="G30" i="37"/>
  <c r="G28" i="18"/>
  <c r="H36" i="31"/>
  <c r="T27" i="18"/>
  <c r="G19" i="34"/>
  <c r="I19" i="34" s="1"/>
  <c r="L12" i="38"/>
  <c r="D16" i="38"/>
  <c r="E63" i="38"/>
  <c r="T85" i="32"/>
  <c r="B22" i="34"/>
  <c r="B22" i="32"/>
  <c r="B22" i="33"/>
  <c r="O22" i="18"/>
  <c r="B22" i="40"/>
  <c r="O22" i="34"/>
  <c r="B22" i="31"/>
  <c r="B22" i="36"/>
  <c r="B22" i="35"/>
  <c r="B18" i="7"/>
  <c r="O22" i="40"/>
  <c r="B22" i="18"/>
  <c r="O22" i="35"/>
  <c r="O22" i="36"/>
  <c r="O22" i="32"/>
  <c r="O22" i="33"/>
  <c r="B22" i="37"/>
  <c r="O22" i="31"/>
  <c r="O22" i="37"/>
  <c r="T74" i="32"/>
  <c r="E46" i="38"/>
  <c r="T49" i="32"/>
  <c r="T96" i="32"/>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I21" i="36" s="1"/>
  <c r="I22" i="36"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G98" i="36"/>
  <c r="G40" i="31"/>
  <c r="H37" i="31"/>
  <c r="G55" i="37"/>
  <c r="G98" i="35"/>
  <c r="H21" i="37"/>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S47" i="31"/>
  <c r="S30" i="18"/>
  <c r="T75" i="18"/>
  <c r="T95" i="18"/>
  <c r="S23" i="18"/>
  <c r="J20" i="37"/>
  <c r="K20" i="37" s="1"/>
  <c r="J18" i="17" s="1"/>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S49" i="32"/>
  <c r="H78" i="33"/>
  <c r="G78" i="33"/>
  <c r="H74" i="31"/>
  <c r="G74" i="31"/>
  <c r="G78" i="35"/>
  <c r="H78" i="35"/>
  <c r="G94" i="34"/>
  <c r="H94" i="34"/>
  <c r="G90" i="37"/>
  <c r="H90" i="37"/>
  <c r="H55" i="36"/>
  <c r="H71" i="36"/>
  <c r="H87" i="18"/>
  <c r="H31" i="18"/>
  <c r="H87" i="37"/>
  <c r="S63" i="18"/>
  <c r="G57" i="36"/>
  <c r="H37" i="35"/>
  <c r="H81" i="37"/>
  <c r="T56" i="33"/>
  <c r="S56" i="33"/>
  <c r="H70" i="35"/>
  <c r="G70" i="35"/>
  <c r="H88" i="18"/>
  <c r="G88" i="18"/>
  <c r="G60" i="33"/>
  <c r="H60" i="33"/>
  <c r="G57" i="31"/>
  <c r="H57" i="31"/>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T25" i="31"/>
  <c r="H73" i="37"/>
  <c r="G73" i="37"/>
  <c r="G54" i="37"/>
  <c r="H54" i="37"/>
  <c r="G77" i="37"/>
  <c r="H77" i="37"/>
  <c r="H55" i="33"/>
  <c r="G55" i="33"/>
  <c r="H43" i="35"/>
  <c r="G43" i="35"/>
  <c r="S96" i="32"/>
  <c r="H97" i="34"/>
  <c r="G46" i="34"/>
  <c r="T95" i="33"/>
  <c r="T71" i="33"/>
  <c r="S71" i="33"/>
  <c r="H95" i="35"/>
  <c r="G49" i="35"/>
  <c r="H49" i="35"/>
  <c r="J21" i="35"/>
  <c r="K21" i="35" s="1"/>
  <c r="E19" i="17" s="1"/>
  <c r="G23" i="35"/>
  <c r="H49" i="31"/>
  <c r="G49" i="31"/>
  <c r="G51" i="35"/>
  <c r="G89" i="31"/>
  <c r="H89" i="31"/>
  <c r="T71" i="18"/>
  <c r="F13" i="38"/>
  <c r="F14" i="38" s="1"/>
  <c r="F15" i="38" s="1"/>
  <c r="F16" i="38" s="1"/>
  <c r="F17" i="38" s="1"/>
  <c r="H13" i="38"/>
  <c r="H14" i="38" s="1"/>
  <c r="H15" i="38" s="1"/>
  <c r="H16" i="38" s="1"/>
  <c r="H17" i="38" s="1"/>
  <c r="S42" i="37"/>
  <c r="T42" i="37"/>
  <c r="S25" i="37"/>
  <c r="T25" i="37"/>
  <c r="G51" i="18"/>
  <c r="S39" i="18"/>
  <c r="T39" i="18"/>
  <c r="T49" i="37"/>
  <c r="S49" i="37"/>
  <c r="T25" i="33"/>
  <c r="S25" i="33"/>
  <c r="G71" i="31"/>
  <c r="H71" i="31"/>
  <c r="T47" i="18"/>
  <c r="S47" i="18"/>
  <c r="G89" i="35"/>
  <c r="H89" i="35"/>
  <c r="S46" i="18"/>
  <c r="T89" i="37"/>
  <c r="S89" i="37"/>
  <c r="H46" i="35"/>
  <c r="G46" i="35"/>
  <c r="S95" i="37"/>
  <c r="T95" i="37"/>
  <c r="T71" i="31"/>
  <c r="S71" i="31"/>
  <c r="T91" i="33"/>
  <c r="S91" i="33"/>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O18" i="39"/>
  <c r="U21" i="35"/>
  <c r="V22" i="35" s="1"/>
  <c r="W22" i="35" s="1"/>
  <c r="V20" i="17" s="1"/>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C58" i="38"/>
  <c r="C50" i="38"/>
  <c r="T78" i="32"/>
  <c r="S78" i="32"/>
  <c r="T70" i="32"/>
  <c r="S70" i="32"/>
  <c r="S98" i="32"/>
  <c r="T98" i="32"/>
  <c r="S64" i="32"/>
  <c r="T64" i="32"/>
  <c r="S56" i="32"/>
  <c r="T56" i="32"/>
  <c r="S41" i="32"/>
  <c r="T41" i="32"/>
  <c r="T36" i="32"/>
  <c r="S36" i="32"/>
  <c r="S67" i="32"/>
  <c r="T67" i="32"/>
  <c r="C18" i="38"/>
  <c r="C19" i="38"/>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C45" i="38"/>
  <c r="C57" i="38"/>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S42" i="40"/>
  <c r="S38" i="40"/>
  <c r="T37" i="40"/>
  <c r="T82" i="40"/>
  <c r="T22" i="40"/>
  <c r="S79" i="40"/>
  <c r="S46" i="40"/>
  <c r="S88" i="40"/>
  <c r="S84" i="40"/>
  <c r="S25" i="40"/>
  <c r="S28" i="40"/>
  <c r="S31" i="40"/>
  <c r="T72" i="40"/>
  <c r="T59" i="40"/>
  <c r="T87" i="40"/>
  <c r="S57" i="40"/>
  <c r="T62" i="40"/>
  <c r="S54" i="40"/>
  <c r="T80" i="40"/>
  <c r="S20" i="40"/>
  <c r="J20" i="36"/>
  <c r="K20" i="36" s="1"/>
  <c r="I18" i="17" s="1"/>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I20" i="40" s="1"/>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C42" i="38"/>
  <c r="C29" i="38"/>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C71" i="38"/>
  <c r="C82" i="38"/>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S66" i="40"/>
  <c r="T60" i="40"/>
  <c r="S51" i="40"/>
  <c r="T76" i="40"/>
  <c r="U20" i="36"/>
  <c r="T23" i="40"/>
  <c r="S30" i="40"/>
  <c r="T65" i="40"/>
  <c r="S91" i="40"/>
  <c r="S83" i="40"/>
  <c r="S78" i="40"/>
  <c r="S74" i="40"/>
  <c r="S70" i="40"/>
  <c r="S33" i="40"/>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K13" i="38" l="1"/>
  <c r="I20" i="34"/>
  <c r="I21" i="34" s="1"/>
  <c r="I22" i="34" s="1"/>
  <c r="J23" i="34" s="1"/>
  <c r="K23" i="34" s="1"/>
  <c r="G21" i="17" s="1"/>
  <c r="J20" i="34"/>
  <c r="L13" i="38" s="1"/>
  <c r="V20" i="18"/>
  <c r="W20" i="18" s="1"/>
  <c r="T18" i="17" s="1"/>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J22" i="31"/>
  <c r="K15" i="38" s="1"/>
  <c r="J23" i="36"/>
  <c r="K23" i="36" s="1"/>
  <c r="I21" i="17" s="1"/>
  <c r="J21" i="36"/>
  <c r="K21" i="36" s="1"/>
  <c r="I19" i="17" s="1"/>
  <c r="O23" i="31"/>
  <c r="O23" i="35"/>
  <c r="B23" i="40"/>
  <c r="B23" i="35"/>
  <c r="B19" i="7"/>
  <c r="B23" i="32"/>
  <c r="O23" i="18"/>
  <c r="O23" i="33"/>
  <c r="B23" i="18"/>
  <c r="B23" i="34"/>
  <c r="O23" i="32"/>
  <c r="B23" i="33"/>
  <c r="O23" i="36"/>
  <c r="O23" i="37"/>
  <c r="B23" i="36"/>
  <c r="B23" i="37"/>
  <c r="O23" i="34"/>
  <c r="O23" i="40"/>
  <c r="B23" i="3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J22" i="34" l="1"/>
  <c r="L15" i="38" s="1"/>
  <c r="J21" i="34"/>
  <c r="L14" i="38" s="1"/>
  <c r="L17" i="17"/>
  <c r="E12" i="28" s="1"/>
  <c r="M12" i="38" s="1"/>
  <c r="K22" i="31"/>
  <c r="D20" i="17" s="1"/>
  <c r="K20" i="34"/>
  <c r="G18" i="17" s="1"/>
  <c r="L16" i="38"/>
  <c r="I23" i="34"/>
  <c r="J24" i="34" s="1"/>
  <c r="K24" i="34" s="1"/>
  <c r="G22" i="17" s="1"/>
  <c r="B24" i="37"/>
  <c r="B24" i="40"/>
  <c r="O24" i="37"/>
  <c r="B24" i="31"/>
  <c r="O24" i="18"/>
  <c r="B24" i="35"/>
  <c r="B24" i="33"/>
  <c r="B24" i="32"/>
  <c r="O24" i="32"/>
  <c r="B24" i="34"/>
  <c r="O24" i="31"/>
  <c r="O24" i="33"/>
  <c r="B24" i="36"/>
  <c r="B20" i="7"/>
  <c r="O24" i="36"/>
  <c r="O24" i="35"/>
  <c r="B24" i="18"/>
  <c r="O24" i="40"/>
  <c r="O24" i="34"/>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U21" i="32"/>
  <c r="U23" i="18"/>
  <c r="V23" i="18"/>
  <c r="W23" i="18" s="1"/>
  <c r="T21" i="17" s="1"/>
  <c r="K21" i="32"/>
  <c r="F19" i="17" s="1"/>
  <c r="J14" i="38"/>
  <c r="J22" i="18"/>
  <c r="K22" i="18" s="1"/>
  <c r="C20" i="17" s="1"/>
  <c r="I22" i="18"/>
  <c r="J13" i="38"/>
  <c r="K20" i="32"/>
  <c r="F18" i="17" s="1"/>
  <c r="V22" i="36"/>
  <c r="W22" i="36" s="1"/>
  <c r="Z20" i="17" s="1"/>
  <c r="U22" i="36"/>
  <c r="J23" i="35"/>
  <c r="K23" i="35" s="1"/>
  <c r="E21" i="17" s="1"/>
  <c r="I23" i="35"/>
  <c r="I22" i="40"/>
  <c r="I21" i="32"/>
  <c r="J23" i="37"/>
  <c r="K23" i="37" s="1"/>
  <c r="J21" i="17" s="1"/>
  <c r="I23" i="37"/>
  <c r="K22" i="34" l="1"/>
  <c r="G20" i="17" s="1"/>
  <c r="K21" i="34"/>
  <c r="G19" i="17" s="1"/>
  <c r="L19" i="17" s="1"/>
  <c r="O19" i="17" s="1"/>
  <c r="O17" i="17"/>
  <c r="L17" i="38"/>
  <c r="L18" i="17"/>
  <c r="E13" i="28" s="1"/>
  <c r="M13" i="38" s="1"/>
  <c r="I24" i="34"/>
  <c r="J25" i="34" s="1"/>
  <c r="K25" i="34" s="1"/>
  <c r="G23" i="17" s="1"/>
  <c r="V24" i="35"/>
  <c r="W24" i="35" s="1"/>
  <c r="V22" i="17" s="1"/>
  <c r="B25" i="32"/>
  <c r="B25" i="36"/>
  <c r="B25" i="37"/>
  <c r="O25" i="40"/>
  <c r="O25" i="37"/>
  <c r="O25" i="34"/>
  <c r="B21" i="7"/>
  <c r="B25" i="34"/>
  <c r="B25" i="31"/>
  <c r="O25" i="18"/>
  <c r="B25" i="35"/>
  <c r="O25" i="36"/>
  <c r="O25" i="33"/>
  <c r="B25" i="18"/>
  <c r="B25" i="33"/>
  <c r="O25" i="31"/>
  <c r="B25" i="40"/>
  <c r="O25" i="35"/>
  <c r="O25" i="32"/>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V24" i="18"/>
  <c r="W24" i="18" s="1"/>
  <c r="T22" i="17" s="1"/>
  <c r="U24" i="18"/>
  <c r="V22" i="32"/>
  <c r="W22" i="32" s="1"/>
  <c r="W20" i="17" s="1"/>
  <c r="U22" i="32"/>
  <c r="J24" i="35"/>
  <c r="K24" i="35" s="1"/>
  <c r="E22" i="17" s="1"/>
  <c r="I24" i="35"/>
  <c r="U23" i="36"/>
  <c r="V23" i="36"/>
  <c r="W23" i="36" s="1"/>
  <c r="Z21" i="17" s="1"/>
  <c r="J23" i="18"/>
  <c r="K23" i="18" s="1"/>
  <c r="C21" i="17" s="1"/>
  <c r="I23" i="18"/>
  <c r="O12" i="38"/>
  <c r="N12" i="38"/>
  <c r="I23" i="40"/>
  <c r="J23" i="40"/>
  <c r="K23" i="40" s="1"/>
  <c r="K21" i="17" s="1"/>
  <c r="V24" i="34"/>
  <c r="W24" i="34" s="1"/>
  <c r="X22" i="17" s="1"/>
  <c r="U24" i="34"/>
  <c r="J22" i="32"/>
  <c r="I22" i="32"/>
  <c r="V25" i="35"/>
  <c r="W25" i="35" s="1"/>
  <c r="V23" i="17" s="1"/>
  <c r="U25" i="35"/>
  <c r="I24" i="37"/>
  <c r="J24" i="37"/>
  <c r="K24" i="37" s="1"/>
  <c r="J22" i="17" s="1"/>
  <c r="O18" i="17" l="1"/>
  <c r="L18" i="38"/>
  <c r="I25" i="34"/>
  <c r="I26" i="34" s="1"/>
  <c r="J27" i="34" s="1"/>
  <c r="E14" i="28"/>
  <c r="M14" i="38" s="1"/>
  <c r="J24" i="33"/>
  <c r="K24" i="33" s="1"/>
  <c r="H22" i="17" s="1"/>
  <c r="O26" i="40"/>
  <c r="B26" i="37"/>
  <c r="O26" i="37"/>
  <c r="O26" i="33"/>
  <c r="B26" i="33"/>
  <c r="B26" i="31"/>
  <c r="O26" i="32"/>
  <c r="B26" i="40"/>
  <c r="B22" i="7"/>
  <c r="O26" i="34"/>
  <c r="B26" i="36"/>
  <c r="O26" i="18"/>
  <c r="B26" i="35"/>
  <c r="B26" i="18"/>
  <c r="O26" i="35"/>
  <c r="B26" i="34"/>
  <c r="O26" i="31"/>
  <c r="O26" i="36"/>
  <c r="B26" i="32"/>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I25" i="35"/>
  <c r="J25" i="35"/>
  <c r="K25" i="35" s="1"/>
  <c r="E23" i="17" s="1"/>
  <c r="V24" i="36"/>
  <c r="W24" i="36" s="1"/>
  <c r="Z22" i="17" s="1"/>
  <c r="U24" i="36"/>
  <c r="U26" i="35"/>
  <c r="V26" i="35"/>
  <c r="W26" i="35" s="1"/>
  <c r="V24" i="17" s="1"/>
  <c r="J25" i="37"/>
  <c r="K25" i="37" s="1"/>
  <c r="J23" i="17" s="1"/>
  <c r="I25" i="37"/>
  <c r="N14" i="38" l="1"/>
  <c r="J26" i="34"/>
  <c r="K26" i="34" s="1"/>
  <c r="G24" i="17" s="1"/>
  <c r="O14" i="38"/>
  <c r="I27" i="34"/>
  <c r="J28" i="34" s="1"/>
  <c r="B27" i="33"/>
  <c r="B27" i="40"/>
  <c r="B27" i="32"/>
  <c r="B27" i="31"/>
  <c r="O27" i="40"/>
  <c r="B23" i="7"/>
  <c r="O27" i="18"/>
  <c r="O27" i="35"/>
  <c r="O27" i="37"/>
  <c r="B27" i="37"/>
  <c r="B27" i="18"/>
  <c r="O27" i="32"/>
  <c r="O27" i="33"/>
  <c r="B27" i="36"/>
  <c r="O27" i="34"/>
  <c r="O27" i="31"/>
  <c r="B27" i="35"/>
  <c r="O27" i="36"/>
  <c r="B27" i="34"/>
  <c r="U25" i="37"/>
  <c r="V25" i="37"/>
  <c r="W25" i="37" s="1"/>
  <c r="AA23" i="17" s="1"/>
  <c r="L19" i="38"/>
  <c r="I27" i="36"/>
  <c r="J28" i="36" s="1"/>
  <c r="K28" i="36" s="1"/>
  <c r="I26" i="17" s="1"/>
  <c r="AC21" i="17"/>
  <c r="AF21" i="17" s="1"/>
  <c r="V24" i="33"/>
  <c r="W24" i="33" s="1"/>
  <c r="Y22" i="17" s="1"/>
  <c r="U24" i="33"/>
  <c r="V26" i="31"/>
  <c r="W26" i="31" s="1"/>
  <c r="U24" i="17" s="1"/>
  <c r="U26" i="31"/>
  <c r="J26" i="31"/>
  <c r="I26" i="31"/>
  <c r="K18" i="38"/>
  <c r="K25" i="31"/>
  <c r="D23" i="17" s="1"/>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I28" i="34" l="1"/>
  <c r="J29" i="34" s="1"/>
  <c r="O28" i="34"/>
  <c r="B28" i="37"/>
  <c r="O28" i="18"/>
  <c r="B24" i="7"/>
  <c r="B28" i="33"/>
  <c r="B28" i="18"/>
  <c r="O28" i="40"/>
  <c r="O28" i="35"/>
  <c r="O28" i="31"/>
  <c r="B28" i="34"/>
  <c r="O28" i="36"/>
  <c r="O28" i="37"/>
  <c r="B28" i="40"/>
  <c r="B28" i="32"/>
  <c r="O28" i="33"/>
  <c r="B28" i="35"/>
  <c r="B28" i="31"/>
  <c r="B28" i="36"/>
  <c r="O28" i="32"/>
  <c r="V26" i="37"/>
  <c r="W26" i="37" s="1"/>
  <c r="AA24" i="17" s="1"/>
  <c r="U26" i="37"/>
  <c r="I28" i="36"/>
  <c r="I29" i="36" s="1"/>
  <c r="AC22" i="17"/>
  <c r="AF22" i="17" s="1"/>
  <c r="U25" i="33"/>
  <c r="V25" i="33"/>
  <c r="W25" i="33" s="1"/>
  <c r="Y23" i="17" s="1"/>
  <c r="U27" i="31"/>
  <c r="V27" i="31"/>
  <c r="W27" i="31" s="1"/>
  <c r="U25" i="17" s="1"/>
  <c r="J27" i="31"/>
  <c r="I27" i="31"/>
  <c r="K19" i="38"/>
  <c r="K26" i="31"/>
  <c r="D24" i="17" s="1"/>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K28" i="34"/>
  <c r="G26" i="17" s="1"/>
  <c r="L21" i="38"/>
  <c r="J27" i="33"/>
  <c r="K27" i="33" s="1"/>
  <c r="H25" i="17" s="1"/>
  <c r="I27" i="33"/>
  <c r="J25" i="32"/>
  <c r="I25" i="32"/>
  <c r="M15" i="38"/>
  <c r="V28" i="35"/>
  <c r="W28" i="35" s="1"/>
  <c r="V26" i="17" s="1"/>
  <c r="U28" i="35"/>
  <c r="J27" i="37"/>
  <c r="K27" i="37" s="1"/>
  <c r="J25" i="17" s="1"/>
  <c r="I27" i="37"/>
  <c r="J29" i="36" l="1"/>
  <c r="K29" i="36" s="1"/>
  <c r="I27" i="17" s="1"/>
  <c r="I29" i="34"/>
  <c r="I30" i="34" s="1"/>
  <c r="O29" i="40"/>
  <c r="B29" i="34"/>
  <c r="B29" i="33"/>
  <c r="B29" i="35"/>
  <c r="O29" i="31"/>
  <c r="B29" i="36"/>
  <c r="O29" i="33"/>
  <c r="B29" i="32"/>
  <c r="O29" i="36"/>
  <c r="O29" i="34"/>
  <c r="B29" i="18"/>
  <c r="B25" i="7"/>
  <c r="O29" i="32"/>
  <c r="B29" i="37"/>
  <c r="B29" i="31"/>
  <c r="O29" i="35"/>
  <c r="O29" i="18"/>
  <c r="O29" i="37"/>
  <c r="B29" i="40"/>
  <c r="V27" i="37"/>
  <c r="W27" i="37" s="1"/>
  <c r="AA25" i="17" s="1"/>
  <c r="U27" i="37"/>
  <c r="AC23" i="17"/>
  <c r="AF23" i="17" s="1"/>
  <c r="U26" i="33"/>
  <c r="V26" i="33"/>
  <c r="W26" i="33" s="1"/>
  <c r="Y24" i="17" s="1"/>
  <c r="V28" i="31"/>
  <c r="W28" i="31" s="1"/>
  <c r="U26" i="17" s="1"/>
  <c r="U28" i="31"/>
  <c r="J28" i="31"/>
  <c r="I28" i="31"/>
  <c r="K20" i="38"/>
  <c r="K27" i="31"/>
  <c r="D25" i="17" s="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O22" i="17"/>
  <c r="U27" i="36"/>
  <c r="V27" i="36"/>
  <c r="W27" i="36" s="1"/>
  <c r="Z25" i="17" s="1"/>
  <c r="I28" i="35"/>
  <c r="J28" i="35"/>
  <c r="K28" i="35" s="1"/>
  <c r="E26" i="17" s="1"/>
  <c r="J30" i="34"/>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B30" i="35" l="1"/>
  <c r="B30" i="32"/>
  <c r="O30" i="40"/>
  <c r="O30" i="35"/>
  <c r="B30" i="33"/>
  <c r="B30" i="34"/>
  <c r="B30" i="31"/>
  <c r="O30" i="31"/>
  <c r="O30" i="18"/>
  <c r="O30" i="36"/>
  <c r="B26" i="7"/>
  <c r="B30" i="40"/>
  <c r="B30" i="18"/>
  <c r="O30" i="37"/>
  <c r="O30" i="33"/>
  <c r="O30" i="32"/>
  <c r="O30" i="34"/>
  <c r="B30" i="37"/>
  <c r="B30" i="36"/>
  <c r="V28" i="37"/>
  <c r="W28" i="37" s="1"/>
  <c r="AA26" i="17" s="1"/>
  <c r="U28" i="37"/>
  <c r="AC24" i="17"/>
  <c r="AF24" i="17" s="1"/>
  <c r="V27" i="33"/>
  <c r="W27" i="33" s="1"/>
  <c r="Y25" i="17" s="1"/>
  <c r="U27" i="33"/>
  <c r="V29" i="31"/>
  <c r="W29" i="31" s="1"/>
  <c r="U27" i="17" s="1"/>
  <c r="U29" i="31"/>
  <c r="J29" i="31"/>
  <c r="I29" i="31"/>
  <c r="K21" i="38"/>
  <c r="K28" i="31"/>
  <c r="D26" i="17" s="1"/>
  <c r="U27" i="32"/>
  <c r="V27" i="32"/>
  <c r="W27" i="32" s="1"/>
  <c r="W25" i="17" s="1"/>
  <c r="V29" i="18"/>
  <c r="W29" i="18" s="1"/>
  <c r="T27" i="17" s="1"/>
  <c r="U29" i="18"/>
  <c r="U28" i="40"/>
  <c r="V28" i="40"/>
  <c r="W28" i="40" s="1"/>
  <c r="AB26" i="17" s="1"/>
  <c r="L23" i="38"/>
  <c r="K30" i="34"/>
  <c r="G28" i="17" s="1"/>
  <c r="U28" i="36"/>
  <c r="V28" i="36"/>
  <c r="W28" i="36" s="1"/>
  <c r="Z26" i="17" s="1"/>
  <c r="I28" i="40"/>
  <c r="J28" i="40"/>
  <c r="K28" i="40" s="1"/>
  <c r="K26" i="17" s="1"/>
  <c r="J31" i="34"/>
  <c r="I31" i="34"/>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AC25" i="17" l="1"/>
  <c r="AF25" i="17" s="1"/>
  <c r="O31" i="31"/>
  <c r="O31" i="18"/>
  <c r="O31" i="34"/>
  <c r="B31" i="33"/>
  <c r="O31" i="37"/>
  <c r="B31" i="40"/>
  <c r="B31" i="34"/>
  <c r="O31" i="35"/>
  <c r="B31" i="32"/>
  <c r="B31" i="36"/>
  <c r="B31" i="18"/>
  <c r="B27" i="7"/>
  <c r="O31" i="32"/>
  <c r="O31" i="33"/>
  <c r="O31" i="40"/>
  <c r="B31" i="35"/>
  <c r="B31" i="31"/>
  <c r="B31" i="37"/>
  <c r="O31" i="36"/>
  <c r="V29" i="37"/>
  <c r="W29" i="37" s="1"/>
  <c r="AA27" i="17" s="1"/>
  <c r="U29" i="37"/>
  <c r="V28" i="33"/>
  <c r="W28" i="33" s="1"/>
  <c r="Y26" i="17" s="1"/>
  <c r="U28" i="33"/>
  <c r="V30" i="31"/>
  <c r="W30" i="31" s="1"/>
  <c r="U28" i="17" s="1"/>
  <c r="U30" i="31"/>
  <c r="J30" i="31"/>
  <c r="I30" i="31"/>
  <c r="K29" i="31"/>
  <c r="D27" i="17" s="1"/>
  <c r="K22" i="38"/>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K31" i="34"/>
  <c r="G29" i="17" s="1"/>
  <c r="U29" i="36"/>
  <c r="V29" i="36"/>
  <c r="W29" i="36" s="1"/>
  <c r="Z27" i="17" s="1"/>
  <c r="V29" i="40"/>
  <c r="W29" i="40" s="1"/>
  <c r="AB27" i="17" s="1"/>
  <c r="U29" i="40"/>
  <c r="K27" i="32"/>
  <c r="F25" i="17" s="1"/>
  <c r="L25" i="17" s="1"/>
  <c r="J20" i="38"/>
  <c r="I30" i="33"/>
  <c r="J30" i="33"/>
  <c r="K30" i="33" s="1"/>
  <c r="H28" i="17" s="1"/>
  <c r="I32" i="34"/>
  <c r="J32" i="34"/>
  <c r="J30" i="37"/>
  <c r="K30" i="37" s="1"/>
  <c r="J28" i="17" s="1"/>
  <c r="I30" i="37"/>
  <c r="U31" i="35"/>
  <c r="V31" i="35"/>
  <c r="W31" i="35" s="1"/>
  <c r="V29" i="17" s="1"/>
  <c r="J32" i="36"/>
  <c r="K32" i="36" s="1"/>
  <c r="I30" i="17" s="1"/>
  <c r="I32" i="36"/>
  <c r="B32" i="40" l="1"/>
  <c r="O32" i="40"/>
  <c r="O32" i="32"/>
  <c r="B32" i="31"/>
  <c r="B32" i="36"/>
  <c r="B32" i="33"/>
  <c r="B32" i="32"/>
  <c r="B32" i="34"/>
  <c r="B32" i="18"/>
  <c r="B32" i="37"/>
  <c r="B28" i="7"/>
  <c r="O32" i="35"/>
  <c r="O32" i="34"/>
  <c r="O32" i="31"/>
  <c r="O32" i="36"/>
  <c r="B32" i="35"/>
  <c r="O32" i="37"/>
  <c r="O32" i="33"/>
  <c r="O32" i="18"/>
  <c r="V30" i="37"/>
  <c r="W30" i="37" s="1"/>
  <c r="AA28" i="17" s="1"/>
  <c r="U30" i="37"/>
  <c r="AC26" i="17"/>
  <c r="AF26" i="17" s="1"/>
  <c r="U29" i="33"/>
  <c r="V29" i="33"/>
  <c r="W29" i="33" s="1"/>
  <c r="Y27" i="17" s="1"/>
  <c r="U31" i="31"/>
  <c r="V31" i="31"/>
  <c r="W31" i="31" s="1"/>
  <c r="U29" i="17" s="1"/>
  <c r="I31" i="31"/>
  <c r="J31" i="31"/>
  <c r="K23" i="38"/>
  <c r="K30" i="31"/>
  <c r="D28" i="17" s="1"/>
  <c r="V31" i="18"/>
  <c r="W31" i="18" s="1"/>
  <c r="T29" i="17" s="1"/>
  <c r="U31" i="18"/>
  <c r="U29" i="32"/>
  <c r="V29" i="32"/>
  <c r="W29" i="32" s="1"/>
  <c r="W27" i="17" s="1"/>
  <c r="L25" i="38"/>
  <c r="K32" i="34"/>
  <c r="G30"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O33" i="18" l="1"/>
  <c r="B33" i="33"/>
  <c r="B29" i="7"/>
  <c r="O33" i="40"/>
  <c r="B33" i="35"/>
  <c r="O33" i="32"/>
  <c r="B33" i="34"/>
  <c r="B33" i="18"/>
  <c r="B33" i="32"/>
  <c r="O33" i="36"/>
  <c r="O33" i="33"/>
  <c r="O33" i="37"/>
  <c r="O33" i="31"/>
  <c r="B33" i="40"/>
  <c r="O33" i="34"/>
  <c r="O33" i="35"/>
  <c r="B33" i="36"/>
  <c r="B33" i="31"/>
  <c r="B33" i="37"/>
  <c r="V31" i="37"/>
  <c r="W31" i="37" s="1"/>
  <c r="AA29" i="17" s="1"/>
  <c r="U31" i="37"/>
  <c r="AC27" i="17"/>
  <c r="AF27" i="17" s="1"/>
  <c r="V30" i="33"/>
  <c r="W30" i="33" s="1"/>
  <c r="Y28" i="17" s="1"/>
  <c r="U30" i="33"/>
  <c r="V32" i="31"/>
  <c r="W32" i="31" s="1"/>
  <c r="U30" i="17" s="1"/>
  <c r="U32" i="31"/>
  <c r="K24" i="38"/>
  <c r="K31" i="31"/>
  <c r="D29" i="17" s="1"/>
  <c r="I32" i="31"/>
  <c r="J32" i="31"/>
  <c r="U30" i="32"/>
  <c r="V30" i="32"/>
  <c r="W30" i="32" s="1"/>
  <c r="W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AC28" i="17" l="1"/>
  <c r="AF28" i="17" s="1"/>
  <c r="O34" i="32"/>
  <c r="B34" i="40"/>
  <c r="B34" i="18"/>
  <c r="B34" i="37"/>
  <c r="O34" i="36"/>
  <c r="B34" i="33"/>
  <c r="O34" i="18"/>
  <c r="O34" i="33"/>
  <c r="O34" i="35"/>
  <c r="B34" i="32"/>
  <c r="B34" i="35"/>
  <c r="O34" i="40"/>
  <c r="B34" i="36"/>
  <c r="B34" i="34"/>
  <c r="O34" i="31"/>
  <c r="O34" i="37"/>
  <c r="B34" i="31"/>
  <c r="B30" i="7"/>
  <c r="O34" i="34"/>
  <c r="V32" i="37"/>
  <c r="W32" i="37" s="1"/>
  <c r="AA30" i="17" s="1"/>
  <c r="U32" i="37"/>
  <c r="V31" i="33"/>
  <c r="W31" i="33" s="1"/>
  <c r="Y29" i="17" s="1"/>
  <c r="U31" i="33"/>
  <c r="V33" i="31"/>
  <c r="W33" i="31" s="1"/>
  <c r="U31" i="17" s="1"/>
  <c r="U33" i="31"/>
  <c r="I33" i="31"/>
  <c r="J33" i="31"/>
  <c r="K25" i="38"/>
  <c r="K32" i="31"/>
  <c r="D30" i="17" s="1"/>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B35" i="40" l="1"/>
  <c r="B35" i="18"/>
  <c r="B35" i="31"/>
  <c r="B35" i="34"/>
  <c r="B31" i="7"/>
  <c r="B35" i="36"/>
  <c r="B35" i="33"/>
  <c r="O35" i="40"/>
  <c r="O35" i="33"/>
  <c r="O35" i="35"/>
  <c r="O35" i="32"/>
  <c r="B35" i="35"/>
  <c r="B35" i="37"/>
  <c r="O35" i="18"/>
  <c r="B35" i="32"/>
  <c r="O35" i="36"/>
  <c r="O35" i="37"/>
  <c r="O35" i="34"/>
  <c r="O35" i="31"/>
  <c r="U33" i="37"/>
  <c r="V33" i="37"/>
  <c r="W33" i="37" s="1"/>
  <c r="AA31" i="17" s="1"/>
  <c r="AC29" i="17"/>
  <c r="AF29" i="17" s="1"/>
  <c r="V32" i="33"/>
  <c r="W32" i="33" s="1"/>
  <c r="Y30" i="17" s="1"/>
  <c r="U32" i="33"/>
  <c r="V34" i="31"/>
  <c r="W34" i="31" s="1"/>
  <c r="U32" i="17" s="1"/>
  <c r="U34" i="31"/>
  <c r="K26" i="38"/>
  <c r="K33" i="31"/>
  <c r="D31" i="17" s="1"/>
  <c r="J34" i="31"/>
  <c r="I34" i="31"/>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O36" i="37" l="1"/>
  <c r="O36" i="32"/>
  <c r="B36" i="33"/>
  <c r="O36" i="33"/>
  <c r="B36" i="32"/>
  <c r="O36" i="18"/>
  <c r="O36" i="31"/>
  <c r="O36" i="40"/>
  <c r="B36" i="35"/>
  <c r="O36" i="34"/>
  <c r="B36" i="31"/>
  <c r="B36" i="37"/>
  <c r="B36" i="36"/>
  <c r="B32" i="7"/>
  <c r="B36" i="34"/>
  <c r="B36" i="18"/>
  <c r="B36" i="40"/>
  <c r="O36" i="36"/>
  <c r="O36" i="35"/>
  <c r="AC30" i="17"/>
  <c r="AF30" i="17" s="1"/>
  <c r="V34" i="37"/>
  <c r="W34" i="37" s="1"/>
  <c r="AA32" i="17" s="1"/>
  <c r="U34" i="37"/>
  <c r="V33" i="33"/>
  <c r="W33" i="33" s="1"/>
  <c r="Y31" i="17" s="1"/>
  <c r="U33" i="33"/>
  <c r="U35" i="31"/>
  <c r="V35" i="31"/>
  <c r="W35" i="31" s="1"/>
  <c r="U33" i="17" s="1"/>
  <c r="K27" i="38"/>
  <c r="K34" i="31"/>
  <c r="D32" i="17" s="1"/>
  <c r="J35" i="31"/>
  <c r="I35" i="31"/>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O37" i="33" l="1"/>
  <c r="O37" i="37"/>
  <c r="B37" i="32"/>
  <c r="O37" i="18"/>
  <c r="B33" i="7"/>
  <c r="B37" i="31"/>
  <c r="O37" i="31"/>
  <c r="B37" i="33"/>
  <c r="O37" i="32"/>
  <c r="O37" i="40"/>
  <c r="B37" i="34"/>
  <c r="B37" i="18"/>
  <c r="O37" i="34"/>
  <c r="O37" i="36"/>
  <c r="B37" i="37"/>
  <c r="O37" i="35"/>
  <c r="B37" i="40"/>
  <c r="B37" i="36"/>
  <c r="B37" i="35"/>
  <c r="V35" i="37"/>
  <c r="W35" i="37" s="1"/>
  <c r="AA33" i="17" s="1"/>
  <c r="U35" i="37"/>
  <c r="AC31" i="17"/>
  <c r="AF31" i="17" s="1"/>
  <c r="U34" i="33"/>
  <c r="V34" i="33"/>
  <c r="W34" i="33" s="1"/>
  <c r="Y32" i="17" s="1"/>
  <c r="U36" i="31"/>
  <c r="V36" i="31"/>
  <c r="W36" i="31" s="1"/>
  <c r="U34" i="17" s="1"/>
  <c r="I36" i="31"/>
  <c r="J36" i="31"/>
  <c r="K28" i="38"/>
  <c r="K35" i="31"/>
  <c r="D33" i="17" s="1"/>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O38" i="33" l="1"/>
  <c r="O38" i="40"/>
  <c r="O38" i="34"/>
  <c r="B38" i="40"/>
  <c r="B38" i="32"/>
  <c r="O38" i="32"/>
  <c r="O38" i="18"/>
  <c r="O38" i="37"/>
  <c r="B34" i="7"/>
  <c r="O38" i="31"/>
  <c r="B38" i="18"/>
  <c r="O38" i="35"/>
  <c r="B38" i="36"/>
  <c r="B38" i="31"/>
  <c r="B38" i="35"/>
  <c r="B38" i="37"/>
  <c r="B38" i="33"/>
  <c r="B38" i="34"/>
  <c r="O38" i="36"/>
  <c r="AC32" i="17"/>
  <c r="AF32" i="17" s="1"/>
  <c r="U36" i="37"/>
  <c r="V36" i="37"/>
  <c r="W36" i="37" s="1"/>
  <c r="AA34" i="17" s="1"/>
  <c r="U35" i="33"/>
  <c r="V35" i="33"/>
  <c r="W35" i="33" s="1"/>
  <c r="Y33" i="17" s="1"/>
  <c r="V37" i="31"/>
  <c r="W37" i="31" s="1"/>
  <c r="U35" i="17" s="1"/>
  <c r="U37" i="31"/>
  <c r="K36" i="31"/>
  <c r="D34" i="17" s="1"/>
  <c r="K29" i="38"/>
  <c r="I37" i="31"/>
  <c r="J37" i="31"/>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O39" i="18"/>
  <c r="O39" i="37"/>
  <c r="B39" i="34"/>
  <c r="O39" i="40"/>
  <c r="B39" i="35"/>
  <c r="B39" i="31"/>
  <c r="O39" i="36"/>
  <c r="O39" i="35"/>
  <c r="O39" i="32"/>
  <c r="B39" i="32"/>
  <c r="B39" i="37"/>
  <c r="B39" i="36"/>
  <c r="B39" i="40"/>
  <c r="B39" i="18"/>
  <c r="O39" i="31"/>
  <c r="B35" i="7"/>
  <c r="O39" i="34"/>
  <c r="O39" i="33"/>
  <c r="B39" i="33"/>
  <c r="U37" i="37"/>
  <c r="V37" i="37"/>
  <c r="W37" i="37" s="1"/>
  <c r="AA35" i="17" s="1"/>
  <c r="V36" i="33"/>
  <c r="W36" i="33" s="1"/>
  <c r="Y34" i="17" s="1"/>
  <c r="U36" i="33"/>
  <c r="V38" i="31"/>
  <c r="W38" i="31" s="1"/>
  <c r="U36" i="17" s="1"/>
  <c r="U38" i="31"/>
  <c r="K30" i="38"/>
  <c r="K37" i="31"/>
  <c r="D35" i="17" s="1"/>
  <c r="J38" i="31"/>
  <c r="I38" i="31"/>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O40" i="35" l="1"/>
  <c r="O40" i="40"/>
  <c r="B40" i="34"/>
  <c r="B40" i="40"/>
  <c r="O40" i="36"/>
  <c r="B40" i="32"/>
  <c r="B36" i="7"/>
  <c r="B40" i="33"/>
  <c r="B40" i="36"/>
  <c r="B40" i="31"/>
  <c r="O40" i="37"/>
  <c r="O40" i="31"/>
  <c r="O40" i="32"/>
  <c r="O40" i="33"/>
  <c r="B40" i="18"/>
  <c r="O40" i="18"/>
  <c r="B40" i="37"/>
  <c r="O40" i="34"/>
  <c r="B40" i="35"/>
  <c r="V38" i="37"/>
  <c r="W38" i="37" s="1"/>
  <c r="AA36" i="17" s="1"/>
  <c r="U38" i="37"/>
  <c r="AC34" i="17"/>
  <c r="AF34" i="17" s="1"/>
  <c r="V37" i="33"/>
  <c r="W37" i="33" s="1"/>
  <c r="Y35" i="17" s="1"/>
  <c r="U37" i="33"/>
  <c r="V39" i="31"/>
  <c r="W39" i="31" s="1"/>
  <c r="U37" i="17" s="1"/>
  <c r="U39" i="31"/>
  <c r="I39" i="31"/>
  <c r="J39" i="31"/>
  <c r="K38" i="31"/>
  <c r="D36" i="17" s="1"/>
  <c r="K31" i="3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O41" i="31" l="1"/>
  <c r="B41" i="33"/>
  <c r="B41" i="40"/>
  <c r="B37" i="7"/>
  <c r="B41" i="36"/>
  <c r="O41" i="40"/>
  <c r="O41" i="36"/>
  <c r="O41" i="37"/>
  <c r="O41" i="32"/>
  <c r="O41" i="33"/>
  <c r="O41" i="35"/>
  <c r="B41" i="37"/>
  <c r="B41" i="31"/>
  <c r="O41" i="18"/>
  <c r="B41" i="35"/>
  <c r="B41" i="18"/>
  <c r="B41" i="32"/>
  <c r="O41" i="34"/>
  <c r="B41" i="34"/>
  <c r="V39" i="37"/>
  <c r="W39" i="37" s="1"/>
  <c r="AA37" i="17" s="1"/>
  <c r="U39" i="37"/>
  <c r="AC35" i="17"/>
  <c r="AF35" i="17" s="1"/>
  <c r="V38" i="33"/>
  <c r="W38" i="33" s="1"/>
  <c r="Y36" i="17" s="1"/>
  <c r="U38" i="33"/>
  <c r="U40" i="31"/>
  <c r="V40" i="31"/>
  <c r="W40" i="31" s="1"/>
  <c r="U38" i="17" s="1"/>
  <c r="K39" i="31"/>
  <c r="D37" i="17" s="1"/>
  <c r="K32" i="38"/>
  <c r="J40" i="31"/>
  <c r="I40" i="31"/>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O42" i="40" l="1"/>
  <c r="O42" i="32"/>
  <c r="B42" i="32"/>
  <c r="O42" i="36"/>
  <c r="B42" i="31"/>
  <c r="O42" i="34"/>
  <c r="B42" i="34"/>
  <c r="B42" i="40"/>
  <c r="O42" i="33"/>
  <c r="B42" i="37"/>
  <c r="B38" i="7"/>
  <c r="O42" i="31"/>
  <c r="B42" i="33"/>
  <c r="O42" i="18"/>
  <c r="B42" i="18"/>
  <c r="B42" i="35"/>
  <c r="O42" i="35"/>
  <c r="B42" i="36"/>
  <c r="O42" i="37"/>
  <c r="U40" i="37"/>
  <c r="V40" i="37"/>
  <c r="W40" i="37" s="1"/>
  <c r="AA38" i="17" s="1"/>
  <c r="AC36" i="17"/>
  <c r="AF36" i="17" s="1"/>
  <c r="V39" i="33"/>
  <c r="W39" i="33" s="1"/>
  <c r="Y37" i="17" s="1"/>
  <c r="U39" i="33"/>
  <c r="V41" i="31"/>
  <c r="W41" i="31" s="1"/>
  <c r="U39" i="17" s="1"/>
  <c r="U41" i="31"/>
  <c r="I41" i="31"/>
  <c r="J41" i="31"/>
  <c r="K33" i="38"/>
  <c r="K40" i="31"/>
  <c r="D38" i="17" s="1"/>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O43" i="18" l="1"/>
  <c r="B43" i="40"/>
  <c r="B43" i="35"/>
  <c r="B43" i="31"/>
  <c r="B43" i="18"/>
  <c r="O43" i="31"/>
  <c r="B43" i="34"/>
  <c r="O43" i="37"/>
  <c r="B43" i="32"/>
  <c r="O43" i="34"/>
  <c r="O43" i="33"/>
  <c r="B43" i="33"/>
  <c r="O43" i="35"/>
  <c r="O43" i="36"/>
  <c r="O43" i="40"/>
  <c r="B43" i="36"/>
  <c r="B43" i="37"/>
  <c r="O43" i="32"/>
  <c r="B39" i="7"/>
  <c r="AC37" i="17"/>
  <c r="AF37" i="17" s="1"/>
  <c r="V41" i="37"/>
  <c r="W41" i="37" s="1"/>
  <c r="AA39" i="17" s="1"/>
  <c r="U41" i="37"/>
  <c r="U40" i="33"/>
  <c r="V40" i="33"/>
  <c r="W40" i="33" s="1"/>
  <c r="Y38" i="17" s="1"/>
  <c r="U42" i="31"/>
  <c r="V42" i="31"/>
  <c r="W42" i="31" s="1"/>
  <c r="U40" i="17" s="1"/>
  <c r="K34" i="38"/>
  <c r="K41" i="31"/>
  <c r="D39" i="17" s="1"/>
  <c r="J42" i="31"/>
  <c r="I42" i="31"/>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B44" i="34" l="1"/>
  <c r="B44" i="33"/>
  <c r="O44" i="40"/>
  <c r="B44" i="32"/>
  <c r="O44" i="33"/>
  <c r="O44" i="32"/>
  <c r="B40" i="7"/>
  <c r="B44" i="31"/>
  <c r="B44" i="18"/>
  <c r="B44" i="37"/>
  <c r="O44" i="31"/>
  <c r="O44" i="36"/>
  <c r="O44" i="34"/>
  <c r="O44" i="18"/>
  <c r="O44" i="37"/>
  <c r="B44" i="35"/>
  <c r="B44" i="36"/>
  <c r="O44" i="35"/>
  <c r="B44" i="40"/>
  <c r="V42" i="37"/>
  <c r="W42" i="37" s="1"/>
  <c r="AA40" i="17" s="1"/>
  <c r="U42" i="37"/>
  <c r="AC38" i="17"/>
  <c r="AF38" i="17" s="1"/>
  <c r="V41" i="33"/>
  <c r="W41" i="33" s="1"/>
  <c r="Y39" i="17" s="1"/>
  <c r="U41" i="33"/>
  <c r="V43" i="31"/>
  <c r="W43" i="31" s="1"/>
  <c r="U41" i="17" s="1"/>
  <c r="U43" i="31"/>
  <c r="I43" i="31"/>
  <c r="J43" i="31"/>
  <c r="K42" i="31"/>
  <c r="D40" i="17" s="1"/>
  <c r="K35" i="38"/>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O45" i="40" l="1"/>
  <c r="B45" i="31"/>
  <c r="O45" i="31"/>
  <c r="B45" i="37"/>
  <c r="O45" i="18"/>
  <c r="O45" i="35"/>
  <c r="B45" i="35"/>
  <c r="B41" i="7"/>
  <c r="O45" i="37"/>
  <c r="B45" i="18"/>
  <c r="B45" i="32"/>
  <c r="B45" i="36"/>
  <c r="O45" i="36"/>
  <c r="O45" i="34"/>
  <c r="B45" i="33"/>
  <c r="B45" i="40"/>
  <c r="B45" i="34"/>
  <c r="O45" i="32"/>
  <c r="O45" i="33"/>
  <c r="AC39" i="17"/>
  <c r="AF39" i="17" s="1"/>
  <c r="U43" i="37"/>
  <c r="V43" i="37"/>
  <c r="W43" i="37" s="1"/>
  <c r="AA41" i="17" s="1"/>
  <c r="V42" i="33"/>
  <c r="W42" i="33" s="1"/>
  <c r="Y40" i="17" s="1"/>
  <c r="U42" i="33"/>
  <c r="U44" i="31"/>
  <c r="V44" i="31"/>
  <c r="W44" i="31" s="1"/>
  <c r="U42" i="17" s="1"/>
  <c r="K36" i="38"/>
  <c r="K43" i="31"/>
  <c r="D41" i="17" s="1"/>
  <c r="J44" i="31"/>
  <c r="I44" i="31"/>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B46" i="35" l="1"/>
  <c r="B46" i="33"/>
  <c r="O46" i="31"/>
  <c r="B46" i="36"/>
  <c r="O46" i="32"/>
  <c r="B46" i="31"/>
  <c r="O46" i="36"/>
  <c r="O46" i="34"/>
  <c r="B46" i="34"/>
  <c r="B46" i="37"/>
  <c r="O46" i="40"/>
  <c r="B46" i="40"/>
  <c r="O46" i="35"/>
  <c r="B46" i="18"/>
  <c r="O46" i="18"/>
  <c r="B46" i="32"/>
  <c r="O46" i="33"/>
  <c r="B42" i="7"/>
  <c r="O46" i="37"/>
  <c r="V44" i="37"/>
  <c r="W44" i="37" s="1"/>
  <c r="AA42" i="17" s="1"/>
  <c r="U44" i="37"/>
  <c r="AC40" i="17"/>
  <c r="AF40" i="17" s="1"/>
  <c r="V43" i="33"/>
  <c r="W43" i="33" s="1"/>
  <c r="Y41" i="17" s="1"/>
  <c r="U43" i="33"/>
  <c r="V45" i="31"/>
  <c r="W45" i="31" s="1"/>
  <c r="U43" i="17" s="1"/>
  <c r="U45" i="31"/>
  <c r="J45" i="31"/>
  <c r="I45" i="31"/>
  <c r="K37" i="38"/>
  <c r="K44" i="31"/>
  <c r="D42" i="17" s="1"/>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B47" i="35" l="1"/>
  <c r="O47" i="32"/>
  <c r="O47" i="18"/>
  <c r="B47" i="33"/>
  <c r="B47" i="32"/>
  <c r="B47" i="18"/>
  <c r="O47" i="33"/>
  <c r="B43" i="7"/>
  <c r="O47" i="36"/>
  <c r="O47" i="35"/>
  <c r="B47" i="40"/>
  <c r="O47" i="34"/>
  <c r="B47" i="31"/>
  <c r="O47" i="37"/>
  <c r="B47" i="36"/>
  <c r="B47" i="37"/>
  <c r="B47" i="34"/>
  <c r="O47" i="31"/>
  <c r="O47" i="40"/>
  <c r="V45" i="37"/>
  <c r="W45" i="37" s="1"/>
  <c r="AA43" i="17" s="1"/>
  <c r="U45" i="37"/>
  <c r="AC41" i="17"/>
  <c r="AF41" i="17" s="1"/>
  <c r="U44" i="33"/>
  <c r="V44" i="33"/>
  <c r="W44" i="33" s="1"/>
  <c r="Y42" i="17" s="1"/>
  <c r="U46" i="31"/>
  <c r="V46" i="31"/>
  <c r="W46" i="31" s="1"/>
  <c r="U44" i="17" s="1"/>
  <c r="J46" i="31"/>
  <c r="I46" i="31"/>
  <c r="K38" i="38"/>
  <c r="K45" i="31"/>
  <c r="D43" i="17" s="1"/>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O48" i="18"/>
  <c r="O48" i="31"/>
  <c r="B48" i="40"/>
  <c r="O48" i="32"/>
  <c r="O48" i="36"/>
  <c r="B48" i="33"/>
  <c r="B48" i="32"/>
  <c r="O48" i="33"/>
  <c r="B48" i="36"/>
  <c r="B48" i="18"/>
  <c r="B44" i="7"/>
  <c r="O48" i="37"/>
  <c r="O48" i="35"/>
  <c r="O48" i="40"/>
  <c r="B48" i="34"/>
  <c r="O48" i="34"/>
  <c r="B48" i="37"/>
  <c r="B48" i="31"/>
  <c r="B48" i="35"/>
  <c r="U46" i="37"/>
  <c r="V46" i="37"/>
  <c r="W46" i="37" s="1"/>
  <c r="AA44" i="17" s="1"/>
  <c r="U45" i="33"/>
  <c r="V45" i="33"/>
  <c r="W45" i="33" s="1"/>
  <c r="Y43" i="17" s="1"/>
  <c r="U47" i="31"/>
  <c r="V47" i="31"/>
  <c r="W47" i="31" s="1"/>
  <c r="U45" i="17" s="1"/>
  <c r="J47" i="31"/>
  <c r="I47" i="31"/>
  <c r="K39" i="38"/>
  <c r="K46" i="31"/>
  <c r="D44" i="17" s="1"/>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O49" i="31"/>
  <c r="O49" i="35"/>
  <c r="O49" i="34"/>
  <c r="B49" i="35"/>
  <c r="B49" i="33"/>
  <c r="B49" i="37"/>
  <c r="B49" i="31"/>
  <c r="B45" i="7"/>
  <c r="B49" i="36"/>
  <c r="O49" i="32"/>
  <c r="O49" i="37"/>
  <c r="O49" i="33"/>
  <c r="B49" i="34"/>
  <c r="B49" i="32"/>
  <c r="O49" i="40"/>
  <c r="O49" i="18"/>
  <c r="B49" i="40"/>
  <c r="O49" i="36"/>
  <c r="B49" i="18"/>
  <c r="V47" i="37"/>
  <c r="W47" i="37" s="1"/>
  <c r="AA45" i="17" s="1"/>
  <c r="U47" i="37"/>
  <c r="U46" i="33"/>
  <c r="V46" i="33"/>
  <c r="W46" i="33" s="1"/>
  <c r="Y44" i="17" s="1"/>
  <c r="U48" i="31"/>
  <c r="V48" i="31"/>
  <c r="W48" i="31" s="1"/>
  <c r="U46" i="17" s="1"/>
  <c r="I48" i="31"/>
  <c r="J48" i="31"/>
  <c r="K47" i="31"/>
  <c r="D45" i="17" s="1"/>
  <c r="K40" i="38"/>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B50" i="37" l="1"/>
  <c r="B50" i="40"/>
  <c r="B50" i="18"/>
  <c r="B50" i="32"/>
  <c r="B50" i="33"/>
  <c r="O50" i="32"/>
  <c r="O50" i="34"/>
  <c r="O50" i="37"/>
  <c r="O50" i="31"/>
  <c r="O50" i="35"/>
  <c r="B50" i="35"/>
  <c r="B46" i="7"/>
  <c r="B50" i="34"/>
  <c r="O50" i="36"/>
  <c r="B50" i="36"/>
  <c r="O50" i="18"/>
  <c r="O50" i="33"/>
  <c r="O50" i="40"/>
  <c r="B50" i="31"/>
  <c r="AC44" i="17"/>
  <c r="AF44" i="17" s="1"/>
  <c r="U48" i="37"/>
  <c r="V48" i="37"/>
  <c r="W48" i="37" s="1"/>
  <c r="AA46" i="17" s="1"/>
  <c r="U47" i="33"/>
  <c r="V47" i="33"/>
  <c r="W47" i="33" s="1"/>
  <c r="Y45" i="17" s="1"/>
  <c r="V49" i="31"/>
  <c r="W49" i="31" s="1"/>
  <c r="U47" i="17" s="1"/>
  <c r="U49" i="31"/>
  <c r="K48" i="31"/>
  <c r="D46" i="17" s="1"/>
  <c r="K41" i="38"/>
  <c r="J49" i="31"/>
  <c r="I49" i="31"/>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B51" i="37" l="1"/>
  <c r="O51" i="36"/>
  <c r="O51" i="37"/>
  <c r="B51" i="40"/>
  <c r="O51" i="40"/>
  <c r="B51" i="34"/>
  <c r="O51" i="32"/>
  <c r="B51" i="33"/>
  <c r="O51" i="34"/>
  <c r="B51" i="31"/>
  <c r="B51" i="36"/>
  <c r="B51" i="18"/>
  <c r="O51" i="31"/>
  <c r="B47" i="7"/>
  <c r="O51" i="18"/>
  <c r="B51" i="32"/>
  <c r="O51" i="35"/>
  <c r="B51" i="35"/>
  <c r="O51" i="33"/>
  <c r="U49" i="37"/>
  <c r="V49" i="37"/>
  <c r="W49" i="37" s="1"/>
  <c r="AA47" i="17" s="1"/>
  <c r="AC45" i="17"/>
  <c r="AF45" i="17" s="1"/>
  <c r="U48" i="33"/>
  <c r="V48" i="33"/>
  <c r="W48" i="33" s="1"/>
  <c r="Y46" i="17" s="1"/>
  <c r="V50" i="31"/>
  <c r="W50" i="31" s="1"/>
  <c r="U48" i="17" s="1"/>
  <c r="U50" i="31"/>
  <c r="K49" i="31"/>
  <c r="D47" i="17" s="1"/>
  <c r="K42" i="38"/>
  <c r="I50" i="31"/>
  <c r="J50" i="31"/>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O52" i="31" l="1"/>
  <c r="O52" i="37"/>
  <c r="B52" i="31"/>
  <c r="O52" i="33"/>
  <c r="B52" i="33"/>
  <c r="O52" i="18"/>
  <c r="O52" i="34"/>
  <c r="B52" i="36"/>
  <c r="B52" i="37"/>
  <c r="B52" i="35"/>
  <c r="O52" i="36"/>
  <c r="O52" i="40"/>
  <c r="B52" i="32"/>
  <c r="B52" i="40"/>
  <c r="O52" i="32"/>
  <c r="B52" i="34"/>
  <c r="B52" i="18"/>
  <c r="B48" i="7"/>
  <c r="O52" i="35"/>
  <c r="U50" i="37"/>
  <c r="V50" i="37"/>
  <c r="W50" i="37" s="1"/>
  <c r="AA48" i="17" s="1"/>
  <c r="AC46" i="17"/>
  <c r="AF46" i="17" s="1"/>
  <c r="V49" i="33"/>
  <c r="W49" i="33" s="1"/>
  <c r="Y47" i="17" s="1"/>
  <c r="U49" i="33"/>
  <c r="U51" i="31"/>
  <c r="V51" i="31"/>
  <c r="W51" i="31" s="1"/>
  <c r="U49" i="17" s="1"/>
  <c r="K50" i="31"/>
  <c r="D48" i="17" s="1"/>
  <c r="K43" i="38"/>
  <c r="I51" i="31"/>
  <c r="J51" i="31"/>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O53" i="33" l="1"/>
  <c r="B49" i="7"/>
  <c r="B53" i="35"/>
  <c r="B53" i="31"/>
  <c r="B53" i="33"/>
  <c r="B53" i="36"/>
  <c r="O53" i="40"/>
  <c r="B53" i="32"/>
  <c r="B53" i="34"/>
  <c r="O53" i="31"/>
  <c r="O53" i="36"/>
  <c r="O53" i="37"/>
  <c r="O53" i="35"/>
  <c r="O53" i="18"/>
  <c r="B53" i="40"/>
  <c r="O53" i="32"/>
  <c r="O53" i="34"/>
  <c r="B53" i="37"/>
  <c r="B53" i="18"/>
  <c r="U51" i="37"/>
  <c r="V51" i="37"/>
  <c r="W51" i="37" s="1"/>
  <c r="AA49" i="17" s="1"/>
  <c r="AC47" i="17"/>
  <c r="AF47" i="17" s="1"/>
  <c r="U50" i="33"/>
  <c r="V50" i="33"/>
  <c r="W50" i="33" s="1"/>
  <c r="Y48" i="17" s="1"/>
  <c r="U52" i="31"/>
  <c r="V52" i="31"/>
  <c r="W52" i="31" s="1"/>
  <c r="U50" i="17" s="1"/>
  <c r="J52" i="31"/>
  <c r="I52" i="31"/>
  <c r="K51" i="31"/>
  <c r="D49" i="17" s="1"/>
  <c r="K44" i="38"/>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B54" i="35" l="1"/>
  <c r="O54" i="31"/>
  <c r="O54" i="37"/>
  <c r="O54" i="18"/>
  <c r="B54" i="37"/>
  <c r="B54" i="36"/>
  <c r="B54" i="40"/>
  <c r="B54" i="31"/>
  <c r="O54" i="33"/>
  <c r="B54" i="18"/>
  <c r="O54" i="32"/>
  <c r="B54" i="34"/>
  <c r="O54" i="35"/>
  <c r="B50" i="7"/>
  <c r="O54" i="40"/>
  <c r="O54" i="36"/>
  <c r="B54" i="33"/>
  <c r="B54" i="32"/>
  <c r="O54" i="34"/>
  <c r="V52" i="37"/>
  <c r="W52" i="37" s="1"/>
  <c r="AA50" i="17" s="1"/>
  <c r="U52" i="37"/>
  <c r="AC48" i="17"/>
  <c r="AF48" i="17" s="1"/>
  <c r="V51" i="33"/>
  <c r="W51" i="33" s="1"/>
  <c r="Y49" i="17" s="1"/>
  <c r="U51" i="33"/>
  <c r="V53" i="31"/>
  <c r="W53" i="31" s="1"/>
  <c r="U51" i="17" s="1"/>
  <c r="U53" i="31"/>
  <c r="I53" i="31"/>
  <c r="J53" i="31"/>
  <c r="K52" i="31"/>
  <c r="D50" i="17" s="1"/>
  <c r="K45" i="38"/>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B55" i="31" l="1"/>
  <c r="O55" i="33"/>
  <c r="B55" i="33"/>
  <c r="O55" i="40"/>
  <c r="O55" i="32"/>
  <c r="B51" i="7"/>
  <c r="O55" i="18"/>
  <c r="B55" i="40"/>
  <c r="B55" i="34"/>
  <c r="O55" i="34"/>
  <c r="B55" i="18"/>
  <c r="B55" i="37"/>
  <c r="O55" i="36"/>
  <c r="O55" i="35"/>
  <c r="B55" i="36"/>
  <c r="B55" i="32"/>
  <c r="O55" i="37"/>
  <c r="B55" i="35"/>
  <c r="O55" i="31"/>
  <c r="U53" i="37"/>
  <c r="V53" i="37"/>
  <c r="W53" i="37" s="1"/>
  <c r="AA51" i="17" s="1"/>
  <c r="AC49" i="17"/>
  <c r="AF49" i="17" s="1"/>
  <c r="U52" i="33"/>
  <c r="V52" i="33"/>
  <c r="W52" i="33" s="1"/>
  <c r="Y50" i="17" s="1"/>
  <c r="V54" i="31"/>
  <c r="W54" i="31" s="1"/>
  <c r="U52" i="17" s="1"/>
  <c r="U54" i="31"/>
  <c r="K53" i="31"/>
  <c r="D51" i="17" s="1"/>
  <c r="K46" i="38"/>
  <c r="J54" i="31"/>
  <c r="I54" i="31"/>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O56" i="35"/>
  <c r="B56" i="35"/>
  <c r="B56" i="18"/>
  <c r="B56" i="34"/>
  <c r="O56" i="32"/>
  <c r="B56" i="33"/>
  <c r="O56" i="33"/>
  <c r="B56" i="40"/>
  <c r="B56" i="32"/>
  <c r="O56" i="18"/>
  <c r="O56" i="40"/>
  <c r="B56" i="36"/>
  <c r="O56" i="34"/>
  <c r="O56" i="37"/>
  <c r="O56" i="31"/>
  <c r="B56" i="31"/>
  <c r="B56" i="37"/>
  <c r="B52" i="7"/>
  <c r="O56" i="36"/>
  <c r="U54" i="37"/>
  <c r="V54" i="37"/>
  <c r="W54" i="37" s="1"/>
  <c r="AA52" i="17" s="1"/>
  <c r="V53" i="33"/>
  <c r="W53" i="33" s="1"/>
  <c r="Y51" i="17" s="1"/>
  <c r="U53" i="33"/>
  <c r="U55" i="31"/>
  <c r="V55" i="31"/>
  <c r="W55" i="31" s="1"/>
  <c r="U53" i="17" s="1"/>
  <c r="J55" i="31"/>
  <c r="I55" i="31"/>
  <c r="K54" i="31"/>
  <c r="D52" i="17" s="1"/>
  <c r="K47" i="38"/>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O57" i="32" l="1"/>
  <c r="O57" i="36"/>
  <c r="B57" i="34"/>
  <c r="B57" i="40"/>
  <c r="B57" i="37"/>
  <c r="O57" i="37"/>
  <c r="B57" i="32"/>
  <c r="O57" i="40"/>
  <c r="B57" i="31"/>
  <c r="O57" i="35"/>
  <c r="B57" i="18"/>
  <c r="O57" i="34"/>
  <c r="O57" i="31"/>
  <c r="B57" i="35"/>
  <c r="B57" i="36"/>
  <c r="O57" i="18"/>
  <c r="O57" i="33"/>
  <c r="B57" i="33"/>
  <c r="B53" i="7"/>
  <c r="V55" i="37"/>
  <c r="W55" i="37" s="1"/>
  <c r="AA53" i="17" s="1"/>
  <c r="U55" i="37"/>
  <c r="AC51" i="17"/>
  <c r="AF51" i="17" s="1"/>
  <c r="U54" i="33"/>
  <c r="V54" i="33"/>
  <c r="W54" i="33" s="1"/>
  <c r="Y52" i="17" s="1"/>
  <c r="V56" i="31"/>
  <c r="W56" i="31" s="1"/>
  <c r="U54" i="17" s="1"/>
  <c r="U56" i="31"/>
  <c r="J56" i="31"/>
  <c r="I56" i="31"/>
  <c r="K55" i="31"/>
  <c r="D53" i="17" s="1"/>
  <c r="K48" i="38"/>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B58" i="33" l="1"/>
  <c r="B58" i="40"/>
  <c r="B58" i="37"/>
  <c r="O58" i="40"/>
  <c r="O58" i="33"/>
  <c r="O58" i="34"/>
  <c r="B58" i="35"/>
  <c r="B58" i="18"/>
  <c r="O58" i="31"/>
  <c r="O58" i="37"/>
  <c r="O58" i="32"/>
  <c r="B58" i="32"/>
  <c r="B58" i="36"/>
  <c r="O58" i="36"/>
  <c r="B58" i="34"/>
  <c r="B58" i="31"/>
  <c r="O58" i="18"/>
  <c r="O58" i="35"/>
  <c r="B54" i="7"/>
  <c r="U56" i="37"/>
  <c r="V56" i="37"/>
  <c r="W56" i="37" s="1"/>
  <c r="AA54" i="17" s="1"/>
  <c r="AC52" i="17"/>
  <c r="AF52" i="17" s="1"/>
  <c r="V55" i="33"/>
  <c r="W55" i="33" s="1"/>
  <c r="Y53" i="17" s="1"/>
  <c r="U55" i="33"/>
  <c r="V57" i="31"/>
  <c r="W57" i="31" s="1"/>
  <c r="U55" i="17" s="1"/>
  <c r="U57" i="31"/>
  <c r="J57" i="31"/>
  <c r="I57" i="31"/>
  <c r="K56" i="31"/>
  <c r="D54" i="17" s="1"/>
  <c r="K49" i="38"/>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B59" i="18" l="1"/>
  <c r="B59" i="34"/>
  <c r="O59" i="18"/>
  <c r="O59" i="40"/>
  <c r="B59" i="31"/>
  <c r="O59" i="33"/>
  <c r="O59" i="37"/>
  <c r="O59" i="36"/>
  <c r="O59" i="31"/>
  <c r="O59" i="34"/>
  <c r="B59" i="37"/>
  <c r="B59" i="33"/>
  <c r="O59" i="32"/>
  <c r="B59" i="36"/>
  <c r="B59" i="32"/>
  <c r="B59" i="40"/>
  <c r="B55" i="7"/>
  <c r="B59" i="35"/>
  <c r="O59" i="35"/>
  <c r="V57" i="37"/>
  <c r="W57" i="37" s="1"/>
  <c r="AA55" i="17" s="1"/>
  <c r="U57" i="37"/>
  <c r="AC53" i="17"/>
  <c r="AF53" i="17" s="1"/>
  <c r="U56" i="33"/>
  <c r="V56" i="33"/>
  <c r="W56" i="33" s="1"/>
  <c r="Y54" i="17" s="1"/>
  <c r="V58" i="31"/>
  <c r="W58" i="31" s="1"/>
  <c r="U56" i="17" s="1"/>
  <c r="U58" i="31"/>
  <c r="J58" i="31"/>
  <c r="I58" i="31"/>
  <c r="K57" i="31"/>
  <c r="D55" i="17" s="1"/>
  <c r="K50" i="38"/>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B60" i="34" l="1"/>
  <c r="B60" i="33"/>
  <c r="B60" i="37"/>
  <c r="O60" i="18"/>
  <c r="B60" i="32"/>
  <c r="O60" i="37"/>
  <c r="O60" i="32"/>
  <c r="O60" i="31"/>
  <c r="O60" i="35"/>
  <c r="O60" i="34"/>
  <c r="B60" i="35"/>
  <c r="O60" i="36"/>
  <c r="B60" i="18"/>
  <c r="B60" i="36"/>
  <c r="B60" i="40"/>
  <c r="O60" i="40"/>
  <c r="B60" i="31"/>
  <c r="B56" i="7"/>
  <c r="O60" i="33"/>
  <c r="V58" i="37"/>
  <c r="W58" i="37" s="1"/>
  <c r="AA56" i="17" s="1"/>
  <c r="U58" i="37"/>
  <c r="AC54" i="17"/>
  <c r="AF54" i="17" s="1"/>
  <c r="U57" i="33"/>
  <c r="V57" i="33"/>
  <c r="W57" i="33" s="1"/>
  <c r="Y55" i="17" s="1"/>
  <c r="V59" i="31"/>
  <c r="W59" i="31" s="1"/>
  <c r="U57" i="17" s="1"/>
  <c r="U59" i="31"/>
  <c r="K51" i="38"/>
  <c r="K58" i="31"/>
  <c r="D56" i="17" s="1"/>
  <c r="I59" i="31"/>
  <c r="J59" i="31"/>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B61" i="33"/>
  <c r="O61" i="32"/>
  <c r="O61" i="34"/>
  <c r="O61" i="36"/>
  <c r="B61" i="36"/>
  <c r="B61" i="31"/>
  <c r="B61" i="32"/>
  <c r="B61" i="35"/>
  <c r="O61" i="33"/>
  <c r="B57" i="7"/>
  <c r="O61" i="18"/>
  <c r="B61" i="40"/>
  <c r="B61" i="37"/>
  <c r="B61" i="34"/>
  <c r="O61" i="40"/>
  <c r="B61" i="18"/>
  <c r="O61" i="37"/>
  <c r="O61" i="31"/>
  <c r="O61" i="35"/>
  <c r="U59" i="37"/>
  <c r="V59" i="37"/>
  <c r="W59" i="37" s="1"/>
  <c r="AA57" i="17" s="1"/>
  <c r="U58" i="33"/>
  <c r="V58" i="33"/>
  <c r="W58" i="33" s="1"/>
  <c r="Y56" i="17" s="1"/>
  <c r="V60" i="31"/>
  <c r="W60" i="31" s="1"/>
  <c r="U58" i="17" s="1"/>
  <c r="U60" i="31"/>
  <c r="K52" i="38"/>
  <c r="K59" i="31"/>
  <c r="D57" i="17" s="1"/>
  <c r="J60" i="31"/>
  <c r="I60" i="31"/>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O62" i="36" l="1"/>
  <c r="O62" i="31"/>
  <c r="O62" i="18"/>
  <c r="B62" i="34"/>
  <c r="B62" i="35"/>
  <c r="O62" i="35"/>
  <c r="B58" i="7"/>
  <c r="B62" i="37"/>
  <c r="O62" i="40"/>
  <c r="B62" i="33"/>
  <c r="B62" i="40"/>
  <c r="B62" i="36"/>
  <c r="O62" i="33"/>
  <c r="B62" i="31"/>
  <c r="O62" i="37"/>
  <c r="O62" i="34"/>
  <c r="O62" i="32"/>
  <c r="B62" i="32"/>
  <c r="B62" i="18"/>
  <c r="U60" i="37"/>
  <c r="V60" i="37"/>
  <c r="W60" i="37" s="1"/>
  <c r="AA58" i="17" s="1"/>
  <c r="AC56" i="17"/>
  <c r="AF56" i="17" s="1"/>
  <c r="U59" i="33"/>
  <c r="V59" i="33"/>
  <c r="W59" i="33" s="1"/>
  <c r="Y57" i="17" s="1"/>
  <c r="U61" i="31"/>
  <c r="V61" i="31"/>
  <c r="W61" i="31" s="1"/>
  <c r="U59" i="17" s="1"/>
  <c r="I61" i="31"/>
  <c r="J61" i="31"/>
  <c r="K53" i="38"/>
  <c r="K60" i="31"/>
  <c r="D58" i="17" s="1"/>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B63" i="40"/>
  <c r="B63" i="31"/>
  <c r="B63" i="34"/>
  <c r="B63" i="32"/>
  <c r="B63" i="36"/>
  <c r="B63" i="35"/>
  <c r="O63" i="36"/>
  <c r="O63" i="35"/>
  <c r="B59" i="7"/>
  <c r="O63" i="40"/>
  <c r="B63" i="18"/>
  <c r="O63" i="37"/>
  <c r="O63" i="18"/>
  <c r="O63" i="34"/>
  <c r="B63" i="37"/>
  <c r="O63" i="33"/>
  <c r="O63" i="32"/>
  <c r="B63" i="33"/>
  <c r="O63" i="31"/>
  <c r="V61" i="37"/>
  <c r="W61" i="37" s="1"/>
  <c r="AA59" i="17" s="1"/>
  <c r="U61" i="37"/>
  <c r="U60" i="33"/>
  <c r="V60" i="33"/>
  <c r="W60" i="33" s="1"/>
  <c r="Y58" i="17" s="1"/>
  <c r="V62" i="31"/>
  <c r="W62" i="31" s="1"/>
  <c r="U60" i="17" s="1"/>
  <c r="U62" i="31"/>
  <c r="K61" i="31"/>
  <c r="D59" i="17" s="1"/>
  <c r="K54" i="38"/>
  <c r="I62" i="31"/>
  <c r="J62" i="31"/>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O64" i="34" l="1"/>
  <c r="B64" i="36"/>
  <c r="B64" i="31"/>
  <c r="B64" i="18"/>
  <c r="O64" i="36"/>
  <c r="O64" i="40"/>
  <c r="O64" i="37"/>
  <c r="B64" i="32"/>
  <c r="O64" i="35"/>
  <c r="B64" i="37"/>
  <c r="B64" i="34"/>
  <c r="B64" i="33"/>
  <c r="O64" i="31"/>
  <c r="O64" i="18"/>
  <c r="B64" i="35"/>
  <c r="B64" i="40"/>
  <c r="O64" i="32"/>
  <c r="B60" i="7"/>
  <c r="O64" i="33"/>
  <c r="AC58" i="17"/>
  <c r="AF58" i="17" s="1"/>
  <c r="U62" i="37"/>
  <c r="V62" i="37"/>
  <c r="W62" i="37" s="1"/>
  <c r="AA60" i="17" s="1"/>
  <c r="V61" i="33"/>
  <c r="W61" i="33" s="1"/>
  <c r="Y59" i="17" s="1"/>
  <c r="U61" i="33"/>
  <c r="V63" i="31"/>
  <c r="W63" i="31" s="1"/>
  <c r="U61" i="17" s="1"/>
  <c r="U63" i="31"/>
  <c r="I63" i="31"/>
  <c r="J63" i="31"/>
  <c r="K62" i="31"/>
  <c r="D60" i="17" s="1"/>
  <c r="K55" i="38"/>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B65" i="36" l="1"/>
  <c r="B65" i="34"/>
  <c r="O65" i="31"/>
  <c r="B65" i="37"/>
  <c r="O65" i="36"/>
  <c r="O65" i="37"/>
  <c r="B61" i="7"/>
  <c r="O65" i="33"/>
  <c r="O65" i="35"/>
  <c r="B65" i="35"/>
  <c r="B65" i="31"/>
  <c r="B65" i="18"/>
  <c r="O65" i="34"/>
  <c r="B65" i="32"/>
  <c r="O65" i="40"/>
  <c r="B65" i="40"/>
  <c r="B65" i="33"/>
  <c r="O65" i="18"/>
  <c r="O65" i="32"/>
  <c r="U63" i="37"/>
  <c r="V63" i="37"/>
  <c r="W63" i="37" s="1"/>
  <c r="AA61" i="17" s="1"/>
  <c r="AC59" i="17"/>
  <c r="AF59" i="17" s="1"/>
  <c r="V62" i="33"/>
  <c r="W62" i="33" s="1"/>
  <c r="Y60" i="17" s="1"/>
  <c r="U62" i="33"/>
  <c r="V64" i="31"/>
  <c r="W64" i="31" s="1"/>
  <c r="U62" i="17" s="1"/>
  <c r="U64" i="31"/>
  <c r="K63" i="31"/>
  <c r="D61" i="17" s="1"/>
  <c r="K56" i="38"/>
  <c r="I64" i="31"/>
  <c r="J64" i="31"/>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B66" i="36"/>
  <c r="B62" i="7"/>
  <c r="B66" i="34"/>
  <c r="O66" i="36"/>
  <c r="B66" i="33"/>
  <c r="O66" i="32"/>
  <c r="O66" i="35"/>
  <c r="O66" i="33"/>
  <c r="B66" i="31"/>
  <c r="O66" i="40"/>
  <c r="O66" i="31"/>
  <c r="B66" i="40"/>
  <c r="O66" i="18"/>
  <c r="B66" i="18"/>
  <c r="B66" i="37"/>
  <c r="B66" i="35"/>
  <c r="O66" i="34"/>
  <c r="O66" i="37"/>
  <c r="B66" i="32"/>
  <c r="V64" i="37"/>
  <c r="W64" i="37" s="1"/>
  <c r="AA62" i="17" s="1"/>
  <c r="U64" i="37"/>
  <c r="V63" i="33"/>
  <c r="W63" i="33" s="1"/>
  <c r="Y61" i="17" s="1"/>
  <c r="U63" i="33"/>
  <c r="V65" i="31"/>
  <c r="W65" i="31" s="1"/>
  <c r="U63" i="17" s="1"/>
  <c r="U65" i="31"/>
  <c r="K64" i="31"/>
  <c r="D62" i="17" s="1"/>
  <c r="K57" i="38"/>
  <c r="J65" i="31"/>
  <c r="I65" i="31"/>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O67" i="40" l="1"/>
  <c r="O67" i="36"/>
  <c r="B67" i="36"/>
  <c r="B67" i="34"/>
  <c r="O67" i="34"/>
  <c r="B67" i="31"/>
  <c r="B63" i="7"/>
  <c r="B67" i="33"/>
  <c r="O67" i="35"/>
  <c r="B67" i="32"/>
  <c r="B67" i="40"/>
  <c r="O67" i="31"/>
  <c r="O67" i="32"/>
  <c r="O67" i="37"/>
  <c r="B67" i="35"/>
  <c r="B67" i="18"/>
  <c r="B67" i="37"/>
  <c r="O67" i="33"/>
  <c r="O67" i="18"/>
  <c r="V65" i="37"/>
  <c r="W65" i="37" s="1"/>
  <c r="AA63" i="17" s="1"/>
  <c r="U65" i="37"/>
  <c r="AC61" i="17"/>
  <c r="AF61" i="17" s="1"/>
  <c r="V64" i="33"/>
  <c r="W64" i="33" s="1"/>
  <c r="Y62" i="17" s="1"/>
  <c r="U64" i="33"/>
  <c r="V66" i="31"/>
  <c r="W66" i="31" s="1"/>
  <c r="U64" i="17" s="1"/>
  <c r="U66" i="31"/>
  <c r="K65" i="31"/>
  <c r="D63" i="17" s="1"/>
  <c r="K58" i="38"/>
  <c r="I66" i="31"/>
  <c r="J66" i="31"/>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O68" i="31"/>
  <c r="O68" i="32"/>
  <c r="O68" i="37"/>
  <c r="O68" i="33"/>
  <c r="B68" i="18"/>
  <c r="B68" i="37"/>
  <c r="O68" i="35"/>
  <c r="B68" i="35"/>
  <c r="B68" i="40"/>
  <c r="O68" i="40"/>
  <c r="O68" i="18"/>
  <c r="B68" i="33"/>
  <c r="O68" i="34"/>
  <c r="B68" i="34"/>
  <c r="B68" i="32"/>
  <c r="B64" i="7"/>
  <c r="O68" i="36"/>
  <c r="B68" i="31"/>
  <c r="B68" i="36"/>
  <c r="V66" i="37"/>
  <c r="W66" i="37" s="1"/>
  <c r="AA64" i="17" s="1"/>
  <c r="U66" i="37"/>
  <c r="V65" i="33"/>
  <c r="W65" i="33" s="1"/>
  <c r="Y63" i="17" s="1"/>
  <c r="U65" i="33"/>
  <c r="V67" i="31"/>
  <c r="W67" i="31" s="1"/>
  <c r="U65" i="17" s="1"/>
  <c r="U67" i="31"/>
  <c r="K66" i="31"/>
  <c r="D64" i="17" s="1"/>
  <c r="K59" i="38"/>
  <c r="J67" i="31"/>
  <c r="I67" i="31"/>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O69" i="33"/>
  <c r="B69" i="40"/>
  <c r="B69" i="36"/>
  <c r="O69" i="31"/>
  <c r="B69" i="32"/>
  <c r="O69" i="37"/>
  <c r="B65" i="7"/>
  <c r="B69" i="35"/>
  <c r="B69" i="31"/>
  <c r="O69" i="36"/>
  <c r="O69" i="34"/>
  <c r="O69" i="40"/>
  <c r="B69" i="37"/>
  <c r="B69" i="34"/>
  <c r="O69" i="18"/>
  <c r="O69" i="32"/>
  <c r="O69" i="35"/>
  <c r="B69" i="18"/>
  <c r="B69" i="33"/>
  <c r="V67" i="37"/>
  <c r="W67" i="37" s="1"/>
  <c r="AA65" i="17" s="1"/>
  <c r="U67" i="37"/>
  <c r="V66" i="33"/>
  <c r="W66" i="33" s="1"/>
  <c r="Y64" i="17" s="1"/>
  <c r="U66" i="33"/>
  <c r="V68" i="31"/>
  <c r="W68" i="31" s="1"/>
  <c r="U66" i="17" s="1"/>
  <c r="U68" i="31"/>
  <c r="I68" i="31"/>
  <c r="J68" i="31"/>
  <c r="K67" i="31"/>
  <c r="D65" i="17" s="1"/>
  <c r="K60" i="38"/>
  <c r="U68" i="18"/>
  <c r="V68" i="18"/>
  <c r="W68" i="18" s="1"/>
  <c r="T66" i="17" s="1"/>
  <c r="U66" i="32"/>
  <c r="V66" i="32"/>
  <c r="W66" i="32" s="1"/>
  <c r="W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O70" i="35" l="1"/>
  <c r="B70" i="32"/>
  <c r="B70" i="40"/>
  <c r="B70" i="18"/>
  <c r="O70" i="36"/>
  <c r="O70" i="33"/>
  <c r="B70" i="37"/>
  <c r="O70" i="34"/>
  <c r="B66" i="7"/>
  <c r="B70" i="34"/>
  <c r="B70" i="35"/>
  <c r="B70" i="31"/>
  <c r="O70" i="40"/>
  <c r="O70" i="31"/>
  <c r="O70" i="37"/>
  <c r="O70" i="32"/>
  <c r="B70" i="36"/>
  <c r="B70" i="33"/>
  <c r="O70" i="18"/>
  <c r="U68" i="37"/>
  <c r="V68" i="37"/>
  <c r="W68" i="37" s="1"/>
  <c r="AA66" i="17" s="1"/>
  <c r="AC64" i="17"/>
  <c r="AF64" i="17" s="1"/>
  <c r="V67" i="33"/>
  <c r="W67" i="33" s="1"/>
  <c r="Y65" i="17" s="1"/>
  <c r="U67" i="33"/>
  <c r="V69" i="31"/>
  <c r="W69" i="31" s="1"/>
  <c r="U67" i="17" s="1"/>
  <c r="U69" i="31"/>
  <c r="K61" i="38"/>
  <c r="K68" i="31"/>
  <c r="D66" i="17" s="1"/>
  <c r="I69" i="31"/>
  <c r="J69" i="31"/>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B71" i="37" l="1"/>
  <c r="O71" i="33"/>
  <c r="O71" i="18"/>
  <c r="O71" i="35"/>
  <c r="B67" i="7"/>
  <c r="B71" i="18"/>
  <c r="O71" i="36"/>
  <c r="O71" i="37"/>
  <c r="B71" i="31"/>
  <c r="B71" i="40"/>
  <c r="O71" i="40"/>
  <c r="B71" i="34"/>
  <c r="O71" i="32"/>
  <c r="O71" i="34"/>
  <c r="B71" i="35"/>
  <c r="B71" i="36"/>
  <c r="B71" i="32"/>
  <c r="O71" i="31"/>
  <c r="B71" i="33"/>
  <c r="AC65" i="17"/>
  <c r="AF65" i="17" s="1"/>
  <c r="U69" i="37"/>
  <c r="V69" i="37"/>
  <c r="W69" i="37" s="1"/>
  <c r="AA67" i="17" s="1"/>
  <c r="V68" i="33"/>
  <c r="W68" i="33" s="1"/>
  <c r="Y66" i="17" s="1"/>
  <c r="U68" i="33"/>
  <c r="U70" i="31"/>
  <c r="V70" i="31"/>
  <c r="W70" i="31" s="1"/>
  <c r="U68" i="17" s="1"/>
  <c r="K62" i="38"/>
  <c r="K69" i="31"/>
  <c r="D67" i="17" s="1"/>
  <c r="I70" i="31"/>
  <c r="J70" i="31"/>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B72" i="36" l="1"/>
  <c r="B72" i="37"/>
  <c r="O72" i="35"/>
  <c r="B68" i="7"/>
  <c r="O72" i="31"/>
  <c r="O72" i="32"/>
  <c r="B72" i="40"/>
  <c r="B72" i="32"/>
  <c r="O72" i="18"/>
  <c r="O72" i="36"/>
  <c r="B72" i="33"/>
  <c r="B72" i="31"/>
  <c r="O72" i="33"/>
  <c r="O72" i="37"/>
  <c r="O72" i="40"/>
  <c r="B72" i="34"/>
  <c r="O72" i="34"/>
  <c r="B72" i="18"/>
  <c r="B72" i="35"/>
  <c r="V70" i="37"/>
  <c r="W70" i="37" s="1"/>
  <c r="AA68" i="17" s="1"/>
  <c r="U70" i="37"/>
  <c r="AC66" i="17"/>
  <c r="AF66" i="17" s="1"/>
  <c r="U69" i="33"/>
  <c r="V69" i="33"/>
  <c r="W69" i="33" s="1"/>
  <c r="Y67" i="17" s="1"/>
  <c r="V71" i="31"/>
  <c r="W71" i="31" s="1"/>
  <c r="U69" i="17" s="1"/>
  <c r="U71" i="31"/>
  <c r="K63" i="38"/>
  <c r="K70" i="31"/>
  <c r="D68" i="17" s="1"/>
  <c r="I71" i="31"/>
  <c r="J71" i="31"/>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O73" i="31" l="1"/>
  <c r="B73" i="33"/>
  <c r="O73" i="34"/>
  <c r="B73" i="34"/>
  <c r="B73" i="37"/>
  <c r="O73" i="37"/>
  <c r="B73" i="32"/>
  <c r="O73" i="18"/>
  <c r="B73" i="36"/>
  <c r="O73" i="40"/>
  <c r="B73" i="18"/>
  <c r="B73" i="35"/>
  <c r="B69" i="7"/>
  <c r="O73" i="33"/>
  <c r="O73" i="35"/>
  <c r="O73" i="36"/>
  <c r="O73" i="32"/>
  <c r="B73" i="31"/>
  <c r="B73" i="40"/>
  <c r="U71" i="37"/>
  <c r="V71" i="37"/>
  <c r="W71" i="37" s="1"/>
  <c r="AA69" i="17" s="1"/>
  <c r="AC67" i="17"/>
  <c r="AF67" i="17" s="1"/>
  <c r="U70" i="33"/>
  <c r="V70" i="33"/>
  <c r="W70" i="33" s="1"/>
  <c r="Y68" i="17" s="1"/>
  <c r="V72" i="31"/>
  <c r="W72" i="31" s="1"/>
  <c r="U70" i="17" s="1"/>
  <c r="U72" i="31"/>
  <c r="I72" i="31"/>
  <c r="J72" i="31"/>
  <c r="K71" i="31"/>
  <c r="D69" i="17" s="1"/>
  <c r="K64" i="38"/>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O74" i="18"/>
  <c r="B74" i="37"/>
  <c r="O74" i="40"/>
  <c r="B74" i="36"/>
  <c r="B74" i="40"/>
  <c r="B74" i="18"/>
  <c r="B74" i="35"/>
  <c r="B74" i="32"/>
  <c r="O74" i="34"/>
  <c r="O74" i="36"/>
  <c r="B70" i="7"/>
  <c r="B74" i="31"/>
  <c r="O74" i="35"/>
  <c r="B74" i="33"/>
  <c r="O74" i="31"/>
  <c r="O74" i="32"/>
  <c r="B74" i="34"/>
  <c r="O74" i="37"/>
  <c r="O74" i="33"/>
  <c r="V72" i="37"/>
  <c r="W72" i="37" s="1"/>
  <c r="AA70" i="17" s="1"/>
  <c r="U72" i="37"/>
  <c r="V71" i="33"/>
  <c r="W71" i="33" s="1"/>
  <c r="Y69" i="17" s="1"/>
  <c r="U71" i="33"/>
  <c r="V73" i="31"/>
  <c r="W73" i="31" s="1"/>
  <c r="U71" i="17" s="1"/>
  <c r="U73" i="31"/>
  <c r="K72" i="31"/>
  <c r="D70" i="17" s="1"/>
  <c r="K65" i="38"/>
  <c r="J73" i="31"/>
  <c r="I73" i="31"/>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B75" i="32" l="1"/>
  <c r="O75" i="31"/>
  <c r="O75" i="18"/>
  <c r="B71" i="7"/>
  <c r="O75" i="36"/>
  <c r="B75" i="33"/>
  <c r="B75" i="34"/>
  <c r="B75" i="31"/>
  <c r="B75" i="37"/>
  <c r="O75" i="35"/>
  <c r="O75" i="33"/>
  <c r="B75" i="40"/>
  <c r="B75" i="36"/>
  <c r="B75" i="18"/>
  <c r="O75" i="40"/>
  <c r="B75" i="35"/>
  <c r="O75" i="34"/>
  <c r="O75" i="32"/>
  <c r="O75" i="37"/>
  <c r="U73" i="37"/>
  <c r="V73" i="37"/>
  <c r="W73" i="37" s="1"/>
  <c r="AA71" i="17" s="1"/>
  <c r="AC69" i="17"/>
  <c r="AF69" i="17" s="1"/>
  <c r="V72" i="33"/>
  <c r="W72" i="33" s="1"/>
  <c r="Y70" i="17" s="1"/>
  <c r="U72" i="33"/>
  <c r="U74" i="31"/>
  <c r="V74" i="31"/>
  <c r="W74" i="31" s="1"/>
  <c r="U72" i="17" s="1"/>
  <c r="J74" i="31"/>
  <c r="I74" i="31"/>
  <c r="K66" i="38"/>
  <c r="K73" i="31"/>
  <c r="D71" i="17" s="1"/>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O76" i="32" l="1"/>
  <c r="O76" i="33"/>
  <c r="B76" i="40"/>
  <c r="O76" i="36"/>
  <c r="B76" i="31"/>
  <c r="B76" i="37"/>
  <c r="B76" i="36"/>
  <c r="O76" i="18"/>
  <c r="B76" i="18"/>
  <c r="O76" i="34"/>
  <c r="B72" i="7"/>
  <c r="O76" i="37"/>
  <c r="O76" i="40"/>
  <c r="O76" i="35"/>
  <c r="B76" i="34"/>
  <c r="B76" i="32"/>
  <c r="B76" i="33"/>
  <c r="O76" i="31"/>
  <c r="B76" i="35"/>
  <c r="AC70" i="17"/>
  <c r="AF70" i="17" s="1"/>
  <c r="V74" i="37"/>
  <c r="W74" i="37" s="1"/>
  <c r="AA72" i="17" s="1"/>
  <c r="U74" i="37"/>
  <c r="V73" i="33"/>
  <c r="W73" i="33" s="1"/>
  <c r="Y71" i="17" s="1"/>
  <c r="U73" i="33"/>
  <c r="V75" i="31"/>
  <c r="W75" i="31" s="1"/>
  <c r="U73" i="17" s="1"/>
  <c r="U75" i="31"/>
  <c r="I75" i="31"/>
  <c r="J75" i="31"/>
  <c r="K74" i="31"/>
  <c r="D72" i="17" s="1"/>
  <c r="K67" i="38"/>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B77" i="31" l="1"/>
  <c r="O77" i="32"/>
  <c r="B77" i="35"/>
  <c r="B77" i="37"/>
  <c r="B77" i="36"/>
  <c r="O77" i="33"/>
  <c r="B77" i="18"/>
  <c r="B73" i="7"/>
  <c r="O77" i="36"/>
  <c r="B77" i="33"/>
  <c r="O77" i="34"/>
  <c r="B77" i="34"/>
  <c r="O77" i="35"/>
  <c r="B77" i="32"/>
  <c r="O77" i="37"/>
  <c r="O77" i="31"/>
  <c r="O77" i="40"/>
  <c r="O77" i="18"/>
  <c r="B77" i="40"/>
  <c r="V75" i="37"/>
  <c r="W75" i="37" s="1"/>
  <c r="AA73" i="17" s="1"/>
  <c r="U75" i="37"/>
  <c r="AC71" i="17"/>
  <c r="AF71" i="17" s="1"/>
  <c r="U74" i="33"/>
  <c r="V74" i="33"/>
  <c r="W74" i="33" s="1"/>
  <c r="Y72" i="17" s="1"/>
  <c r="U76" i="31"/>
  <c r="V76" i="31"/>
  <c r="W76" i="31" s="1"/>
  <c r="U74" i="17" s="1"/>
  <c r="I76" i="31"/>
  <c r="J76" i="31"/>
  <c r="K68" i="38"/>
  <c r="K75" i="31"/>
  <c r="D73" i="17" s="1"/>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B78" i="34" l="1"/>
  <c r="B78" i="32"/>
  <c r="B78" i="36"/>
  <c r="B74" i="7"/>
  <c r="B78" i="35"/>
  <c r="O78" i="34"/>
  <c r="B78" i="40"/>
  <c r="O78" i="40"/>
  <c r="O78" i="31"/>
  <c r="O78" i="33"/>
  <c r="B78" i="31"/>
  <c r="O78" i="36"/>
  <c r="B78" i="33"/>
  <c r="O78" i="32"/>
  <c r="O78" i="35"/>
  <c r="B78" i="18"/>
  <c r="B78" i="37"/>
  <c r="O78" i="37"/>
  <c r="O78" i="18"/>
  <c r="U76" i="37"/>
  <c r="V76" i="37"/>
  <c r="W76" i="37" s="1"/>
  <c r="AA74" i="17" s="1"/>
  <c r="AC72" i="17"/>
  <c r="AF72" i="17" s="1"/>
  <c r="U75" i="33"/>
  <c r="V75" i="33"/>
  <c r="W75" i="33" s="1"/>
  <c r="Y73" i="17" s="1"/>
  <c r="V77" i="31"/>
  <c r="W77" i="31" s="1"/>
  <c r="U75" i="17" s="1"/>
  <c r="U77" i="31"/>
  <c r="K69" i="38"/>
  <c r="K76" i="31"/>
  <c r="D74" i="17" s="1"/>
  <c r="J77" i="31"/>
  <c r="I77" i="31"/>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O79" i="37" l="1"/>
  <c r="B79" i="31"/>
  <c r="O79" i="18"/>
  <c r="B79" i="37"/>
  <c r="B79" i="36"/>
  <c r="O79" i="32"/>
  <c r="B79" i="40"/>
  <c r="B79" i="35"/>
  <c r="O79" i="34"/>
  <c r="O79" i="33"/>
  <c r="O79" i="35"/>
  <c r="B75" i="7"/>
  <c r="B79" i="32"/>
  <c r="B79" i="33"/>
  <c r="O79" i="31"/>
  <c r="B79" i="34"/>
  <c r="O79" i="40"/>
  <c r="O79" i="36"/>
  <c r="B79" i="18"/>
  <c r="V77" i="37"/>
  <c r="W77" i="37" s="1"/>
  <c r="AA75" i="17" s="1"/>
  <c r="U77" i="37"/>
  <c r="AC73" i="17"/>
  <c r="AF73" i="17" s="1"/>
  <c r="U76" i="33"/>
  <c r="V76" i="33"/>
  <c r="W76" i="33" s="1"/>
  <c r="Y74" i="17" s="1"/>
  <c r="U78" i="31"/>
  <c r="V78" i="31"/>
  <c r="W78" i="31" s="1"/>
  <c r="U76" i="17" s="1"/>
  <c r="J78" i="31"/>
  <c r="I78" i="31"/>
  <c r="K77" i="31"/>
  <c r="D75" i="17" s="1"/>
  <c r="K70" i="3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O80" i="32" l="1"/>
  <c r="B76" i="7"/>
  <c r="O80" i="18"/>
  <c r="O80" i="31"/>
  <c r="O80" i="36"/>
  <c r="B80" i="37"/>
  <c r="O80" i="35"/>
  <c r="B80" i="18"/>
  <c r="O80" i="40"/>
  <c r="O80" i="33"/>
  <c r="B80" i="40"/>
  <c r="B80" i="35"/>
  <c r="B80" i="36"/>
  <c r="B80" i="34"/>
  <c r="O80" i="37"/>
  <c r="B80" i="32"/>
  <c r="B80" i="33"/>
  <c r="O80" i="34"/>
  <c r="B80" i="31"/>
  <c r="V78" i="37"/>
  <c r="W78" i="37" s="1"/>
  <c r="AA76" i="17" s="1"/>
  <c r="U78" i="37"/>
  <c r="AC74" i="17"/>
  <c r="AF74" i="17" s="1"/>
  <c r="U77" i="33"/>
  <c r="V77" i="33"/>
  <c r="W77" i="33" s="1"/>
  <c r="Y75" i="17" s="1"/>
  <c r="V79" i="31"/>
  <c r="W79" i="31" s="1"/>
  <c r="U77" i="17" s="1"/>
  <c r="U79" i="31"/>
  <c r="I79" i="31"/>
  <c r="J79" i="31"/>
  <c r="K71" i="38"/>
  <c r="K78" i="31"/>
  <c r="D76" i="17" s="1"/>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O81" i="18" l="1"/>
  <c r="O81" i="33"/>
  <c r="B81" i="31"/>
  <c r="O81" i="34"/>
  <c r="B77" i="7"/>
  <c r="O81" i="35"/>
  <c r="O81" i="32"/>
  <c r="O81" i="37"/>
  <c r="B81" i="32"/>
  <c r="B81" i="36"/>
  <c r="B81" i="33"/>
  <c r="B81" i="35"/>
  <c r="O81" i="31"/>
  <c r="B81" i="40"/>
  <c r="O81" i="40"/>
  <c r="B81" i="34"/>
  <c r="O81" i="36"/>
  <c r="B81" i="18"/>
  <c r="B81" i="37"/>
  <c r="V79" i="37"/>
  <c r="W79" i="37" s="1"/>
  <c r="AA77" i="17" s="1"/>
  <c r="U79" i="37"/>
  <c r="AC75" i="17"/>
  <c r="AF75" i="17" s="1"/>
  <c r="U78" i="33"/>
  <c r="V78" i="33"/>
  <c r="W78" i="33" s="1"/>
  <c r="Y76" i="17" s="1"/>
  <c r="V80" i="31"/>
  <c r="W80" i="31" s="1"/>
  <c r="U78" i="17" s="1"/>
  <c r="U80" i="31"/>
  <c r="K72" i="38"/>
  <c r="K79" i="31"/>
  <c r="D77" i="17" s="1"/>
  <c r="J80" i="31"/>
  <c r="I80" i="31"/>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B82" i="37" l="1"/>
  <c r="B82" i="40"/>
  <c r="O82" i="33"/>
  <c r="O82" i="35"/>
  <c r="O82" i="18"/>
  <c r="B82" i="31"/>
  <c r="B82" i="32"/>
  <c r="O82" i="31"/>
  <c r="O82" i="37"/>
  <c r="B78" i="7"/>
  <c r="O82" i="40"/>
  <c r="O82" i="32"/>
  <c r="B82" i="36"/>
  <c r="B82" i="33"/>
  <c r="O82" i="34"/>
  <c r="O82" i="36"/>
  <c r="B82" i="35"/>
  <c r="B82" i="34"/>
  <c r="B82" i="18"/>
  <c r="V80" i="37"/>
  <c r="W80" i="37" s="1"/>
  <c r="AA78" i="17" s="1"/>
  <c r="U80" i="37"/>
  <c r="AC76" i="17"/>
  <c r="AF76" i="17" s="1"/>
  <c r="V79" i="33"/>
  <c r="W79" i="33" s="1"/>
  <c r="Y77" i="17" s="1"/>
  <c r="U79" i="33"/>
  <c r="V81" i="31"/>
  <c r="W81" i="31" s="1"/>
  <c r="U79" i="17" s="1"/>
  <c r="U81" i="31"/>
  <c r="J81" i="31"/>
  <c r="I81" i="31"/>
  <c r="K80" i="31"/>
  <c r="D78" i="17" s="1"/>
  <c r="K73" i="38"/>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B83" i="33"/>
  <c r="O83" i="40"/>
  <c r="B79" i="7"/>
  <c r="B83" i="40"/>
  <c r="B83" i="35"/>
  <c r="O83" i="31"/>
  <c r="B83" i="31"/>
  <c r="O83" i="36"/>
  <c r="B83" i="37"/>
  <c r="O83" i="18"/>
  <c r="B83" i="18"/>
  <c r="B83" i="34"/>
  <c r="B83" i="36"/>
  <c r="O83" i="34"/>
  <c r="O83" i="33"/>
  <c r="O83" i="35"/>
  <c r="O83" i="37"/>
  <c r="O83" i="32"/>
  <c r="B83" i="32"/>
  <c r="V81" i="37"/>
  <c r="W81" i="37" s="1"/>
  <c r="AA79" i="17" s="1"/>
  <c r="U81" i="37"/>
  <c r="V80" i="33"/>
  <c r="W80" i="33" s="1"/>
  <c r="Y78" i="17" s="1"/>
  <c r="U80" i="33"/>
  <c r="V82" i="31"/>
  <c r="W82" i="31" s="1"/>
  <c r="U80" i="17" s="1"/>
  <c r="U82" i="31"/>
  <c r="I82" i="31"/>
  <c r="J82" i="31"/>
  <c r="K81" i="31"/>
  <c r="D79" i="17" s="1"/>
  <c r="K74" i="3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B84" i="32" l="1"/>
  <c r="O84" i="37"/>
  <c r="B84" i="18"/>
  <c r="B84" i="34"/>
  <c r="O84" i="32"/>
  <c r="O84" i="18"/>
  <c r="B84" i="37"/>
  <c r="O84" i="34"/>
  <c r="O84" i="36"/>
  <c r="O84" i="40"/>
  <c r="O84" i="31"/>
  <c r="B80" i="7"/>
  <c r="B84" i="36"/>
  <c r="B84" i="33"/>
  <c r="O84" i="33"/>
  <c r="O84" i="35"/>
  <c r="B84" i="35"/>
  <c r="B84" i="31"/>
  <c r="B84" i="40"/>
  <c r="U82" i="37"/>
  <c r="V82" i="37"/>
  <c r="W82" i="37" s="1"/>
  <c r="AA80" i="17" s="1"/>
  <c r="AC78" i="17"/>
  <c r="AF78" i="17" s="1"/>
  <c r="V81" i="33"/>
  <c r="W81" i="33" s="1"/>
  <c r="Y79" i="17" s="1"/>
  <c r="U81" i="33"/>
  <c r="V83" i="31"/>
  <c r="W83" i="31" s="1"/>
  <c r="U81" i="17" s="1"/>
  <c r="U83" i="31"/>
  <c r="K75" i="38"/>
  <c r="K82" i="31"/>
  <c r="D80" i="17" s="1"/>
  <c r="J83" i="31"/>
  <c r="I83" i="31"/>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B81" i="7" l="1"/>
  <c r="B85" i="32"/>
  <c r="B85" i="35"/>
  <c r="B85" i="36"/>
  <c r="O85" i="35"/>
  <c r="O85" i="36"/>
  <c r="O85" i="34"/>
  <c r="O85" i="37"/>
  <c r="B85" i="18"/>
  <c r="B85" i="31"/>
  <c r="O85" i="31"/>
  <c r="O85" i="32"/>
  <c r="O85" i="18"/>
  <c r="B85" i="33"/>
  <c r="B85" i="37"/>
  <c r="O85" i="40"/>
  <c r="B85" i="34"/>
  <c r="O85" i="33"/>
  <c r="B85" i="40"/>
  <c r="U83" i="37"/>
  <c r="V83" i="37"/>
  <c r="W83" i="37" s="1"/>
  <c r="AA81" i="17" s="1"/>
  <c r="AC79" i="17"/>
  <c r="AF79" i="17" s="1"/>
  <c r="U82" i="33"/>
  <c r="V82" i="33"/>
  <c r="W82" i="33" s="1"/>
  <c r="Y80" i="17" s="1"/>
  <c r="V84" i="31"/>
  <c r="W84" i="31" s="1"/>
  <c r="U82" i="17" s="1"/>
  <c r="U84" i="31"/>
  <c r="I84" i="31"/>
  <c r="J84" i="31"/>
  <c r="K76" i="38"/>
  <c r="K83" i="31"/>
  <c r="D81" i="17" s="1"/>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B86" i="37" l="1"/>
  <c r="B86" i="31"/>
  <c r="O86" i="40"/>
  <c r="O86" i="31"/>
  <c r="O86" i="37"/>
  <c r="O86" i="35"/>
  <c r="B86" i="35"/>
  <c r="B86" i="36"/>
  <c r="B86" i="32"/>
  <c r="B86" i="33"/>
  <c r="O86" i="36"/>
  <c r="O86" i="32"/>
  <c r="O86" i="34"/>
  <c r="O86" i="33"/>
  <c r="B86" i="40"/>
  <c r="O86" i="18"/>
  <c r="B82" i="7"/>
  <c r="B86" i="34"/>
  <c r="B86" i="18"/>
  <c r="V84" i="37"/>
  <c r="W84" i="37" s="1"/>
  <c r="AA82" i="17" s="1"/>
  <c r="U84" i="37"/>
  <c r="AC80" i="17"/>
  <c r="AF80" i="17" s="1"/>
  <c r="V83" i="33"/>
  <c r="W83" i="33" s="1"/>
  <c r="Y81" i="17" s="1"/>
  <c r="U83" i="33"/>
  <c r="V85" i="31"/>
  <c r="W85" i="31" s="1"/>
  <c r="U83" i="17" s="1"/>
  <c r="U85" i="31"/>
  <c r="K84" i="31"/>
  <c r="D82" i="17" s="1"/>
  <c r="K77" i="38"/>
  <c r="J85" i="31"/>
  <c r="I85" i="31"/>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O87" i="32"/>
  <c r="B87" i="18"/>
  <c r="O87" i="18"/>
  <c r="B87" i="33"/>
  <c r="B87" i="31"/>
  <c r="O87" i="34"/>
  <c r="B87" i="32"/>
  <c r="O87" i="35"/>
  <c r="B87" i="34"/>
  <c r="O87" i="36"/>
  <c r="O87" i="31"/>
  <c r="O87" i="37"/>
  <c r="O87" i="40"/>
  <c r="B83" i="7"/>
  <c r="B87" i="40"/>
  <c r="O87" i="33"/>
  <c r="B87" i="37"/>
  <c r="B87" i="35"/>
  <c r="B87" i="36"/>
  <c r="V85" i="37"/>
  <c r="W85" i="37" s="1"/>
  <c r="AA83" i="17" s="1"/>
  <c r="U85" i="37"/>
  <c r="V84" i="33"/>
  <c r="W84" i="33" s="1"/>
  <c r="Y82" i="17" s="1"/>
  <c r="U84" i="33"/>
  <c r="V86" i="31"/>
  <c r="W86" i="31" s="1"/>
  <c r="U84" i="17" s="1"/>
  <c r="U86" i="31"/>
  <c r="I86" i="31"/>
  <c r="J86" i="31"/>
  <c r="K85" i="31"/>
  <c r="D83" i="17" s="1"/>
  <c r="K78" i="38"/>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B88" i="34" l="1"/>
  <c r="O88" i="33"/>
  <c r="B88" i="18"/>
  <c r="B88" i="31"/>
  <c r="B88" i="37"/>
  <c r="O88" i="36"/>
  <c r="O88" i="31"/>
  <c r="O88" i="34"/>
  <c r="B84" i="7"/>
  <c r="O88" i="37"/>
  <c r="B88" i="32"/>
  <c r="O88" i="40"/>
  <c r="O88" i="35"/>
  <c r="B88" i="40"/>
  <c r="B88" i="33"/>
  <c r="B88" i="35"/>
  <c r="O88" i="32"/>
  <c r="O88" i="18"/>
  <c r="B88" i="36"/>
  <c r="V86" i="37"/>
  <c r="W86" i="37" s="1"/>
  <c r="AA84" i="17" s="1"/>
  <c r="U86" i="37"/>
  <c r="AC82" i="17"/>
  <c r="AF82" i="17" s="1"/>
  <c r="V85" i="33"/>
  <c r="W85" i="33" s="1"/>
  <c r="Y83" i="17" s="1"/>
  <c r="U85" i="33"/>
  <c r="V87" i="31"/>
  <c r="W87" i="31" s="1"/>
  <c r="U85" i="17" s="1"/>
  <c r="U87" i="31"/>
  <c r="K79" i="38"/>
  <c r="K86" i="31"/>
  <c r="D84" i="17" s="1"/>
  <c r="J87" i="31"/>
  <c r="I87" i="31"/>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B85" i="7" l="1"/>
  <c r="O89" i="34"/>
  <c r="B89" i="40"/>
  <c r="B89" i="32"/>
  <c r="B89" i="18"/>
  <c r="B89" i="36"/>
  <c r="O89" i="36"/>
  <c r="O89" i="33"/>
  <c r="B89" i="35"/>
  <c r="O89" i="35"/>
  <c r="B89" i="33"/>
  <c r="O89" i="40"/>
  <c r="O89" i="32"/>
  <c r="O89" i="18"/>
  <c r="B89" i="31"/>
  <c r="O89" i="31"/>
  <c r="B89" i="37"/>
  <c r="B89" i="34"/>
  <c r="O89" i="37"/>
  <c r="U87" i="37"/>
  <c r="V87" i="37"/>
  <c r="W87" i="37" s="1"/>
  <c r="AA85" i="17" s="1"/>
  <c r="AC83" i="17"/>
  <c r="AF83" i="17" s="1"/>
  <c r="V86" i="33"/>
  <c r="W86" i="33" s="1"/>
  <c r="Y84" i="17" s="1"/>
  <c r="U86" i="33"/>
  <c r="V88" i="31"/>
  <c r="W88" i="31" s="1"/>
  <c r="U86" i="17" s="1"/>
  <c r="U88" i="31"/>
  <c r="J88" i="31"/>
  <c r="I88" i="31"/>
  <c r="K80" i="38"/>
  <c r="K87" i="31"/>
  <c r="D85" i="17" s="1"/>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O90" i="31" l="1"/>
  <c r="O90" i="18"/>
  <c r="O90" i="40"/>
  <c r="O90" i="34"/>
  <c r="B90" i="34"/>
  <c r="O90" i="36"/>
  <c r="O90" i="33"/>
  <c r="B90" i="36"/>
  <c r="B90" i="37"/>
  <c r="B90" i="40"/>
  <c r="B90" i="32"/>
  <c r="B86" i="7"/>
  <c r="B90" i="18"/>
  <c r="B90" i="35"/>
  <c r="O90" i="37"/>
  <c r="B90" i="33"/>
  <c r="O90" i="32"/>
  <c r="B90" i="31"/>
  <c r="O90" i="35"/>
  <c r="AC84" i="17"/>
  <c r="AF84" i="17" s="1"/>
  <c r="U88" i="37"/>
  <c r="V88" i="37"/>
  <c r="W88" i="37" s="1"/>
  <c r="AA86" i="17" s="1"/>
  <c r="U87" i="33"/>
  <c r="V87" i="33"/>
  <c r="W87" i="33" s="1"/>
  <c r="Y85" i="17" s="1"/>
  <c r="V89" i="31"/>
  <c r="W89" i="31" s="1"/>
  <c r="U87" i="17" s="1"/>
  <c r="U89" i="31"/>
  <c r="J89" i="31"/>
  <c r="I89" i="31"/>
  <c r="K88" i="31"/>
  <c r="D86" i="17" s="1"/>
  <c r="K81" i="38"/>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B91" i="35" l="1"/>
  <c r="O91" i="33"/>
  <c r="B87" i="7"/>
  <c r="O91" i="40"/>
  <c r="O91" i="36"/>
  <c r="B91" i="33"/>
  <c r="O91" i="35"/>
  <c r="B91" i="31"/>
  <c r="O91" i="37"/>
  <c r="O91" i="32"/>
  <c r="O91" i="34"/>
  <c r="B91" i="37"/>
  <c r="O91" i="31"/>
  <c r="B91" i="40"/>
  <c r="O91" i="18"/>
  <c r="B91" i="32"/>
  <c r="B91" i="18"/>
  <c r="B91" i="36"/>
  <c r="B91" i="34"/>
  <c r="V89" i="37"/>
  <c r="W89" i="37" s="1"/>
  <c r="AA87" i="17" s="1"/>
  <c r="U89" i="37"/>
  <c r="AC85" i="17"/>
  <c r="AF85" i="17" s="1"/>
  <c r="U88" i="33"/>
  <c r="V88" i="33"/>
  <c r="W88" i="33" s="1"/>
  <c r="Y86" i="17" s="1"/>
  <c r="U90" i="31"/>
  <c r="V90" i="31"/>
  <c r="W90" i="31" s="1"/>
  <c r="U88" i="17" s="1"/>
  <c r="J90" i="31"/>
  <c r="I90" i="31"/>
  <c r="K89" i="31"/>
  <c r="D87" i="17" s="1"/>
  <c r="K82" i="38"/>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O92" i="33"/>
  <c r="B92" i="33"/>
  <c r="B88" i="7"/>
  <c r="O92" i="31"/>
  <c r="B92" i="37"/>
  <c r="O92" i="18"/>
  <c r="O92" i="35"/>
  <c r="B92" i="36"/>
  <c r="B92" i="31"/>
  <c r="B92" i="32"/>
  <c r="O92" i="40"/>
  <c r="B92" i="40"/>
  <c r="B92" i="35"/>
  <c r="B92" i="34"/>
  <c r="O92" i="36"/>
  <c r="B92" i="18"/>
  <c r="O92" i="37"/>
  <c r="O92" i="32"/>
  <c r="O92" i="34"/>
  <c r="U90" i="37"/>
  <c r="V90" i="37"/>
  <c r="W90" i="37" s="1"/>
  <c r="AA88" i="17" s="1"/>
  <c r="V89" i="33"/>
  <c r="W89" i="33" s="1"/>
  <c r="Y87" i="17" s="1"/>
  <c r="U89" i="33"/>
  <c r="U91" i="31"/>
  <c r="V91" i="31"/>
  <c r="W91" i="31" s="1"/>
  <c r="U89" i="17" s="1"/>
  <c r="J91" i="31"/>
  <c r="I91" i="31"/>
  <c r="K90" i="31"/>
  <c r="D88" i="17" s="1"/>
  <c r="K83" i="38"/>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B89" i="7" l="1"/>
  <c r="O93" i="33"/>
  <c r="O93" i="35"/>
  <c r="B93" i="35"/>
  <c r="B93" i="36"/>
  <c r="B93" i="18"/>
  <c r="O93" i="37"/>
  <c r="B93" i="37"/>
  <c r="O93" i="31"/>
  <c r="O93" i="18"/>
  <c r="B93" i="33"/>
  <c r="O93" i="34"/>
  <c r="O93" i="40"/>
  <c r="O93" i="36"/>
  <c r="B93" i="32"/>
  <c r="B93" i="40"/>
  <c r="B93" i="31"/>
  <c r="B93" i="34"/>
  <c r="O93" i="32"/>
  <c r="AC87" i="17"/>
  <c r="AF87" i="17" s="1"/>
  <c r="U91" i="37"/>
  <c r="V91" i="37"/>
  <c r="W91" i="37" s="1"/>
  <c r="AA89" i="17" s="1"/>
  <c r="U90" i="33"/>
  <c r="V90" i="33"/>
  <c r="W90" i="33" s="1"/>
  <c r="Y88" i="17" s="1"/>
  <c r="V92" i="31"/>
  <c r="W92" i="31" s="1"/>
  <c r="U90" i="17" s="1"/>
  <c r="U92" i="31"/>
  <c r="J92" i="31"/>
  <c r="I92" i="31"/>
  <c r="K84" i="38"/>
  <c r="K91" i="31"/>
  <c r="D89" i="17" s="1"/>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B94" i="34" l="1"/>
  <c r="O94" i="18"/>
  <c r="B94" i="33"/>
  <c r="O94" i="36"/>
  <c r="B94" i="35"/>
  <c r="O94" i="37"/>
  <c r="O94" i="35"/>
  <c r="O94" i="32"/>
  <c r="O94" i="34"/>
  <c r="O94" i="40"/>
  <c r="B94" i="37"/>
  <c r="O94" i="33"/>
  <c r="B94" i="31"/>
  <c r="B90" i="7"/>
  <c r="O94" i="31"/>
  <c r="B94" i="32"/>
  <c r="B94" i="40"/>
  <c r="B94" i="36"/>
  <c r="B94" i="18"/>
  <c r="AC88" i="17"/>
  <c r="AF88" i="17" s="1"/>
  <c r="V92" i="37"/>
  <c r="W92" i="37" s="1"/>
  <c r="AA90" i="17" s="1"/>
  <c r="U92" i="37"/>
  <c r="U91" i="33"/>
  <c r="V91" i="33"/>
  <c r="W91" i="33" s="1"/>
  <c r="Y89" i="17" s="1"/>
  <c r="V93" i="31"/>
  <c r="W93" i="31" s="1"/>
  <c r="U91" i="17" s="1"/>
  <c r="U93" i="31"/>
  <c r="I93" i="31"/>
  <c r="J93" i="31"/>
  <c r="K92" i="31"/>
  <c r="D90" i="17" s="1"/>
  <c r="K85" i="3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O95" i="31" l="1"/>
  <c r="B95" i="40"/>
  <c r="B95" i="33"/>
  <c r="B95" i="31"/>
  <c r="B95" i="34"/>
  <c r="O95" i="40"/>
  <c r="O95" i="35"/>
  <c r="O95" i="18"/>
  <c r="O95" i="37"/>
  <c r="B91" i="7"/>
  <c r="O95" i="32"/>
  <c r="O95" i="34"/>
  <c r="B95" i="35"/>
  <c r="B95" i="32"/>
  <c r="B95" i="18"/>
  <c r="B95" i="36"/>
  <c r="O95" i="36"/>
  <c r="B95" i="37"/>
  <c r="O95" i="33"/>
  <c r="V93" i="37"/>
  <c r="W93" i="37" s="1"/>
  <c r="AA91" i="17" s="1"/>
  <c r="U93" i="37"/>
  <c r="AC89" i="17"/>
  <c r="AF89" i="17" s="1"/>
  <c r="U92" i="33"/>
  <c r="V92" i="33"/>
  <c r="W92" i="33" s="1"/>
  <c r="Y90" i="17" s="1"/>
  <c r="U94" i="31"/>
  <c r="V94" i="31"/>
  <c r="W94" i="31" s="1"/>
  <c r="U92" i="17" s="1"/>
  <c r="K93" i="31"/>
  <c r="D91" i="17" s="1"/>
  <c r="K86" i="38"/>
  <c r="I94" i="31"/>
  <c r="J94" i="31"/>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B92" i="7" l="1"/>
  <c r="B96" i="36"/>
  <c r="B96" i="35"/>
  <c r="B96" i="32"/>
  <c r="B96" i="37"/>
  <c r="O96" i="40"/>
  <c r="O96" i="32"/>
  <c r="B96" i="40"/>
  <c r="O96" i="33"/>
  <c r="B96" i="18"/>
  <c r="B96" i="33"/>
  <c r="O96" i="36"/>
  <c r="B96" i="31"/>
  <c r="O96" i="35"/>
  <c r="O96" i="18"/>
  <c r="O96" i="37"/>
  <c r="O96" i="34"/>
  <c r="O96" i="31"/>
  <c r="B96" i="34"/>
  <c r="U94" i="37"/>
  <c r="V94" i="37"/>
  <c r="W94" i="37" s="1"/>
  <c r="AA92" i="17" s="1"/>
  <c r="V93" i="33"/>
  <c r="W93" i="33" s="1"/>
  <c r="Y91" i="17" s="1"/>
  <c r="U93" i="33"/>
  <c r="AC90" i="17"/>
  <c r="AF90" i="17" s="1"/>
  <c r="U95" i="31"/>
  <c r="V95" i="31"/>
  <c r="W95" i="31" s="1"/>
  <c r="U93" i="17" s="1"/>
  <c r="K87" i="38"/>
  <c r="K94" i="31"/>
  <c r="D92" i="17" s="1"/>
  <c r="J95" i="31"/>
  <c r="I95" i="31"/>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B97" i="32" l="1"/>
  <c r="O97" i="35"/>
  <c r="O97" i="31"/>
  <c r="B97" i="31"/>
  <c r="O97" i="18"/>
  <c r="B97" i="18"/>
  <c r="B97" i="37"/>
  <c r="O97" i="34"/>
  <c r="O97" i="32"/>
  <c r="B97" i="35"/>
  <c r="O97" i="40"/>
  <c r="B97" i="36"/>
  <c r="B97" i="40"/>
  <c r="O97" i="37"/>
  <c r="B93" i="7"/>
  <c r="O97" i="36"/>
  <c r="B97" i="33"/>
  <c r="O97" i="33"/>
  <c r="B97" i="34"/>
  <c r="V95" i="37"/>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O98" i="40" l="1"/>
  <c r="O98" i="33"/>
  <c r="O98" i="18"/>
  <c r="B98" i="40"/>
  <c r="O98" i="37"/>
  <c r="B98" i="31"/>
  <c r="O98" i="36"/>
  <c r="O98" i="35"/>
  <c r="O98" i="31"/>
  <c r="B98" i="37"/>
  <c r="O98" i="34"/>
  <c r="B98" i="33"/>
  <c r="B98" i="32"/>
  <c r="O98" i="32"/>
  <c r="B98" i="35"/>
  <c r="B98" i="18"/>
  <c r="B98" i="34"/>
  <c r="B98" i="36"/>
  <c r="B94" i="7"/>
  <c r="U96" i="37"/>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B99" i="33" l="1"/>
  <c r="O99" i="35"/>
  <c r="B99" i="18"/>
  <c r="B99" i="36"/>
  <c r="B99" i="31"/>
  <c r="B99" i="32"/>
  <c r="B99" i="37"/>
  <c r="B99" i="34"/>
  <c r="O99" i="40"/>
  <c r="O99" i="36"/>
  <c r="O99" i="37"/>
  <c r="O99" i="31"/>
  <c r="B99" i="40"/>
  <c r="O99" i="33"/>
  <c r="O99" i="18"/>
  <c r="O99" i="34"/>
  <c r="B99" i="35"/>
  <c r="O99" i="32"/>
  <c r="AC93" i="17"/>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AC95" i="17" l="1"/>
  <c r="AF95" i="17" s="1"/>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<sst xmlns="http://schemas.openxmlformats.org/spreadsheetml/2006/main" count="1446" uniqueCount="343">
  <si>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</si>
  <si>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</si>
  <si>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</si>
  <si>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</si>
  <si>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</si>
  <si>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</si>
  <si>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</si>
  <si>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</si>
  <si>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</si>
  <si>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</si>
  <si>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</si>
  <si>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</si>
  <si>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</si>
  <si>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</si>
  <si>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</si>
  <si>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</si>
  <si>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</si>
  <si>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</si>
  <si>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</si>
  <si>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</si>
  <si>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</si>
  <si>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</si>
  <si>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</si>
  <si>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</si>
  <si>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</si>
  <si>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</si>
  <si>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</si>
  <si>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</si>
  <si>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</si>
  <si>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</si>
  <si>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</si>
  <si>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</si>
  <si>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</si>
  <si>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</si>
  <si>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</si>
  <si>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</si>
  <si>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</si>
  <si>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</si>
  <si>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</si>
  <si>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</si>
  <si>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</si>
  <si>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</si>
  <si>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</si>
  <si>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</si>
  <si>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</si>
  <si>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</si>
  <si>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</si>
  <si>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</si>
  <si>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</si>
  <si>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</si>
  <si>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</si>
  <si>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</si>
  <si>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</si>
  <si>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</si>
  <si>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</si>
  <si>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</si>
  <si>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</si>
  <si>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</si>
  <si>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</si>
  <si>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</si>
  <si>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</si>
  <si>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</si>
  <si>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</si>
  <si>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</si>
  <si>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</si>
  <si>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</si>
  <si>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</si>
  <si>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</si>
  <si>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</si>
  <si>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</si>
  <si>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</si>
  <si>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</si>
  <si>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</si>
  <si>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</si>
  <si>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</si>
  <si>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</si>
  <si>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</si>
  <si>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</si>
  <si>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</si>
  <si>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</si>
  <si>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</si>
  <si>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</si>
  <si>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</si>
  <si>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</si>
  <si>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</si>
  <si>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</si>
  <si>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</si>
  <si>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</si>
  <si>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</si>
  <si>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</si>
  <si>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</si>
  <si>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</si>
  <si>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</si>
  <si>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</si>
  <si>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</si>
  <si>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</si>
  <si>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</si>
  <si>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</si>
  <si>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</si>
  <si>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</si>
  <si>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</si>
  <si>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</si>
  <si>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</si>
  <si>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</si>
  <si>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</si>
  <si>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</si>
  <si>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</si>
  <si>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</si>
  <si>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</si>
  <si>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</si>
  <si>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</si>
  <si>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</si>
  <si>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</si>
  <si>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</si>
  <si>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</si>
  <si>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</si>
  <si>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</si>
  <si>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</si>
  <si>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</si>
  <si>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</si>
  <si>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</si>
  <si>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</si>
  <si>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</si>
  <si>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</si>
  <si>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</si>
  <si>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</si>
  <si>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</si>
  <si>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</si>
  <si>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</si>
  <si>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</si>
  <si>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</si>
  <si>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</si>
  <si>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</si>
  <si>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</si>
  <si>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</si>
  <si>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</si>
  <si>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</si>
  <si>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</si>
  <si>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</si>
  <si>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</si>
  <si>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</si>
  <si>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</si>
  <si>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</si>
  <si>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</si>
  <si>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</si>
  <si>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</si>
  <si>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</si>
  <si>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</si>
  <si>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</si>
  <si>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</si>
  <si>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</si>
  <si>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</si>
  <si>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</si>
  <si>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</si>
  <si>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</si>
  <si>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</si>
  <si>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</si>
  <si>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</si>
  <si>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</si>
  <si>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</si>
  <si>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</si>
  <si>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</si>
  <si>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</si>
  <si>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</si>
  <si>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</si>
  <si>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</si>
  <si>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</si>
  <si>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</si>
  <si>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</si>
  <si>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</si>
  <si>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</si>
  <si>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</si>
  <si>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</si>
  <si>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</si>
  <si>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</si>
  <si>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</si>
  <si>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</si>
  <si>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</si>
  <si>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</si>
  <si>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</si>
  <si>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</si>
  <si>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</si>
  <si>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</si>
  <si>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</si>
  <si>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</si>
  <si>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</si>
  <si>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</si>
  <si>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</si>
  <si>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</si>
  <si>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</si>
  <si>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</si>
  <si>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</si>
  <si>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</si>
  <si>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</si>
  <si>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</si>
  <si>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</si>
  <si>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</si>
  <si>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</si>
  <si>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</si>
  <si>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</si>
  <si>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</si>
  <si>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</si>
  <si>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</si>
  <si>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</si>
  <si>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</si>
  <si>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</si>
  <si>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</si>
  <si>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</si>
  <si>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</si>
  <si>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</si>
  <si>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</si>
  <si>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</si>
  <si>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</si>
  <si>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</si>
  <si>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</si>
  <si>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</si>
  <si>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</si>
  <si>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</si>
  <si>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</si>
  <si>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</si>
  <si>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</si>
  <si>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</si>
  <si>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</si>
  <si>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</si>
  <si>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</si>
  <si>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</si>
  <si>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</si>
  <si>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</si>
  <si>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</si>
  <si>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</si>
  <si>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</si>
  <si>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</si>
  <si>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</si>
  <si>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</si>
  <si>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</si>
  <si>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</si>
  <si>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</si>
  <si>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</si>
  <si>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</si>
  <si>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</si>
  <si>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</si>
  <si>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</si>
  <si>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</si>
  <si>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</si>
  <si>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</si>
  <si>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</si>
  <si>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</si>
  <si>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</si>
  <si>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</si>
  <si>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</si>
  <si>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</si>
  <si>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</si>
  <si>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</si>
  <si>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</si>
  <si>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</si>
  <si>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</si>
  <si>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</si>
  <si>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</si>
  <si>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</si>
  <si>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</si>
  <si>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</si>
  <si>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</si>
  <si>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</si>
  <si>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</si>
  <si>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</si>
  <si>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</si>
  <si>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</si>
  <si>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</si>
  <si>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</si>
  <si>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</si>
  <si>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</si>
  <si>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</si>
  <si>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</si>
  <si>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</si>
  <si>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</si>
  <si>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</si>
  <si>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</si>
  <si>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</si>
  <si>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</si>
  <si>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</si>
  <si>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</si>
  <si>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</si>
  <si>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</si>
  <si>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</si>
  <si>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</si>
  <si>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</si>
  <si>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</si>
  <si>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</si>
  <si>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</si>
  <si>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</si>
  <si>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</si>
  <si>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</si>
  <si>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</si>
  <si>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</si>
  <si>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</si>
  <si>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</si>
  <si>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</si>
  <si>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</si>
  <si>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</si>
  <si>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</si>
  <si>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</si>
  <si>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</si>
  <si>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</si>
  <si>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</si>
  <si>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</si>
  <si>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</si>
  <si>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</si>
  <si>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</si>
  <si>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</si>
  <si>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</si>
  <si>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</si>
  <si>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</si>
  <si>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</si>
  <si>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</si>
  <si>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</si>
  <si>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</si>
  <si>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</si>
  <si>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</si>
  <si>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</si>
  <si>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</si>
  <si>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</si>
  <si>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</si>
  <si>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</si>
  <si>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</si>
  <si>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</si>
  <si>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</si>
  <si>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</si>
  <si>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</si>
  <si>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</si>
  <si>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</si>
  <si>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</si>
  <si>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</si>
  <si>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</si>
  <si>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</si>
  <si>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</si>
  <si>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</si>
  <si>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</si>
  <si>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</si>
  <si>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Diangkut TPA</t>
  </si>
  <si>
    <t>Dibuang Ke Badan Air</t>
  </si>
  <si>
    <t>Open Dumping</t>
  </si>
  <si>
    <t>Terhampar Sembarangan</t>
  </si>
  <si>
    <t>Penajam Paser Utara</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</si>
</sst>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 #,##0.00_-;_-* &quot;-&quot;??_-;_-@_-"/>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7">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
      <b/>
      <sz val="8"/>
      <name val="Arial"/>
      <family val="2"/>
    </font>
    <font>
      <sz val="10"/>
      <name val="Arial"/>
    </font>
  </fonts>
  <fills count="25">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
      <patternFill patternType="solid">
        <fgColor theme="8" tint="0.39997558519241921"/>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5">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xf numFmtId="43" fontId="36" fillId="0" borderId="0" applyFont="0" applyFill="0" applyBorder="0" applyAlignment="0" applyProtection="0"/>
  </cellStyleXfs>
  <cellXfs count="875">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0" fontId="0" fillId="0" borderId="0" xfId="0" applyAlignment="1">
      <alignment vertical="center"/>
    </xf>
    <xf numFmtId="0" fontId="4" fillId="0" borderId="0" xfId="0" applyFont="1" applyBorder="1" applyAlignment="1">
      <alignment vertical="center"/>
    </xf>
    <xf numFmtId="0" fontId="0" fillId="0" borderId="0" xfId="0" applyBorder="1" applyAlignment="1">
      <alignment vertical="center"/>
    </xf>
    <xf numFmtId="0" fontId="2" fillId="0" borderId="0" xfId="0" applyFont="1" applyFill="1" applyBorder="1" applyAlignment="1">
      <alignment horizontal="left" vertical="center"/>
    </xf>
    <xf numFmtId="10" fontId="34" fillId="14" borderId="30" xfId="0" applyNumberFormat="1" applyFont="1" applyFill="1" applyBorder="1" applyAlignment="1">
      <alignment horizontal="center" vertical="center" wrapText="1"/>
    </xf>
    <xf numFmtId="9" fontId="0" fillId="0" borderId="26" xfId="2" applyFont="1" applyBorder="1" applyAlignment="1">
      <alignment vertical="center"/>
    </xf>
    <xf numFmtId="0" fontId="0" fillId="0" borderId="74" xfId="0" applyBorder="1" applyAlignment="1">
      <alignment vertical="center"/>
    </xf>
    <xf numFmtId="0" fontId="0" fillId="0" borderId="74" xfId="0" applyFill="1" applyBorder="1" applyAlignment="1">
      <alignment vertical="center"/>
    </xf>
    <xf numFmtId="0" fontId="0" fillId="17" borderId="26" xfId="0" applyFill="1" applyBorder="1" applyAlignment="1">
      <alignment vertical="center"/>
    </xf>
    <xf numFmtId="0" fontId="0" fillId="6" borderId="34" xfId="0"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0" fillId="2" borderId="40" xfId="0" applyFill="1" applyBorder="1" applyAlignment="1">
      <alignment horizontal="center" vertical="center" wrapText="1"/>
    </xf>
    <xf numFmtId="0" fontId="0" fillId="2" borderId="22" xfId="0" applyFill="1" applyBorder="1" applyAlignment="1">
      <alignment horizontal="center" vertical="center" wrapText="1"/>
    </xf>
    <xf numFmtId="0" fontId="0" fillId="2" borderId="72" xfId="0" applyFill="1" applyBorder="1" applyAlignment="1">
      <alignment horizontal="center" vertical="center" wrapText="1"/>
    </xf>
    <xf numFmtId="0" fontId="0" fillId="2" borderId="73" xfId="0" applyFill="1" applyBorder="1" applyAlignment="1">
      <alignment horizontal="center" vertical="center" wrapText="1"/>
    </xf>
    <xf numFmtId="0" fontId="0" fillId="2" borderId="75" xfId="0" applyFill="1" applyBorder="1" applyAlignment="1">
      <alignment horizontal="center" vertical="center" wrapText="1"/>
    </xf>
    <xf numFmtId="0" fontId="0" fillId="2" borderId="70" xfId="0" applyFill="1" applyBorder="1" applyAlignment="1">
      <alignment horizontal="center" vertical="center" wrapText="1"/>
    </xf>
    <xf numFmtId="0" fontId="0" fillId="0" borderId="0" xfId="0" applyAlignment="1">
      <alignment horizontal="center" vertical="center" wrapText="1"/>
    </xf>
    <xf numFmtId="0" fontId="0" fillId="2" borderId="8" xfId="0" applyFill="1" applyBorder="1" applyAlignment="1">
      <alignment horizontal="center" vertical="center" wrapText="1"/>
    </xf>
    <xf numFmtId="0" fontId="0" fillId="2" borderId="20" xfId="0" applyFill="1" applyBorder="1" applyAlignment="1">
      <alignment horizontal="center" vertical="center" wrapText="1"/>
    </xf>
    <xf numFmtId="0" fontId="0" fillId="2" borderId="57" xfId="0" applyFill="1" applyBorder="1" applyAlignment="1">
      <alignment horizontal="center" vertical="center" wrapText="1"/>
    </xf>
    <xf numFmtId="0" fontId="0" fillId="0" borderId="11" xfId="0" applyFill="1" applyBorder="1" applyAlignment="1">
      <alignment vertical="center"/>
    </xf>
    <xf numFmtId="2" fontId="0" fillId="14" borderId="30" xfId="0" applyNumberFormat="1" applyFill="1" applyBorder="1" applyAlignment="1">
      <alignment vertical="center"/>
    </xf>
    <xf numFmtId="9" fontId="27" fillId="16" borderId="61" xfId="2" applyFont="1" applyFill="1" applyBorder="1" applyAlignment="1" applyProtection="1">
      <alignment vertical="center"/>
      <protection locked="0"/>
    </xf>
    <xf numFmtId="9" fontId="0" fillId="5" borderId="11" xfId="2" applyFont="1" applyFill="1" applyBorder="1" applyAlignment="1" applyProtection="1">
      <alignment vertical="center"/>
      <protection locked="0"/>
    </xf>
    <xf numFmtId="9" fontId="0" fillId="0" borderId="25" xfId="2" applyFont="1" applyBorder="1" applyAlignment="1">
      <alignment vertical="center"/>
    </xf>
    <xf numFmtId="0" fontId="0" fillId="5" borderId="25" xfId="0" applyFill="1" applyBorder="1" applyAlignment="1" applyProtection="1">
      <alignment vertical="center"/>
      <protection locked="0"/>
    </xf>
    <xf numFmtId="0" fontId="0" fillId="0" borderId="39" xfId="0" applyFill="1" applyBorder="1" applyAlignment="1">
      <alignment vertical="center"/>
    </xf>
    <xf numFmtId="9" fontId="0" fillId="5" borderId="39" xfId="0" applyNumberFormat="1" applyFill="1" applyBorder="1" applyAlignment="1" applyProtection="1">
      <alignment vertical="center"/>
      <protection locked="0"/>
    </xf>
    <xf numFmtId="0" fontId="0" fillId="0" borderId="25" xfId="0" applyBorder="1" applyAlignment="1">
      <alignment vertical="center"/>
    </xf>
    <xf numFmtId="0" fontId="0" fillId="0" borderId="2" xfId="0" applyBorder="1" applyAlignment="1">
      <alignment vertical="center"/>
    </xf>
    <xf numFmtId="9" fontId="0" fillId="0" borderId="1" xfId="2" applyFont="1" applyBorder="1" applyAlignment="1">
      <alignment vertical="center"/>
    </xf>
    <xf numFmtId="0" fontId="0" fillId="5" borderId="3" xfId="0" applyFill="1" applyBorder="1" applyAlignment="1" applyProtection="1">
      <alignment vertical="center"/>
      <protection locked="0"/>
    </xf>
    <xf numFmtId="0" fontId="0" fillId="0" borderId="2" xfId="0" applyFill="1" applyBorder="1" applyAlignment="1">
      <alignment vertical="center"/>
    </xf>
    <xf numFmtId="9" fontId="0" fillId="5" borderId="2" xfId="0" applyNumberFormat="1" applyFill="1" applyBorder="1" applyAlignment="1" applyProtection="1">
      <alignment vertical="center"/>
      <protection locked="0"/>
    </xf>
    <xf numFmtId="0" fontId="0" fillId="0" borderId="1" xfId="0" applyBorder="1" applyAlignment="1">
      <alignment vertical="center"/>
    </xf>
    <xf numFmtId="0" fontId="0" fillId="14" borderId="1" xfId="0" applyFill="1" applyBorder="1" applyAlignment="1">
      <alignment vertical="center"/>
    </xf>
    <xf numFmtId="0" fontId="0" fillId="0" borderId="8" xfId="0" applyBorder="1" applyAlignment="1">
      <alignment vertical="center"/>
    </xf>
    <xf numFmtId="0" fontId="0" fillId="14" borderId="20" xfId="0" applyFill="1" applyBorder="1" applyAlignment="1">
      <alignment vertical="center"/>
    </xf>
    <xf numFmtId="9" fontId="0" fillId="5" borderId="8" xfId="2" applyFont="1" applyFill="1" applyBorder="1" applyAlignment="1" applyProtection="1">
      <alignment vertical="center"/>
      <protection locked="0"/>
    </xf>
    <xf numFmtId="9" fontId="0" fillId="5" borderId="20" xfId="2" applyFont="1" applyFill="1" applyBorder="1" applyAlignment="1" applyProtection="1">
      <alignment vertical="center"/>
      <protection locked="0"/>
    </xf>
    <xf numFmtId="9" fontId="0" fillId="0" borderId="20" xfId="2" applyFont="1" applyBorder="1" applyAlignment="1">
      <alignment vertical="center"/>
    </xf>
    <xf numFmtId="0" fontId="0" fillId="5" borderId="20" xfId="0" applyFill="1" applyBorder="1" applyAlignment="1" applyProtection="1">
      <alignment vertical="center"/>
      <protection locked="0"/>
    </xf>
    <xf numFmtId="0" fontId="0" fillId="5" borderId="70" xfId="0" applyFill="1" applyBorder="1" applyAlignment="1" applyProtection="1">
      <alignment vertical="center"/>
      <protection locked="0"/>
    </xf>
    <xf numFmtId="0" fontId="0" fillId="0" borderId="8" xfId="0" applyFill="1" applyBorder="1" applyAlignment="1">
      <alignment vertical="center"/>
    </xf>
    <xf numFmtId="9" fontId="0" fillId="5" borderId="8" xfId="0" applyNumberFormat="1" applyFill="1" applyBorder="1" applyAlignment="1" applyProtection="1">
      <alignment vertical="center"/>
      <protection locked="0"/>
    </xf>
    <xf numFmtId="0" fontId="0" fillId="0" borderId="20" xfId="0" applyBorder="1" applyAlignment="1">
      <alignment vertical="center"/>
    </xf>
    <xf numFmtId="0" fontId="1" fillId="7" borderId="0" xfId="0" applyFont="1" applyFill="1" applyBorder="1" applyAlignment="1">
      <alignment vertical="center"/>
    </xf>
    <xf numFmtId="3" fontId="1" fillId="7" borderId="0" xfId="0" applyNumberFormat="1" applyFont="1" applyFill="1" applyAlignment="1">
      <alignment vertical="center"/>
    </xf>
    <xf numFmtId="170" fontId="1" fillId="7" borderId="0" xfId="0" applyNumberFormat="1" applyFont="1" applyFill="1" applyAlignment="1">
      <alignment vertical="center"/>
    </xf>
    <xf numFmtId="3" fontId="1" fillId="7" borderId="0" xfId="0" applyNumberFormat="1" applyFont="1" applyFill="1" applyBorder="1" applyAlignment="1">
      <alignment vertical="center"/>
    </xf>
    <xf numFmtId="3" fontId="1" fillId="14" borderId="0" xfId="0" applyNumberFormat="1" applyFont="1" applyFill="1" applyAlignment="1">
      <alignment vertical="center"/>
    </xf>
    <xf numFmtId="0" fontId="1" fillId="7" borderId="0" xfId="0" applyFont="1" applyFill="1" applyAlignment="1">
      <alignment vertical="center"/>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3" fontId="1" fillId="11" borderId="0" xfId="0" applyNumberFormat="1" applyFont="1" applyFill="1" applyBorder="1" applyAlignment="1">
      <alignment vertical="center"/>
    </xf>
    <xf numFmtId="0" fontId="2" fillId="7" borderId="0" xfId="0" applyFont="1" applyFill="1" applyAlignment="1">
      <alignment vertical="center" wrapText="1"/>
    </xf>
    <xf numFmtId="0" fontId="1" fillId="14" borderId="0" xfId="0" applyFont="1" applyFill="1" applyAlignment="1">
      <alignment vertical="center"/>
    </xf>
    <xf numFmtId="0" fontId="1" fillId="7" borderId="0" xfId="0" applyFont="1" applyFill="1" applyAlignment="1">
      <alignment vertical="center" wrapText="1"/>
    </xf>
    <xf numFmtId="3" fontId="1" fillId="0" borderId="0" xfId="0" applyNumberFormat="1" applyFont="1" applyAlignment="1">
      <alignment vertical="center"/>
    </xf>
    <xf numFmtId="3" fontId="2" fillId="11" borderId="0" xfId="0" applyNumberFormat="1" applyFont="1" applyFill="1" applyBorder="1" applyAlignment="1">
      <alignment vertical="center"/>
    </xf>
    <xf numFmtId="170" fontId="1" fillId="11" borderId="0" xfId="0" applyNumberFormat="1" applyFont="1" applyFill="1" applyBorder="1" applyAlignment="1">
      <alignment horizontal="center" vertical="center"/>
    </xf>
    <xf numFmtId="3" fontId="1" fillId="11" borderId="0" xfId="0" applyNumberFormat="1" applyFont="1" applyFill="1" applyBorder="1" applyAlignment="1">
      <alignment horizontal="center" vertical="center"/>
    </xf>
    <xf numFmtId="3" fontId="1" fillId="2" borderId="49" xfId="0" applyNumberFormat="1" applyFont="1" applyFill="1" applyBorder="1" applyAlignment="1">
      <alignment horizontal="center" vertical="center" wrapText="1"/>
    </xf>
    <xf numFmtId="3" fontId="1" fillId="2" borderId="7" xfId="0" applyNumberFormat="1" applyFont="1" applyFill="1" applyBorder="1" applyAlignment="1">
      <alignment horizontal="center" vertical="center" wrapText="1"/>
    </xf>
    <xf numFmtId="3" fontId="1" fillId="2" borderId="12"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2" borderId="22" xfId="0" applyNumberFormat="1" applyFont="1" applyFill="1" applyBorder="1" applyAlignment="1">
      <alignment horizontal="center" vertical="center" wrapText="1"/>
    </xf>
    <xf numFmtId="3" fontId="1" fillId="2" borderId="0" xfId="0" applyNumberFormat="1" applyFont="1" applyFill="1" applyBorder="1" applyAlignment="1">
      <alignment horizontal="center" vertical="center" wrapText="1"/>
    </xf>
    <xf numFmtId="3" fontId="1" fillId="11" borderId="0" xfId="0" applyNumberFormat="1" applyFont="1" applyFill="1" applyBorder="1" applyAlignment="1">
      <alignment horizontal="center" vertical="center" wrapText="1"/>
    </xf>
    <xf numFmtId="170" fontId="1" fillId="8" borderId="26" xfId="0" applyNumberFormat="1" applyFont="1" applyFill="1" applyBorder="1" applyAlignment="1">
      <alignment horizontal="center" vertical="center" wrapText="1"/>
    </xf>
    <xf numFmtId="3" fontId="1" fillId="8" borderId="26" xfId="0" applyNumberFormat="1" applyFont="1" applyFill="1" applyBorder="1" applyAlignment="1">
      <alignment horizontal="center" vertical="center" wrapText="1"/>
    </xf>
    <xf numFmtId="3" fontId="1" fillId="2" borderId="8" xfId="0" applyNumberFormat="1" applyFont="1" applyFill="1" applyBorder="1" applyAlignment="1">
      <alignment horizontal="center" vertical="center" wrapText="1"/>
    </xf>
    <xf numFmtId="3" fontId="1" fillId="2" borderId="5" xfId="0" applyNumberFormat="1" applyFont="1" applyFill="1" applyBorder="1" applyAlignment="1">
      <alignment horizontal="center" vertical="center" wrapText="1"/>
    </xf>
    <xf numFmtId="3" fontId="1" fillId="2" borderId="6" xfId="0" applyNumberFormat="1" applyFont="1" applyFill="1" applyBorder="1" applyAlignment="1">
      <alignment horizontal="center" vertical="center" wrapText="1"/>
    </xf>
    <xf numFmtId="3" fontId="1" fillId="2" borderId="20" xfId="0" applyNumberFormat="1" applyFont="1" applyFill="1" applyBorder="1" applyAlignment="1">
      <alignment horizontal="center" vertical="center" wrapText="1"/>
    </xf>
    <xf numFmtId="3" fontId="1" fillId="2" borderId="62" xfId="0" applyNumberFormat="1" applyFont="1" applyFill="1" applyBorder="1" applyAlignment="1">
      <alignment horizontal="center" vertical="center" wrapText="1"/>
    </xf>
    <xf numFmtId="3" fontId="1" fillId="0" borderId="35" xfId="0" applyNumberFormat="1" applyFont="1" applyBorder="1" applyAlignment="1">
      <alignment vertical="center" wrapText="1"/>
    </xf>
    <xf numFmtId="3" fontId="1" fillId="0" borderId="27" xfId="0" applyNumberFormat="1" applyFont="1" applyBorder="1" applyAlignment="1">
      <alignment vertical="center" wrapText="1"/>
    </xf>
    <xf numFmtId="3" fontId="1" fillId="0" borderId="28" xfId="0" applyNumberFormat="1" applyFont="1" applyBorder="1" applyAlignment="1">
      <alignment vertical="center" wrapText="1"/>
    </xf>
    <xf numFmtId="3" fontId="1" fillId="0" borderId="26" xfId="0" applyNumberFormat="1" applyFont="1" applyBorder="1" applyAlignment="1">
      <alignment vertical="center" wrapText="1"/>
    </xf>
    <xf numFmtId="3" fontId="1" fillId="0" borderId="52" xfId="0" applyNumberFormat="1" applyFont="1" applyBorder="1" applyAlignment="1">
      <alignment vertical="center" wrapText="1"/>
    </xf>
    <xf numFmtId="3" fontId="1" fillId="0" borderId="36" xfId="0" applyNumberFormat="1" applyFont="1" applyBorder="1" applyAlignment="1">
      <alignment vertical="center" wrapText="1"/>
    </xf>
    <xf numFmtId="3" fontId="1" fillId="11" borderId="0" xfId="0" applyNumberFormat="1" applyFont="1" applyFill="1" applyBorder="1" applyAlignment="1">
      <alignment vertical="center" wrapText="1"/>
    </xf>
    <xf numFmtId="170" fontId="1" fillId="0" borderId="22" xfId="0" applyNumberFormat="1" applyFont="1" applyFill="1" applyBorder="1" applyAlignment="1">
      <alignment vertical="center" wrapText="1"/>
    </xf>
    <xf numFmtId="3" fontId="1" fillId="0" borderId="22" xfId="0" applyNumberFormat="1" applyFont="1" applyFill="1" applyBorder="1" applyAlignment="1">
      <alignment vertical="center" wrapText="1"/>
    </xf>
    <xf numFmtId="1" fontId="1" fillId="0" borderId="25" xfId="0" applyNumberFormat="1" applyFont="1" applyFill="1" applyBorder="1" applyAlignment="1" applyProtection="1">
      <alignment vertical="center"/>
      <protection locked="0"/>
    </xf>
    <xf numFmtId="3" fontId="1" fillId="0" borderId="56" xfId="0" applyNumberFormat="1" applyFont="1" applyFill="1" applyBorder="1" applyAlignment="1">
      <alignment vertical="center"/>
    </xf>
    <xf numFmtId="3" fontId="1" fillId="0" borderId="51" xfId="0" applyNumberFormat="1" applyFont="1" applyFill="1" applyBorder="1" applyAlignment="1">
      <alignment vertical="center"/>
    </xf>
    <xf numFmtId="3" fontId="1" fillId="0" borderId="25" xfId="0" applyNumberFormat="1" applyFont="1" applyFill="1" applyBorder="1" applyAlignment="1">
      <alignment vertical="center"/>
    </xf>
    <xf numFmtId="3" fontId="1" fillId="0" borderId="3" xfId="0" applyNumberFormat="1" applyFont="1" applyFill="1" applyBorder="1" applyAlignment="1">
      <alignment vertical="center"/>
    </xf>
    <xf numFmtId="3" fontId="1" fillId="0" borderId="47" xfId="0" applyNumberFormat="1" applyFont="1" applyFill="1" applyBorder="1" applyAlignment="1">
      <alignment vertical="center"/>
    </xf>
    <xf numFmtId="3" fontId="1" fillId="0" borderId="25" xfId="0" applyNumberFormat="1" applyFont="1" applyFill="1" applyBorder="1" applyAlignment="1" applyProtection="1">
      <alignment vertical="center"/>
    </xf>
    <xf numFmtId="3" fontId="1" fillId="8" borderId="25" xfId="0" applyNumberFormat="1" applyFont="1" applyFill="1" applyBorder="1" applyAlignment="1">
      <alignment vertical="center"/>
    </xf>
    <xf numFmtId="1" fontId="1" fillId="0" borderId="1" xfId="0" applyNumberFormat="1" applyFont="1" applyBorder="1" applyAlignment="1">
      <alignment vertical="center"/>
    </xf>
    <xf numFmtId="3" fontId="1" fillId="0" borderId="43" xfId="0" applyNumberFormat="1" applyFont="1" applyFill="1" applyBorder="1" applyAlignment="1">
      <alignment vertical="center"/>
    </xf>
    <xf numFmtId="3" fontId="1" fillId="0" borderId="30" xfId="0" applyNumberFormat="1" applyFont="1" applyFill="1" applyBorder="1" applyAlignment="1">
      <alignment vertical="center"/>
    </xf>
    <xf numFmtId="3" fontId="1" fillId="0" borderId="1" xfId="0" applyNumberFormat="1" applyFont="1" applyFill="1" applyBorder="1" applyAlignment="1">
      <alignment vertical="center"/>
    </xf>
    <xf numFmtId="3" fontId="1" fillId="0" borderId="48" xfId="0" applyNumberFormat="1" applyFont="1" applyFill="1" applyBorder="1" applyAlignment="1">
      <alignment vertical="center"/>
    </xf>
    <xf numFmtId="3" fontId="1" fillId="0" borderId="1" xfId="0" applyNumberFormat="1" applyFont="1" applyFill="1" applyBorder="1" applyAlignment="1" applyProtection="1">
      <alignment vertical="center"/>
    </xf>
    <xf numFmtId="170" fontId="1" fillId="8" borderId="1" xfId="0" applyNumberFormat="1" applyFont="1" applyFill="1" applyBorder="1" applyAlignment="1">
      <alignment vertical="center"/>
    </xf>
    <xf numFmtId="3" fontId="1" fillId="8" borderId="1" xfId="0" applyNumberFormat="1" applyFont="1" applyFill="1" applyBorder="1" applyAlignment="1">
      <alignment vertical="center"/>
    </xf>
    <xf numFmtId="1" fontId="1" fillId="0" borderId="20" xfId="0" applyNumberFormat="1" applyFont="1" applyBorder="1" applyAlignment="1">
      <alignment vertical="center"/>
    </xf>
    <xf numFmtId="3" fontId="1" fillId="0" borderId="63" xfId="0" applyNumberFormat="1" applyFont="1" applyFill="1" applyBorder="1" applyAlignment="1">
      <alignment vertical="center"/>
    </xf>
    <xf numFmtId="3" fontId="1" fillId="0" borderId="6" xfId="0" applyNumberFormat="1" applyFont="1" applyFill="1" applyBorder="1" applyAlignment="1">
      <alignment vertical="center"/>
    </xf>
    <xf numFmtId="3" fontId="1" fillId="0" borderId="20" xfId="0" applyNumberFormat="1" applyFont="1" applyFill="1" applyBorder="1" applyAlignment="1">
      <alignment vertical="center"/>
    </xf>
    <xf numFmtId="3" fontId="1" fillId="0" borderId="20" xfId="0" applyNumberFormat="1" applyFont="1" applyFill="1" applyBorder="1" applyAlignment="1" applyProtection="1">
      <alignment vertical="center"/>
    </xf>
    <xf numFmtId="170" fontId="1" fillId="8" borderId="20" xfId="0" applyNumberFormat="1" applyFont="1" applyFill="1" applyBorder="1" applyAlignment="1">
      <alignment vertical="center"/>
    </xf>
    <xf numFmtId="3" fontId="1" fillId="0" borderId="64" xfId="0" applyNumberFormat="1" applyFont="1" applyFill="1" applyBorder="1" applyAlignment="1">
      <alignment vertical="center"/>
    </xf>
    <xf numFmtId="3" fontId="1" fillId="8" borderId="20" xfId="0" applyNumberFormat="1" applyFont="1" applyFill="1" applyBorder="1" applyAlignment="1">
      <alignment vertical="center"/>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10" fontId="1" fillId="14" borderId="0" xfId="2" applyNumberFormat="1" applyFont="1" applyFill="1" applyAlignment="1">
      <alignment vertical="center"/>
    </xf>
    <xf numFmtId="0" fontId="2" fillId="2" borderId="25" xfId="0" applyFont="1" applyFill="1" applyBorder="1" applyAlignment="1">
      <alignment horizontal="center" vertical="center" wrapText="1"/>
    </xf>
    <xf numFmtId="0" fontId="2" fillId="2" borderId="34" xfId="0" applyFont="1" applyFill="1" applyBorder="1" applyAlignment="1">
      <alignment horizontal="center"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17" xfId="0" applyFont="1" applyFill="1" applyBorder="1" applyAlignment="1">
      <alignment horizontal="center" vertical="center" wrapText="1"/>
    </xf>
    <xf numFmtId="0" fontId="35"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2" fontId="0" fillId="0" borderId="20" xfId="0" applyNumberFormat="1" applyFill="1" applyBorder="1" applyAlignment="1">
      <alignment vertical="center"/>
    </xf>
    <xf numFmtId="0" fontId="0" fillId="0" borderId="0" xfId="0" applyFill="1" applyAlignment="1">
      <alignment vertical="center"/>
    </xf>
    <xf numFmtId="9" fontId="0" fillId="24" borderId="29" xfId="2" applyFont="1" applyFill="1" applyBorder="1" applyAlignment="1" applyProtection="1">
      <alignment horizontal="center" vertical="center" wrapText="1"/>
      <protection locked="0"/>
    </xf>
    <xf numFmtId="9" fontId="0" fillId="24" borderId="30" xfId="2" applyFont="1" applyFill="1" applyBorder="1" applyAlignment="1" applyProtection="1">
      <alignment horizontal="center" vertical="center" wrapText="1"/>
      <protection locked="0"/>
    </xf>
    <xf numFmtId="43" fontId="1" fillId="0" borderId="56" xfId="4" applyFont="1" applyFill="1" applyBorder="1" applyAlignment="1">
      <alignment vertical="center"/>
    </xf>
    <xf numFmtId="43" fontId="1" fillId="0" borderId="51" xfId="4" applyFont="1" applyFill="1" applyBorder="1" applyAlignment="1">
      <alignment vertical="center"/>
    </xf>
    <xf numFmtId="43" fontId="1" fillId="0" borderId="25" xfId="4" applyFont="1" applyFill="1" applyBorder="1" applyAlignment="1">
      <alignment vertical="center"/>
    </xf>
    <xf numFmtId="43" fontId="1" fillId="0" borderId="3" xfId="4" applyFont="1" applyFill="1" applyBorder="1" applyAlignment="1">
      <alignment vertical="center"/>
    </xf>
    <xf numFmtId="43" fontId="1" fillId="0" borderId="47" xfId="4" applyFont="1" applyFill="1" applyBorder="1" applyAlignment="1">
      <alignment vertical="center"/>
    </xf>
    <xf numFmtId="43" fontId="1" fillId="0" borderId="25" xfId="4" applyFont="1" applyFill="1" applyBorder="1" applyAlignment="1" applyProtection="1">
      <alignment vertical="center"/>
    </xf>
    <xf numFmtId="43" fontId="1" fillId="11" borderId="0" xfId="4" applyFont="1" applyFill="1" applyBorder="1" applyAlignment="1">
      <alignment vertical="center"/>
    </xf>
    <xf numFmtId="43" fontId="1" fillId="8" borderId="25" xfId="4" applyFont="1" applyFill="1" applyBorder="1" applyAlignment="1">
      <alignment vertical="center"/>
    </xf>
    <xf numFmtId="43" fontId="1" fillId="0" borderId="43" xfId="4" applyFont="1" applyFill="1" applyBorder="1" applyAlignment="1">
      <alignment vertical="center"/>
    </xf>
    <xf numFmtId="43" fontId="1" fillId="0" borderId="30" xfId="4" applyFont="1" applyFill="1" applyBorder="1" applyAlignment="1">
      <alignment vertical="center"/>
    </xf>
    <xf numFmtId="43" fontId="1" fillId="0" borderId="1" xfId="4" applyFont="1" applyFill="1" applyBorder="1" applyAlignment="1">
      <alignment vertical="center"/>
    </xf>
    <xf numFmtId="43" fontId="1" fillId="0" borderId="48" xfId="4" applyFont="1" applyFill="1" applyBorder="1" applyAlignment="1">
      <alignment vertical="center"/>
    </xf>
    <xf numFmtId="43" fontId="1" fillId="0" borderId="1" xfId="4" applyFont="1" applyFill="1" applyBorder="1" applyAlignment="1" applyProtection="1">
      <alignment vertical="center"/>
    </xf>
    <xf numFmtId="43" fontId="1" fillId="8" borderId="1" xfId="4" applyFont="1" applyFill="1" applyBorder="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cellXfs>
  <cellStyles count="5">
    <cellStyle name="Comma" xfId="4" builtinId="3"/>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PPU/PPU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PU_Hitungan%20Mitiga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C30">
            <v>0</v>
          </cell>
        </row>
        <row r="31">
          <cell r="C31">
            <v>0</v>
          </cell>
        </row>
        <row r="32">
          <cell r="C32">
            <v>6.8882854919999996</v>
          </cell>
        </row>
        <row r="33">
          <cell r="C33">
            <v>7.0063953960000003</v>
          </cell>
        </row>
        <row r="34">
          <cell r="C34">
            <v>7.2874920359999997</v>
          </cell>
        </row>
        <row r="35">
          <cell r="C35">
            <v>7.549479036000001</v>
          </cell>
        </row>
        <row r="36">
          <cell r="C36">
            <v>7.631958708</v>
          </cell>
        </row>
        <row r="37">
          <cell r="C37">
            <v>7.7120342639999997</v>
          </cell>
        </row>
        <row r="38">
          <cell r="C38">
            <v>7.7889659760000001</v>
          </cell>
        </row>
        <row r="39">
          <cell r="C39">
            <v>7.861582608</v>
          </cell>
        </row>
        <row r="40">
          <cell r="C40">
            <v>8.8102837679999997</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29">
          <cell r="C29">
            <v>8.1806071200000012</v>
          </cell>
        </row>
        <row r="30">
          <cell r="C30">
            <v>8.2958253600000003</v>
          </cell>
        </row>
        <row r="31">
          <cell r="C31">
            <v>8.4174882000000011</v>
          </cell>
        </row>
        <row r="32">
          <cell r="C32">
            <v>8.5247487600000014</v>
          </cell>
        </row>
        <row r="33">
          <cell r="C33">
            <v>8.6433294000000007</v>
          </cell>
        </row>
        <row r="34">
          <cell r="C34">
            <v>8.7422960400000012</v>
          </cell>
        </row>
        <row r="35">
          <cell r="C35">
            <v>8.8691082207552014</v>
          </cell>
        </row>
        <row r="36">
          <cell r="C36">
            <v>8.8420224111771777</v>
          </cell>
        </row>
        <row r="37">
          <cell r="C37">
            <v>8.811202068474504</v>
          </cell>
        </row>
        <row r="38">
          <cell r="C38">
            <v>8.7768402989098906</v>
          </cell>
        </row>
        <row r="39">
          <cell r="C39">
            <v>8.7391231322768856</v>
          </cell>
        </row>
        <row r="40">
          <cell r="C40">
            <v>8.6982297493566971</v>
          </cell>
        </row>
        <row r="41">
          <cell r="C41">
            <v>8.6543327025564611</v>
          </cell>
        </row>
        <row r="42">
          <cell r="C42">
            <v>8.6075981299246944</v>
          </cell>
        </row>
        <row r="43">
          <cell r="C43">
            <v>8.5581859627341608</v>
          </cell>
        </row>
        <row r="44">
          <cell r="C44">
            <v>8.506250126817184</v>
          </cell>
        </row>
        <row r="45">
          <cell r="C45">
            <v>8.4519387378331228</v>
          </cell>
        </row>
        <row r="46">
          <cell r="C46">
            <v>8.3953942906428676</v>
          </cell>
        </row>
        <row r="47">
          <cell r="C47">
            <v>8.3367538429602117</v>
          </cell>
        </row>
        <row r="48">
          <cell r="C48">
            <v>8.276504000000001</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77" t="s">
        <v>212</v>
      </c>
      <c r="C7" s="777"/>
      <c r="D7" s="777"/>
      <c r="E7" s="777"/>
      <c r="F7" s="777"/>
      <c r="G7" s="777"/>
      <c r="H7" s="777"/>
      <c r="I7" s="777"/>
      <c r="J7" s="360"/>
      <c r="K7" s="360"/>
    </row>
    <row r="8" spans="2:11" s="9" customFormat="1">
      <c r="B8" s="10"/>
      <c r="C8" s="10"/>
      <c r="D8" s="10"/>
      <c r="E8" s="10"/>
      <c r="F8" s="10"/>
      <c r="G8" s="10"/>
      <c r="H8" s="10"/>
      <c r="I8" s="10"/>
      <c r="J8" s="10"/>
      <c r="K8" s="10"/>
    </row>
    <row r="9" spans="2:11" ht="44.1" customHeight="1">
      <c r="B9" s="778" t="s">
        <v>227</v>
      </c>
      <c r="C9" s="778"/>
      <c r="D9" s="778"/>
      <c r="E9" s="778"/>
      <c r="F9" s="778"/>
      <c r="G9" s="778"/>
      <c r="H9" s="778"/>
      <c r="I9" s="778"/>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841" t="str">
        <f>city</f>
        <v>Penajam Paser Utara</v>
      </c>
      <c r="E2" s="842"/>
      <c r="F2" s="843"/>
    </row>
    <row r="3" spans="2:15" ht="13.5" thickBot="1">
      <c r="C3" s="490" t="s">
        <v>276</v>
      </c>
      <c r="D3" s="841" t="str">
        <f>province</f>
        <v>Kalimantan Timur</v>
      </c>
      <c r="E3" s="842"/>
      <c r="F3" s="843"/>
    </row>
    <row r="4" spans="2:15" ht="13.5" thickBot="1">
      <c r="B4" s="489"/>
      <c r="C4" s="490" t="s">
        <v>30</v>
      </c>
      <c r="D4" s="841">
        <v>0</v>
      </c>
      <c r="E4" s="842"/>
      <c r="F4" s="843"/>
      <c r="H4" s="844"/>
      <c r="I4" s="844"/>
      <c r="J4" s="844"/>
      <c r="K4" s="844"/>
    </row>
    <row r="5" spans="2:15">
      <c r="B5" s="489"/>
      <c r="H5" s="845"/>
      <c r="I5" s="845"/>
      <c r="J5" s="845"/>
      <c r="K5" s="845"/>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v>1950</v>
      </c>
      <c r="C18" s="533">
        <v>0</v>
      </c>
      <c r="D18" s="534">
        <v>0</v>
      </c>
      <c r="E18" s="535">
        <v>0</v>
      </c>
      <c r="F18" s="535">
        <v>0</v>
      </c>
      <c r="G18" s="535">
        <v>0</v>
      </c>
      <c r="H18" s="535">
        <v>0</v>
      </c>
      <c r="I18" s="536">
        <v>0</v>
      </c>
      <c r="J18" s="537">
        <v>0</v>
      </c>
      <c r="K18" s="538">
        <v>0</v>
      </c>
      <c r="L18" s="535">
        <v>0</v>
      </c>
      <c r="M18" s="536">
        <v>0</v>
      </c>
      <c r="N18" s="471">
        <v>0</v>
      </c>
      <c r="O18" s="473">
        <f t="shared" ref="O18:O81" si="0">O17+N18</f>
        <v>0</v>
      </c>
    </row>
    <row r="19" spans="2:15">
      <c r="B19" s="470">
        <f>B18+1</f>
        <v>1951</v>
      </c>
      <c r="C19" s="533">
        <v>0</v>
      </c>
      <c r="D19" s="534">
        <v>0</v>
      </c>
      <c r="E19" s="535">
        <v>0</v>
      </c>
      <c r="F19" s="535">
        <v>0</v>
      </c>
      <c r="G19" s="535">
        <v>0</v>
      </c>
      <c r="H19" s="535">
        <v>0</v>
      </c>
      <c r="I19" s="536">
        <v>0</v>
      </c>
      <c r="J19" s="537">
        <v>0</v>
      </c>
      <c r="K19" s="538">
        <v>0</v>
      </c>
      <c r="L19" s="535">
        <v>0</v>
      </c>
      <c r="M19" s="536">
        <v>0</v>
      </c>
      <c r="N19" s="471">
        <v>0</v>
      </c>
      <c r="O19" s="473">
        <f t="shared" si="0"/>
        <v>0</v>
      </c>
    </row>
    <row r="20" spans="2:15">
      <c r="B20" s="470">
        <f t="shared" ref="B20:B83" si="1">B19+1</f>
        <v>1952</v>
      </c>
      <c r="C20" s="533">
        <v>0</v>
      </c>
      <c r="D20" s="534">
        <v>2.5665132239999999E-2</v>
      </c>
      <c r="E20" s="535">
        <v>0</v>
      </c>
      <c r="F20" s="535">
        <v>2.0296104576000003E-2</v>
      </c>
      <c r="G20" s="535">
        <v>1.6744286275199999E-2</v>
      </c>
      <c r="H20" s="535">
        <v>2.5488131328000002E-3</v>
      </c>
      <c r="I20" s="536">
        <v>0</v>
      </c>
      <c r="J20" s="537">
        <v>0</v>
      </c>
      <c r="K20" s="538">
        <v>0</v>
      </c>
      <c r="L20" s="535">
        <v>0</v>
      </c>
      <c r="M20" s="536">
        <v>0</v>
      </c>
      <c r="N20" s="471">
        <v>6.5254336224000009E-2</v>
      </c>
      <c r="O20" s="473">
        <f t="shared" si="0"/>
        <v>6.5254336224000009E-2</v>
      </c>
    </row>
    <row r="21" spans="2:15">
      <c r="B21" s="470">
        <f t="shared" si="1"/>
        <v>1953</v>
      </c>
      <c r="C21" s="533">
        <v>0</v>
      </c>
      <c r="D21" s="534">
        <v>2.6105199119999995E-2</v>
      </c>
      <c r="E21" s="535">
        <v>0</v>
      </c>
      <c r="F21" s="535">
        <v>2.0644111488000005E-2</v>
      </c>
      <c r="G21" s="535">
        <v>1.7031391977600001E-2</v>
      </c>
      <c r="H21" s="535">
        <v>2.5925163263999999E-3</v>
      </c>
      <c r="I21" s="536">
        <v>0</v>
      </c>
      <c r="J21" s="537">
        <v>0</v>
      </c>
      <c r="K21" s="538">
        <v>0</v>
      </c>
      <c r="L21" s="535">
        <v>0</v>
      </c>
      <c r="M21" s="536">
        <v>0</v>
      </c>
      <c r="N21" s="471">
        <v>6.6373218912000001E-2</v>
      </c>
      <c r="O21" s="473">
        <f t="shared" si="0"/>
        <v>0.131627555136</v>
      </c>
    </row>
    <row r="22" spans="2:15">
      <c r="B22" s="470">
        <f t="shared" si="1"/>
        <v>1954</v>
      </c>
      <c r="C22" s="533">
        <v>0</v>
      </c>
      <c r="D22" s="534">
        <v>2.7152539919999996E-2</v>
      </c>
      <c r="E22" s="535">
        <v>0</v>
      </c>
      <c r="F22" s="535">
        <v>2.1472353408000001E-2</v>
      </c>
      <c r="G22" s="535">
        <v>1.77146915616E-2</v>
      </c>
      <c r="H22" s="535">
        <v>2.6965281024000001E-3</v>
      </c>
      <c r="I22" s="536">
        <v>0</v>
      </c>
      <c r="J22" s="537">
        <v>0</v>
      </c>
      <c r="K22" s="538">
        <v>0</v>
      </c>
      <c r="L22" s="535">
        <v>0</v>
      </c>
      <c r="M22" s="536">
        <v>0</v>
      </c>
      <c r="N22" s="471">
        <v>6.9036112991999993E-2</v>
      </c>
      <c r="O22" s="473">
        <f t="shared" si="0"/>
        <v>0.20066366812799999</v>
      </c>
    </row>
    <row r="23" spans="2:15">
      <c r="B23" s="470">
        <f t="shared" si="1"/>
        <v>1955</v>
      </c>
      <c r="C23" s="533">
        <v>0</v>
      </c>
      <c r="D23" s="534">
        <v>2.812867992E-2</v>
      </c>
      <c r="E23" s="535">
        <v>0</v>
      </c>
      <c r="F23" s="535">
        <v>2.2244289408000006E-2</v>
      </c>
      <c r="G23" s="535">
        <v>1.8351538761600002E-2</v>
      </c>
      <c r="H23" s="535">
        <v>2.7934689024000001E-3</v>
      </c>
      <c r="I23" s="536">
        <v>0</v>
      </c>
      <c r="J23" s="537">
        <v>0</v>
      </c>
      <c r="K23" s="538">
        <v>0</v>
      </c>
      <c r="L23" s="535">
        <v>0</v>
      </c>
      <c r="M23" s="536">
        <v>0</v>
      </c>
      <c r="N23" s="471">
        <v>7.1517976992000007E-2</v>
      </c>
      <c r="O23" s="473">
        <f t="shared" si="0"/>
        <v>0.27218164511999998</v>
      </c>
    </row>
    <row r="24" spans="2:15">
      <c r="B24" s="470">
        <f t="shared" si="1"/>
        <v>1956</v>
      </c>
      <c r="C24" s="533">
        <v>0</v>
      </c>
      <c r="D24" s="534">
        <v>2.8435991760000001E-2</v>
      </c>
      <c r="E24" s="535">
        <v>0</v>
      </c>
      <c r="F24" s="535">
        <v>2.2487313024000002E-2</v>
      </c>
      <c r="G24" s="535">
        <v>1.8552033244800002E-2</v>
      </c>
      <c r="H24" s="535">
        <v>2.8239881472E-3</v>
      </c>
      <c r="I24" s="536">
        <v>0</v>
      </c>
      <c r="J24" s="537">
        <v>0</v>
      </c>
      <c r="K24" s="538">
        <v>0</v>
      </c>
      <c r="L24" s="535">
        <v>0</v>
      </c>
      <c r="M24" s="536">
        <v>0</v>
      </c>
      <c r="N24" s="471">
        <v>7.2299326176000017E-2</v>
      </c>
      <c r="O24" s="473">
        <f t="shared" si="0"/>
        <v>0.34448097129599997</v>
      </c>
    </row>
    <row r="25" spans="2:15">
      <c r="B25" s="470">
        <f t="shared" si="1"/>
        <v>1957</v>
      </c>
      <c r="C25" s="533">
        <v>0</v>
      </c>
      <c r="D25" s="534">
        <v>2.8734346080000001E-2</v>
      </c>
      <c r="E25" s="535">
        <v>0</v>
      </c>
      <c r="F25" s="535">
        <v>2.2723252992000006E-2</v>
      </c>
      <c r="G25" s="535">
        <v>1.8746683718400003E-2</v>
      </c>
      <c r="H25" s="535">
        <v>2.8536178176000004E-3</v>
      </c>
      <c r="I25" s="536">
        <v>0</v>
      </c>
      <c r="J25" s="537">
        <v>0</v>
      </c>
      <c r="K25" s="538">
        <v>0</v>
      </c>
      <c r="L25" s="535">
        <v>0</v>
      </c>
      <c r="M25" s="536">
        <v>0</v>
      </c>
      <c r="N25" s="471">
        <v>7.305790060800002E-2</v>
      </c>
      <c r="O25" s="473">
        <f t="shared" si="0"/>
        <v>0.41753887190399996</v>
      </c>
    </row>
    <row r="26" spans="2:15">
      <c r="B26" s="470">
        <f t="shared" si="1"/>
        <v>1958</v>
      </c>
      <c r="C26" s="533">
        <v>0</v>
      </c>
      <c r="D26" s="534">
        <v>2.9020986720000003E-2</v>
      </c>
      <c r="E26" s="535">
        <v>0</v>
      </c>
      <c r="F26" s="535">
        <v>2.2949929728000005E-2</v>
      </c>
      <c r="G26" s="535">
        <v>1.8933692025600007E-2</v>
      </c>
      <c r="H26" s="535">
        <v>2.8820841984E-3</v>
      </c>
      <c r="I26" s="536">
        <v>0</v>
      </c>
      <c r="J26" s="537">
        <v>0</v>
      </c>
      <c r="K26" s="538">
        <v>0</v>
      </c>
      <c r="L26" s="535">
        <v>0</v>
      </c>
      <c r="M26" s="536">
        <v>0</v>
      </c>
      <c r="N26" s="471">
        <v>7.3786692672000012E-2</v>
      </c>
      <c r="O26" s="473">
        <f t="shared" si="0"/>
        <v>0.49132556457599996</v>
      </c>
    </row>
    <row r="27" spans="2:15">
      <c r="B27" s="470">
        <f t="shared" si="1"/>
        <v>1959</v>
      </c>
      <c r="C27" s="533">
        <v>0</v>
      </c>
      <c r="D27" s="534">
        <v>2.9291549759999997E-2</v>
      </c>
      <c r="E27" s="535">
        <v>0</v>
      </c>
      <c r="F27" s="535">
        <v>2.3163892224000004E-2</v>
      </c>
      <c r="G27" s="535">
        <v>1.9110211084800002E-2</v>
      </c>
      <c r="H27" s="535">
        <v>2.9089539071999997E-3</v>
      </c>
      <c r="I27" s="536">
        <v>0</v>
      </c>
      <c r="J27" s="537">
        <v>0</v>
      </c>
      <c r="K27" s="538">
        <v>0</v>
      </c>
      <c r="L27" s="535">
        <v>0</v>
      </c>
      <c r="M27" s="536">
        <v>0</v>
      </c>
      <c r="N27" s="471">
        <v>7.4474606976000002E-2</v>
      </c>
      <c r="O27" s="473">
        <f t="shared" si="0"/>
        <v>0.56580017155200002</v>
      </c>
    </row>
    <row r="28" spans="2:15">
      <c r="B28" s="470">
        <f t="shared" si="1"/>
        <v>1960</v>
      </c>
      <c r="C28" s="533">
        <v>0</v>
      </c>
      <c r="D28" s="534">
        <v>3.282632496E-2</v>
      </c>
      <c r="E28" s="535">
        <v>0</v>
      </c>
      <c r="F28" s="535">
        <v>2.5959208704000005E-2</v>
      </c>
      <c r="G28" s="535">
        <v>2.1416347180800002E-2</v>
      </c>
      <c r="H28" s="535">
        <v>3.2599936511999994E-3</v>
      </c>
      <c r="I28" s="536">
        <v>0</v>
      </c>
      <c r="J28" s="537">
        <v>0</v>
      </c>
      <c r="K28" s="538">
        <v>0</v>
      </c>
      <c r="L28" s="535">
        <v>0</v>
      </c>
      <c r="M28" s="536">
        <v>0</v>
      </c>
      <c r="N28" s="471">
        <v>8.346187449600001E-2</v>
      </c>
      <c r="O28" s="473">
        <f t="shared" si="0"/>
        <v>0.64926204604800009</v>
      </c>
    </row>
    <row r="29" spans="2:15">
      <c r="B29" s="470">
        <f t="shared" si="1"/>
        <v>1961</v>
      </c>
      <c r="C29" s="533">
        <v>0</v>
      </c>
      <c r="D29" s="534">
        <v>3.0480206400000005E-2</v>
      </c>
      <c r="E29" s="535">
        <v>0</v>
      </c>
      <c r="F29" s="535">
        <v>2.4103887360000006E-2</v>
      </c>
      <c r="G29" s="535">
        <v>1.9885707072000006E-2</v>
      </c>
      <c r="H29" s="535">
        <v>3.0269998080000005E-3</v>
      </c>
      <c r="I29" s="536">
        <v>0</v>
      </c>
      <c r="J29" s="537">
        <v>0</v>
      </c>
      <c r="K29" s="538">
        <v>0</v>
      </c>
      <c r="L29" s="535">
        <v>0</v>
      </c>
      <c r="M29" s="536">
        <v>0</v>
      </c>
      <c r="N29" s="471">
        <v>7.7496800640000016E-2</v>
      </c>
      <c r="O29" s="473">
        <f t="shared" si="0"/>
        <v>0.72675884668800006</v>
      </c>
    </row>
    <row r="30" spans="2:15">
      <c r="B30" s="470">
        <f t="shared" si="1"/>
        <v>1962</v>
      </c>
      <c r="C30" s="533">
        <v>0</v>
      </c>
      <c r="D30" s="534">
        <v>3.0909499200000003E-2</v>
      </c>
      <c r="E30" s="535">
        <v>0</v>
      </c>
      <c r="F30" s="535">
        <v>2.4443374080000007E-2</v>
      </c>
      <c r="G30" s="535">
        <v>2.0165783616000008E-2</v>
      </c>
      <c r="H30" s="535">
        <v>3.0696330240000003E-3</v>
      </c>
      <c r="I30" s="536">
        <v>0</v>
      </c>
      <c r="J30" s="537">
        <v>0</v>
      </c>
      <c r="K30" s="538">
        <v>0</v>
      </c>
      <c r="L30" s="535">
        <v>0</v>
      </c>
      <c r="M30" s="536">
        <v>0</v>
      </c>
      <c r="N30" s="471">
        <v>7.8588289920000012E-2</v>
      </c>
      <c r="O30" s="473">
        <f t="shared" si="0"/>
        <v>0.80534713660800006</v>
      </c>
    </row>
    <row r="31" spans="2:15">
      <c r="B31" s="470">
        <f t="shared" si="1"/>
        <v>1963</v>
      </c>
      <c r="C31" s="533">
        <v>0</v>
      </c>
      <c r="D31" s="534">
        <v>3.1362804000000001E-2</v>
      </c>
      <c r="E31" s="535">
        <v>0</v>
      </c>
      <c r="F31" s="535">
        <v>2.4801849600000005E-2</v>
      </c>
      <c r="G31" s="535">
        <v>2.0461525920000001E-2</v>
      </c>
      <c r="H31" s="535">
        <v>3.11465088E-3</v>
      </c>
      <c r="I31" s="536">
        <v>0</v>
      </c>
      <c r="J31" s="537">
        <v>0</v>
      </c>
      <c r="K31" s="538">
        <v>0</v>
      </c>
      <c r="L31" s="535">
        <v>0</v>
      </c>
      <c r="M31" s="536">
        <v>0</v>
      </c>
      <c r="N31" s="471">
        <v>7.9740830400000004E-2</v>
      </c>
      <c r="O31" s="473">
        <f t="shared" si="0"/>
        <v>0.88508796700800008</v>
      </c>
    </row>
    <row r="32" spans="2:15">
      <c r="B32" s="470">
        <f t="shared" si="1"/>
        <v>1964</v>
      </c>
      <c r="C32" s="533">
        <v>0</v>
      </c>
      <c r="D32" s="534">
        <v>3.1762447200000009E-2</v>
      </c>
      <c r="E32" s="535">
        <v>0</v>
      </c>
      <c r="F32" s="535">
        <v>2.5117889280000007E-2</v>
      </c>
      <c r="G32" s="535">
        <v>2.0722258656000008E-2</v>
      </c>
      <c r="H32" s="535">
        <v>3.1543395840000011E-3</v>
      </c>
      <c r="I32" s="536">
        <v>0</v>
      </c>
      <c r="J32" s="537">
        <v>0</v>
      </c>
      <c r="K32" s="538">
        <v>0</v>
      </c>
      <c r="L32" s="535">
        <v>0</v>
      </c>
      <c r="M32" s="536">
        <v>0</v>
      </c>
      <c r="N32" s="471">
        <v>8.0756934720000034E-2</v>
      </c>
      <c r="O32" s="473">
        <f t="shared" si="0"/>
        <v>0.96584490172800008</v>
      </c>
    </row>
    <row r="33" spans="2:15">
      <c r="B33" s="470">
        <f t="shared" si="1"/>
        <v>1965</v>
      </c>
      <c r="C33" s="533">
        <v>0</v>
      </c>
      <c r="D33" s="534">
        <v>3.2204268000000001E-2</v>
      </c>
      <c r="E33" s="535">
        <v>0</v>
      </c>
      <c r="F33" s="535">
        <v>2.5467283200000003E-2</v>
      </c>
      <c r="G33" s="535">
        <v>2.1010508640000005E-2</v>
      </c>
      <c r="H33" s="535">
        <v>3.1982169599999999E-3</v>
      </c>
      <c r="I33" s="536">
        <v>0</v>
      </c>
      <c r="J33" s="537">
        <v>0</v>
      </c>
      <c r="K33" s="538">
        <v>0</v>
      </c>
      <c r="L33" s="535">
        <v>0</v>
      </c>
      <c r="M33" s="536">
        <v>0</v>
      </c>
      <c r="N33" s="471">
        <v>8.1880276800000013E-2</v>
      </c>
      <c r="O33" s="473">
        <f t="shared" si="0"/>
        <v>1.0477251785280002</v>
      </c>
    </row>
    <row r="34" spans="2:15">
      <c r="B34" s="470">
        <f t="shared" si="1"/>
        <v>1966</v>
      </c>
      <c r="C34" s="533">
        <v>0</v>
      </c>
      <c r="D34" s="534">
        <v>3.2573008800000004E-2</v>
      </c>
      <c r="E34" s="535">
        <v>0</v>
      </c>
      <c r="F34" s="535">
        <v>2.5758885120000009E-2</v>
      </c>
      <c r="G34" s="535">
        <v>2.1251080224000005E-2</v>
      </c>
      <c r="H34" s="535">
        <v>3.2348367360000006E-3</v>
      </c>
      <c r="I34" s="536">
        <v>0</v>
      </c>
      <c r="J34" s="537">
        <v>0</v>
      </c>
      <c r="K34" s="538">
        <v>0</v>
      </c>
      <c r="L34" s="535">
        <v>0</v>
      </c>
      <c r="M34" s="536">
        <v>0</v>
      </c>
      <c r="N34" s="471">
        <v>8.2817810880000023E-2</v>
      </c>
      <c r="O34" s="473">
        <f t="shared" si="0"/>
        <v>1.1305429894080001</v>
      </c>
    </row>
    <row r="35" spans="2:15">
      <c r="B35" s="470">
        <f t="shared" si="1"/>
        <v>1967</v>
      </c>
      <c r="C35" s="533">
        <v>0</v>
      </c>
      <c r="D35" s="534">
        <v>3.3529571127360012E-2</v>
      </c>
      <c r="E35" s="535">
        <v>0</v>
      </c>
      <c r="F35" s="535">
        <v>2.6515339006464009E-2</v>
      </c>
      <c r="G35" s="535">
        <v>2.1875154680332808E-2</v>
      </c>
      <c r="H35" s="535">
        <v>3.3298332705792009E-3</v>
      </c>
      <c r="I35" s="536">
        <v>0</v>
      </c>
      <c r="J35" s="537">
        <v>0</v>
      </c>
      <c r="K35" s="538">
        <v>0</v>
      </c>
      <c r="L35" s="535">
        <v>0</v>
      </c>
      <c r="M35" s="536">
        <v>0</v>
      </c>
      <c r="N35" s="471">
        <v>8.5249898084736028E-2</v>
      </c>
      <c r="O35" s="473">
        <f t="shared" si="0"/>
        <v>1.2157928874927362</v>
      </c>
    </row>
    <row r="36" spans="2:15">
      <c r="B36" s="470">
        <f t="shared" si="1"/>
        <v>1968</v>
      </c>
      <c r="C36" s="533">
        <v>0</v>
      </c>
      <c r="D36" s="534">
        <v>3.391683605657677E-2</v>
      </c>
      <c r="E36" s="535">
        <v>0</v>
      </c>
      <c r="F36" s="535">
        <v>2.6821589893017035E-2</v>
      </c>
      <c r="G36" s="535">
        <v>2.212781166173905E-2</v>
      </c>
      <c r="H36" s="535">
        <v>3.3682926842393476E-3</v>
      </c>
      <c r="I36" s="536">
        <v>0</v>
      </c>
      <c r="J36" s="537">
        <v>0</v>
      </c>
      <c r="K36" s="538">
        <v>0</v>
      </c>
      <c r="L36" s="535">
        <v>0</v>
      </c>
      <c r="M36" s="536">
        <v>0</v>
      </c>
      <c r="N36" s="471">
        <v>8.6234530295572209E-2</v>
      </c>
      <c r="O36" s="473">
        <f t="shared" si="0"/>
        <v>1.3020274177883084</v>
      </c>
    </row>
    <row r="37" spans="2:15">
      <c r="B37" s="470">
        <f t="shared" si="1"/>
        <v>1969</v>
      </c>
      <c r="C37" s="533">
        <v>0</v>
      </c>
      <c r="D37" s="534">
        <v>3.4293716908344173E-2</v>
      </c>
      <c r="E37" s="535">
        <v>0</v>
      </c>
      <c r="F37" s="535">
        <v>2.7119629003380226E-2</v>
      </c>
      <c r="G37" s="535">
        <v>2.2373693927788683E-2</v>
      </c>
      <c r="H37" s="535">
        <v>3.4057208515872839E-3</v>
      </c>
      <c r="I37" s="536">
        <v>0</v>
      </c>
      <c r="J37" s="537">
        <v>0</v>
      </c>
      <c r="K37" s="538">
        <v>0</v>
      </c>
      <c r="L37" s="535">
        <v>0</v>
      </c>
      <c r="M37" s="536">
        <v>0</v>
      </c>
      <c r="N37" s="471">
        <v>8.7192760691100366E-2</v>
      </c>
      <c r="O37" s="473">
        <f t="shared" si="0"/>
        <v>1.3892201784794087</v>
      </c>
    </row>
    <row r="38" spans="2:15">
      <c r="B38" s="470">
        <f t="shared" si="1"/>
        <v>1970</v>
      </c>
      <c r="C38" s="533">
        <v>0</v>
      </c>
      <c r="D38" s="534">
        <v>3.4660376029473881E-2</v>
      </c>
      <c r="E38" s="535">
        <v>0</v>
      </c>
      <c r="F38" s="535">
        <v>2.740958472215866E-2</v>
      </c>
      <c r="G38" s="535">
        <v>2.2612907395780896E-2</v>
      </c>
      <c r="H38" s="535">
        <v>3.4421338953408535E-3</v>
      </c>
      <c r="I38" s="536">
        <v>0</v>
      </c>
      <c r="J38" s="537">
        <v>0</v>
      </c>
      <c r="K38" s="538">
        <v>0</v>
      </c>
      <c r="L38" s="535">
        <v>0</v>
      </c>
      <c r="M38" s="536">
        <v>0</v>
      </c>
      <c r="N38" s="471">
        <v>8.8125002042754294E-2</v>
      </c>
      <c r="O38" s="473">
        <f t="shared" si="0"/>
        <v>1.4773451805221629</v>
      </c>
    </row>
    <row r="39" spans="2:15">
      <c r="B39" s="470">
        <f t="shared" si="1"/>
        <v>1971</v>
      </c>
      <c r="C39" s="533">
        <v>0</v>
      </c>
      <c r="D39" s="534">
        <v>3.5016973619351154E-2</v>
      </c>
      <c r="E39" s="535">
        <v>0</v>
      </c>
      <c r="F39" s="535">
        <v>2.7691583735762755E-2</v>
      </c>
      <c r="G39" s="535">
        <v>2.2845556582004271E-2</v>
      </c>
      <c r="H39" s="535">
        <v>3.4775477249562523E-3</v>
      </c>
      <c r="I39" s="536">
        <v>0</v>
      </c>
      <c r="J39" s="537">
        <v>0</v>
      </c>
      <c r="K39" s="538">
        <v>0</v>
      </c>
      <c r="L39" s="535">
        <v>0</v>
      </c>
      <c r="M39" s="536">
        <v>0</v>
      </c>
      <c r="N39" s="471">
        <v>8.9031661662074435E-2</v>
      </c>
      <c r="O39" s="473">
        <f t="shared" si="0"/>
        <v>1.5663768421842375</v>
      </c>
    </row>
    <row r="40" spans="2:15">
      <c r="B40" s="470">
        <f t="shared" si="1"/>
        <v>1972</v>
      </c>
      <c r="C40" s="533">
        <v>0</v>
      </c>
      <c r="D40" s="534">
        <v>3.5363667756084093E-2</v>
      </c>
      <c r="E40" s="535">
        <v>0</v>
      </c>
      <c r="F40" s="535">
        <v>2.7965751053087198E-2</v>
      </c>
      <c r="G40" s="535">
        <v>2.3071744618796935E-2</v>
      </c>
      <c r="H40" s="535">
        <v>3.5119780392249031E-3</v>
      </c>
      <c r="I40" s="536">
        <v>0</v>
      </c>
      <c r="J40" s="537">
        <v>0</v>
      </c>
      <c r="K40" s="538">
        <v>0</v>
      </c>
      <c r="L40" s="535">
        <v>0</v>
      </c>
      <c r="M40" s="536">
        <v>0</v>
      </c>
      <c r="N40" s="471">
        <v>8.991314146719312E-2</v>
      </c>
      <c r="O40" s="473">
        <f t="shared" si="0"/>
        <v>1.6562899836514307</v>
      </c>
    </row>
    <row r="41" spans="2:15">
      <c r="B41" s="470">
        <f t="shared" si="1"/>
        <v>1973</v>
      </c>
      <c r="C41" s="533">
        <v>0</v>
      </c>
      <c r="D41" s="534">
        <v>3.5700614422349959E-2</v>
      </c>
      <c r="E41" s="535">
        <v>0</v>
      </c>
      <c r="F41" s="535">
        <v>2.8232210025950312E-2</v>
      </c>
      <c r="G41" s="535">
        <v>2.3291573271409009E-2</v>
      </c>
      <c r="H41" s="535">
        <v>3.5454403288402714E-3</v>
      </c>
      <c r="I41" s="536">
        <v>0</v>
      </c>
      <c r="J41" s="537">
        <v>0</v>
      </c>
      <c r="K41" s="538">
        <v>0</v>
      </c>
      <c r="L41" s="535">
        <v>0</v>
      </c>
      <c r="M41" s="536">
        <v>0</v>
      </c>
      <c r="N41" s="471">
        <v>9.0769838048549545E-2</v>
      </c>
      <c r="O41" s="473">
        <f t="shared" si="0"/>
        <v>1.7470598216999802</v>
      </c>
    </row>
    <row r="42" spans="2:15">
      <c r="B42" s="470">
        <f t="shared" si="1"/>
        <v>1974</v>
      </c>
      <c r="C42" s="533">
        <v>0</v>
      </c>
      <c r="D42" s="534">
        <v>3.6027967530941792E-2</v>
      </c>
      <c r="E42" s="535">
        <v>0</v>
      </c>
      <c r="F42" s="535">
        <v>2.8491082369296501E-2</v>
      </c>
      <c r="G42" s="535">
        <v>2.3505142954669614E-2</v>
      </c>
      <c r="H42" s="535">
        <v>3.5779498789349096E-3</v>
      </c>
      <c r="I42" s="536">
        <v>0</v>
      </c>
      <c r="J42" s="537">
        <v>0</v>
      </c>
      <c r="K42" s="538">
        <v>0</v>
      </c>
      <c r="L42" s="535">
        <v>0</v>
      </c>
      <c r="M42" s="536">
        <v>0</v>
      </c>
      <c r="N42" s="471">
        <v>9.1602142733842817E-2</v>
      </c>
      <c r="O42" s="473">
        <f t="shared" si="0"/>
        <v>1.8386619644338231</v>
      </c>
    </row>
    <row r="43" spans="2:15">
      <c r="B43" s="470">
        <f t="shared" si="1"/>
        <v>1975</v>
      </c>
      <c r="C43" s="533">
        <v>0</v>
      </c>
      <c r="D43" s="534">
        <v>3.6345878950018763E-2</v>
      </c>
      <c r="E43" s="535">
        <v>0</v>
      </c>
      <c r="F43" s="535">
        <v>2.8742488181164268E-2</v>
      </c>
      <c r="G43" s="535">
        <v>2.3712552749460519E-2</v>
      </c>
      <c r="H43" s="535">
        <v>3.6095217715880696E-3</v>
      </c>
      <c r="I43" s="536">
        <v>0</v>
      </c>
      <c r="J43" s="537">
        <v>0</v>
      </c>
      <c r="K43" s="538">
        <v>0</v>
      </c>
      <c r="L43" s="535">
        <v>0</v>
      </c>
      <c r="M43" s="536">
        <v>0</v>
      </c>
      <c r="N43" s="471">
        <v>9.2410441652231626E-2</v>
      </c>
      <c r="O43" s="473">
        <f t="shared" si="0"/>
        <v>1.9310724060860547</v>
      </c>
    </row>
    <row r="44" spans="2:15">
      <c r="B44" s="470">
        <f t="shared" si="1"/>
        <v>1976</v>
      </c>
      <c r="C44" s="533">
        <v>0</v>
      </c>
      <c r="D44" s="534">
        <v>3.66544985280636E-2</v>
      </c>
      <c r="E44" s="535">
        <v>0</v>
      </c>
      <c r="F44" s="535">
        <v>2.8986545962422713E-2</v>
      </c>
      <c r="G44" s="535">
        <v>2.391390041899874E-2</v>
      </c>
      <c r="H44" s="535">
        <v>3.6401708883042473E-3</v>
      </c>
      <c r="I44" s="536">
        <v>0</v>
      </c>
      <c r="J44" s="537">
        <v>0</v>
      </c>
      <c r="K44" s="538">
        <v>0</v>
      </c>
      <c r="L44" s="535">
        <v>0</v>
      </c>
      <c r="M44" s="536">
        <v>0</v>
      </c>
      <c r="N44" s="471">
        <v>9.3195115797789302E-2</v>
      </c>
      <c r="O44" s="473">
        <f t="shared" si="0"/>
        <v>2.0242675218838442</v>
      </c>
    </row>
    <row r="45" spans="2:15">
      <c r="B45" s="470">
        <f t="shared" si="1"/>
        <v>1977</v>
      </c>
      <c r="C45" s="533">
        <v>0</v>
      </c>
      <c r="D45" s="534">
        <v>3.6953974118550358E-2</v>
      </c>
      <c r="E45" s="535">
        <v>0</v>
      </c>
      <c r="F45" s="535">
        <v>2.9223372636278905E-2</v>
      </c>
      <c r="G45" s="535">
        <v>2.4109282424930097E-2</v>
      </c>
      <c r="H45" s="535">
        <v>3.6699119124629317E-3</v>
      </c>
      <c r="I45" s="536">
        <v>0</v>
      </c>
      <c r="J45" s="537">
        <v>0</v>
      </c>
      <c r="K45" s="538">
        <v>0</v>
      </c>
      <c r="L45" s="535">
        <v>0</v>
      </c>
      <c r="M45" s="536">
        <v>0</v>
      </c>
      <c r="N45" s="471">
        <v>9.3956541092222304E-2</v>
      </c>
      <c r="O45" s="473">
        <f t="shared" si="0"/>
        <v>2.1182240629760667</v>
      </c>
    </row>
    <row r="46" spans="2:15">
      <c r="B46" s="470">
        <f t="shared" si="1"/>
        <v>1978</v>
      </c>
      <c r="C46" s="533">
        <v>0</v>
      </c>
      <c r="D46" s="534">
        <v>3.7244451604325685E-2</v>
      </c>
      <c r="E46" s="535">
        <v>0</v>
      </c>
      <c r="F46" s="535">
        <v>2.945308356755871E-2</v>
      </c>
      <c r="G46" s="535">
        <v>2.4298793943235933E-2</v>
      </c>
      <c r="H46" s="535">
        <v>3.69875933173993E-3</v>
      </c>
      <c r="I46" s="536">
        <v>0</v>
      </c>
      <c r="J46" s="537">
        <v>0</v>
      </c>
      <c r="K46" s="538">
        <v>0</v>
      </c>
      <c r="L46" s="535">
        <v>0</v>
      </c>
      <c r="M46" s="536">
        <v>0</v>
      </c>
      <c r="N46" s="471">
        <v>9.4695088446860254E-2</v>
      </c>
      <c r="O46" s="473">
        <f t="shared" si="0"/>
        <v>2.2129191514229269</v>
      </c>
    </row>
    <row r="47" spans="2:15">
      <c r="B47" s="470">
        <f t="shared" si="1"/>
        <v>1979</v>
      </c>
      <c r="C47" s="533">
        <v>0</v>
      </c>
      <c r="D47" s="534">
        <v>3.7526074921707106E-2</v>
      </c>
      <c r="E47" s="535">
        <v>0</v>
      </c>
      <c r="F47" s="535">
        <v>2.9675792581763779E-2</v>
      </c>
      <c r="G47" s="535">
        <v>2.4482528879955119E-2</v>
      </c>
      <c r="H47" s="535">
        <v>3.7267274405005674E-3</v>
      </c>
      <c r="I47" s="536">
        <v>0</v>
      </c>
      <c r="J47" s="537">
        <v>0</v>
      </c>
      <c r="K47" s="538">
        <v>0</v>
      </c>
      <c r="L47" s="535">
        <v>0</v>
      </c>
      <c r="M47" s="536">
        <v>0</v>
      </c>
      <c r="N47" s="471">
        <v>9.541112382392658E-2</v>
      </c>
      <c r="O47" s="473">
        <f t="shared" si="0"/>
        <v>2.3083302752468535</v>
      </c>
    </row>
    <row r="48" spans="2:15">
      <c r="B48" s="470">
        <f t="shared" si="1"/>
        <v>1980</v>
      </c>
      <c r="C48" s="533">
        <v>0</v>
      </c>
      <c r="D48" s="534">
        <v>3.7802932020000013E-2</v>
      </c>
      <c r="E48" s="535">
        <v>0</v>
      </c>
      <c r="F48" s="535">
        <v>2.9894732448000012E-2</v>
      </c>
      <c r="G48" s="535">
        <v>2.4663154269600009E-2</v>
      </c>
      <c r="H48" s="535">
        <v>3.754222214400001E-3</v>
      </c>
      <c r="I48" s="536">
        <v>0</v>
      </c>
      <c r="J48" s="537">
        <v>0</v>
      </c>
      <c r="K48" s="538">
        <v>0</v>
      </c>
      <c r="L48" s="535">
        <v>0</v>
      </c>
      <c r="M48" s="536">
        <v>0</v>
      </c>
      <c r="N48" s="471">
        <v>9.6115040952000019E-2</v>
      </c>
      <c r="O48" s="473">
        <f t="shared" si="0"/>
        <v>2.4044453161988537</v>
      </c>
    </row>
    <row r="49" spans="2:15">
      <c r="B49" s="470">
        <f t="shared" si="1"/>
        <v>1981</v>
      </c>
      <c r="C49" s="533">
        <v>0</v>
      </c>
      <c r="D49" s="534">
        <v>0</v>
      </c>
      <c r="E49" s="535">
        <v>0</v>
      </c>
      <c r="F49" s="535">
        <v>0</v>
      </c>
      <c r="G49" s="535">
        <v>0</v>
      </c>
      <c r="H49" s="535">
        <v>0</v>
      </c>
      <c r="I49" s="536">
        <v>0</v>
      </c>
      <c r="J49" s="537">
        <v>0</v>
      </c>
      <c r="K49" s="538">
        <v>0</v>
      </c>
      <c r="L49" s="535">
        <v>0</v>
      </c>
      <c r="M49" s="536">
        <v>0</v>
      </c>
      <c r="N49" s="471">
        <v>0</v>
      </c>
      <c r="O49" s="473">
        <f t="shared" si="0"/>
        <v>2.4044453161988537</v>
      </c>
    </row>
    <row r="50" spans="2:15">
      <c r="B50" s="470">
        <f t="shared" si="1"/>
        <v>1982</v>
      </c>
      <c r="C50" s="533">
        <v>0</v>
      </c>
      <c r="D50" s="534">
        <v>0</v>
      </c>
      <c r="E50" s="535">
        <v>0</v>
      </c>
      <c r="F50" s="535">
        <v>0</v>
      </c>
      <c r="G50" s="535">
        <v>0</v>
      </c>
      <c r="H50" s="535">
        <v>0</v>
      </c>
      <c r="I50" s="536">
        <v>0</v>
      </c>
      <c r="J50" s="537">
        <v>0</v>
      </c>
      <c r="K50" s="538">
        <v>0</v>
      </c>
      <c r="L50" s="535">
        <v>0</v>
      </c>
      <c r="M50" s="536">
        <v>0</v>
      </c>
      <c r="N50" s="471">
        <v>0</v>
      </c>
      <c r="O50" s="473">
        <f t="shared" si="0"/>
        <v>2.4044453161988537</v>
      </c>
    </row>
    <row r="51" spans="2:15">
      <c r="B51" s="470">
        <f t="shared" si="1"/>
        <v>1983</v>
      </c>
      <c r="C51" s="533">
        <v>0</v>
      </c>
      <c r="D51" s="534">
        <v>0</v>
      </c>
      <c r="E51" s="535">
        <v>0</v>
      </c>
      <c r="F51" s="535">
        <v>0</v>
      </c>
      <c r="G51" s="535">
        <v>0</v>
      </c>
      <c r="H51" s="535">
        <v>0</v>
      </c>
      <c r="I51" s="536">
        <v>0</v>
      </c>
      <c r="J51" s="537">
        <v>0</v>
      </c>
      <c r="K51" s="538">
        <v>0</v>
      </c>
      <c r="L51" s="535">
        <v>0</v>
      </c>
      <c r="M51" s="536">
        <v>0</v>
      </c>
      <c r="N51" s="471">
        <v>0</v>
      </c>
      <c r="O51" s="473">
        <f t="shared" si="0"/>
        <v>2.4044453161988537</v>
      </c>
    </row>
    <row r="52" spans="2:15">
      <c r="B52" s="470">
        <f t="shared" si="1"/>
        <v>1984</v>
      </c>
      <c r="C52" s="533">
        <v>0</v>
      </c>
      <c r="D52" s="534">
        <v>0</v>
      </c>
      <c r="E52" s="535">
        <v>0</v>
      </c>
      <c r="F52" s="535">
        <v>0</v>
      </c>
      <c r="G52" s="535">
        <v>0</v>
      </c>
      <c r="H52" s="535">
        <v>0</v>
      </c>
      <c r="I52" s="536">
        <v>0</v>
      </c>
      <c r="J52" s="537">
        <v>0</v>
      </c>
      <c r="K52" s="538">
        <v>0</v>
      </c>
      <c r="L52" s="535">
        <v>0</v>
      </c>
      <c r="M52" s="536">
        <v>0</v>
      </c>
      <c r="N52" s="471">
        <v>0</v>
      </c>
      <c r="O52" s="473">
        <f t="shared" si="0"/>
        <v>2.4044453161988537</v>
      </c>
    </row>
    <row r="53" spans="2:15">
      <c r="B53" s="470">
        <f t="shared" si="1"/>
        <v>1985</v>
      </c>
      <c r="C53" s="533">
        <v>0</v>
      </c>
      <c r="D53" s="534">
        <v>0</v>
      </c>
      <c r="E53" s="535">
        <v>0</v>
      </c>
      <c r="F53" s="535">
        <v>0</v>
      </c>
      <c r="G53" s="535">
        <v>0</v>
      </c>
      <c r="H53" s="535">
        <v>0</v>
      </c>
      <c r="I53" s="536">
        <v>0</v>
      </c>
      <c r="J53" s="537">
        <v>0</v>
      </c>
      <c r="K53" s="538">
        <v>0</v>
      </c>
      <c r="L53" s="535">
        <v>0</v>
      </c>
      <c r="M53" s="536">
        <v>0</v>
      </c>
      <c r="N53" s="471">
        <v>0</v>
      </c>
      <c r="O53" s="473">
        <f t="shared" si="0"/>
        <v>2.4044453161988537</v>
      </c>
    </row>
    <row r="54" spans="2:15">
      <c r="B54" s="470">
        <f t="shared" si="1"/>
        <v>1986</v>
      </c>
      <c r="C54" s="533">
        <v>0</v>
      </c>
      <c r="D54" s="534">
        <v>0</v>
      </c>
      <c r="E54" s="535">
        <v>0</v>
      </c>
      <c r="F54" s="535">
        <v>0</v>
      </c>
      <c r="G54" s="535">
        <v>0</v>
      </c>
      <c r="H54" s="535">
        <v>0</v>
      </c>
      <c r="I54" s="536">
        <v>0</v>
      </c>
      <c r="J54" s="537">
        <v>0</v>
      </c>
      <c r="K54" s="538">
        <v>0</v>
      </c>
      <c r="L54" s="535">
        <v>0</v>
      </c>
      <c r="M54" s="536">
        <v>0</v>
      </c>
      <c r="N54" s="471">
        <v>0</v>
      </c>
      <c r="O54" s="473">
        <f t="shared" si="0"/>
        <v>2.4044453161988537</v>
      </c>
    </row>
    <row r="55" spans="2:15">
      <c r="B55" s="470">
        <f t="shared" si="1"/>
        <v>1987</v>
      </c>
      <c r="C55" s="533">
        <v>0</v>
      </c>
      <c r="D55" s="534">
        <v>0</v>
      </c>
      <c r="E55" s="535">
        <v>0</v>
      </c>
      <c r="F55" s="535">
        <v>0</v>
      </c>
      <c r="G55" s="535">
        <v>0</v>
      </c>
      <c r="H55" s="535">
        <v>0</v>
      </c>
      <c r="I55" s="536">
        <v>0</v>
      </c>
      <c r="J55" s="537">
        <v>0</v>
      </c>
      <c r="K55" s="538">
        <v>0</v>
      </c>
      <c r="L55" s="535">
        <v>0</v>
      </c>
      <c r="M55" s="536">
        <v>0</v>
      </c>
      <c r="N55" s="471">
        <v>0</v>
      </c>
      <c r="O55" s="473">
        <f t="shared" si="0"/>
        <v>2.4044453161988537</v>
      </c>
    </row>
    <row r="56" spans="2:15">
      <c r="B56" s="470">
        <f t="shared" si="1"/>
        <v>1988</v>
      </c>
      <c r="C56" s="533">
        <v>0</v>
      </c>
      <c r="D56" s="534">
        <v>0</v>
      </c>
      <c r="E56" s="535">
        <v>0</v>
      </c>
      <c r="F56" s="535">
        <v>0</v>
      </c>
      <c r="G56" s="535">
        <v>0</v>
      </c>
      <c r="H56" s="535">
        <v>0</v>
      </c>
      <c r="I56" s="536">
        <v>0</v>
      </c>
      <c r="J56" s="537">
        <v>0</v>
      </c>
      <c r="K56" s="538">
        <v>0</v>
      </c>
      <c r="L56" s="535">
        <v>0</v>
      </c>
      <c r="M56" s="536">
        <v>0</v>
      </c>
      <c r="N56" s="471">
        <v>0</v>
      </c>
      <c r="O56" s="473">
        <f t="shared" si="0"/>
        <v>2.4044453161988537</v>
      </c>
    </row>
    <row r="57" spans="2:15">
      <c r="B57" s="470">
        <f t="shared" si="1"/>
        <v>1989</v>
      </c>
      <c r="C57" s="533">
        <v>0</v>
      </c>
      <c r="D57" s="534">
        <v>0</v>
      </c>
      <c r="E57" s="535">
        <v>0</v>
      </c>
      <c r="F57" s="535">
        <v>0</v>
      </c>
      <c r="G57" s="535">
        <v>0</v>
      </c>
      <c r="H57" s="535">
        <v>0</v>
      </c>
      <c r="I57" s="536">
        <v>0</v>
      </c>
      <c r="J57" s="537">
        <v>0</v>
      </c>
      <c r="K57" s="538">
        <v>0</v>
      </c>
      <c r="L57" s="535">
        <v>0</v>
      </c>
      <c r="M57" s="536">
        <v>0</v>
      </c>
      <c r="N57" s="471">
        <v>0</v>
      </c>
      <c r="O57" s="473">
        <f t="shared" si="0"/>
        <v>2.4044453161988537</v>
      </c>
    </row>
    <row r="58" spans="2:15">
      <c r="B58" s="470">
        <f t="shared" si="1"/>
        <v>1990</v>
      </c>
      <c r="C58" s="533">
        <v>0</v>
      </c>
      <c r="D58" s="534">
        <v>0</v>
      </c>
      <c r="E58" s="535">
        <v>0</v>
      </c>
      <c r="F58" s="535">
        <v>0</v>
      </c>
      <c r="G58" s="535">
        <v>0</v>
      </c>
      <c r="H58" s="535">
        <v>0</v>
      </c>
      <c r="I58" s="536">
        <v>0</v>
      </c>
      <c r="J58" s="537">
        <v>0</v>
      </c>
      <c r="K58" s="538">
        <v>0</v>
      </c>
      <c r="L58" s="535">
        <v>0</v>
      </c>
      <c r="M58" s="536">
        <v>0</v>
      </c>
      <c r="N58" s="471">
        <v>0</v>
      </c>
      <c r="O58" s="473">
        <f t="shared" si="0"/>
        <v>2.4044453161988537</v>
      </c>
    </row>
    <row r="59" spans="2:15">
      <c r="B59" s="470">
        <f t="shared" si="1"/>
        <v>1991</v>
      </c>
      <c r="C59" s="533">
        <v>0</v>
      </c>
      <c r="D59" s="534">
        <v>0</v>
      </c>
      <c r="E59" s="535">
        <v>0</v>
      </c>
      <c r="F59" s="535">
        <v>0</v>
      </c>
      <c r="G59" s="535">
        <v>0</v>
      </c>
      <c r="H59" s="535">
        <v>0</v>
      </c>
      <c r="I59" s="536">
        <v>0</v>
      </c>
      <c r="J59" s="537">
        <v>0</v>
      </c>
      <c r="K59" s="538">
        <v>0</v>
      </c>
      <c r="L59" s="535">
        <v>0</v>
      </c>
      <c r="M59" s="536">
        <v>0</v>
      </c>
      <c r="N59" s="471">
        <v>0</v>
      </c>
      <c r="O59" s="473">
        <f t="shared" si="0"/>
        <v>2.4044453161988537</v>
      </c>
    </row>
    <row r="60" spans="2:15">
      <c r="B60" s="470">
        <f t="shared" si="1"/>
        <v>1992</v>
      </c>
      <c r="C60" s="533">
        <v>0</v>
      </c>
      <c r="D60" s="534">
        <v>0</v>
      </c>
      <c r="E60" s="535">
        <v>0</v>
      </c>
      <c r="F60" s="535">
        <v>0</v>
      </c>
      <c r="G60" s="535">
        <v>0</v>
      </c>
      <c r="H60" s="535">
        <v>0</v>
      </c>
      <c r="I60" s="536">
        <v>0</v>
      </c>
      <c r="J60" s="537">
        <v>0</v>
      </c>
      <c r="K60" s="538">
        <v>0</v>
      </c>
      <c r="L60" s="535">
        <v>0</v>
      </c>
      <c r="M60" s="536">
        <v>0</v>
      </c>
      <c r="N60" s="471">
        <v>0</v>
      </c>
      <c r="O60" s="473">
        <f t="shared" si="0"/>
        <v>2.4044453161988537</v>
      </c>
    </row>
    <row r="61" spans="2:15">
      <c r="B61" s="470">
        <f t="shared" si="1"/>
        <v>1993</v>
      </c>
      <c r="C61" s="533">
        <v>0</v>
      </c>
      <c r="D61" s="534">
        <v>0</v>
      </c>
      <c r="E61" s="535">
        <v>0</v>
      </c>
      <c r="F61" s="535">
        <v>0</v>
      </c>
      <c r="G61" s="535">
        <v>0</v>
      </c>
      <c r="H61" s="535">
        <v>0</v>
      </c>
      <c r="I61" s="536">
        <v>0</v>
      </c>
      <c r="J61" s="537">
        <v>0</v>
      </c>
      <c r="K61" s="538">
        <v>0</v>
      </c>
      <c r="L61" s="535">
        <v>0</v>
      </c>
      <c r="M61" s="536">
        <v>0</v>
      </c>
      <c r="N61" s="471">
        <v>0</v>
      </c>
      <c r="O61" s="473">
        <f t="shared" si="0"/>
        <v>2.4044453161988537</v>
      </c>
    </row>
    <row r="62" spans="2:15">
      <c r="B62" s="470">
        <f t="shared" si="1"/>
        <v>1994</v>
      </c>
      <c r="C62" s="533">
        <v>0</v>
      </c>
      <c r="D62" s="534">
        <v>0</v>
      </c>
      <c r="E62" s="535">
        <v>0</v>
      </c>
      <c r="F62" s="535">
        <v>0</v>
      </c>
      <c r="G62" s="535">
        <v>0</v>
      </c>
      <c r="H62" s="535">
        <v>0</v>
      </c>
      <c r="I62" s="536">
        <v>0</v>
      </c>
      <c r="J62" s="537">
        <v>0</v>
      </c>
      <c r="K62" s="538">
        <v>0</v>
      </c>
      <c r="L62" s="535">
        <v>0</v>
      </c>
      <c r="M62" s="536">
        <v>0</v>
      </c>
      <c r="N62" s="471">
        <v>0</v>
      </c>
      <c r="O62" s="473">
        <f t="shared" si="0"/>
        <v>2.4044453161988537</v>
      </c>
    </row>
    <row r="63" spans="2:15">
      <c r="B63" s="470">
        <f t="shared" si="1"/>
        <v>1995</v>
      </c>
      <c r="C63" s="533">
        <v>0</v>
      </c>
      <c r="D63" s="534">
        <v>0</v>
      </c>
      <c r="E63" s="535">
        <v>0</v>
      </c>
      <c r="F63" s="535">
        <v>0</v>
      </c>
      <c r="G63" s="535">
        <v>0</v>
      </c>
      <c r="H63" s="535">
        <v>0</v>
      </c>
      <c r="I63" s="536">
        <v>0</v>
      </c>
      <c r="J63" s="537">
        <v>0</v>
      </c>
      <c r="K63" s="538">
        <v>0</v>
      </c>
      <c r="L63" s="535">
        <v>0</v>
      </c>
      <c r="M63" s="536">
        <v>0</v>
      </c>
      <c r="N63" s="471">
        <v>0</v>
      </c>
      <c r="O63" s="473">
        <f t="shared" si="0"/>
        <v>2.4044453161988537</v>
      </c>
    </row>
    <row r="64" spans="2:15">
      <c r="B64" s="470">
        <f t="shared" si="1"/>
        <v>1996</v>
      </c>
      <c r="C64" s="533">
        <v>0</v>
      </c>
      <c r="D64" s="534">
        <v>0</v>
      </c>
      <c r="E64" s="535">
        <v>0</v>
      </c>
      <c r="F64" s="535">
        <v>0</v>
      </c>
      <c r="G64" s="535">
        <v>0</v>
      </c>
      <c r="H64" s="535">
        <v>0</v>
      </c>
      <c r="I64" s="536">
        <v>0</v>
      </c>
      <c r="J64" s="537">
        <v>0</v>
      </c>
      <c r="K64" s="538">
        <v>0</v>
      </c>
      <c r="L64" s="535">
        <v>0</v>
      </c>
      <c r="M64" s="536">
        <v>0</v>
      </c>
      <c r="N64" s="471">
        <v>0</v>
      </c>
      <c r="O64" s="473">
        <f t="shared" si="0"/>
        <v>2.4044453161988537</v>
      </c>
    </row>
    <row r="65" spans="2:15">
      <c r="B65" s="470">
        <f t="shared" si="1"/>
        <v>1997</v>
      </c>
      <c r="C65" s="533">
        <v>0</v>
      </c>
      <c r="D65" s="534">
        <v>0</v>
      </c>
      <c r="E65" s="535">
        <v>0</v>
      </c>
      <c r="F65" s="535">
        <v>0</v>
      </c>
      <c r="G65" s="535">
        <v>0</v>
      </c>
      <c r="H65" s="535">
        <v>0</v>
      </c>
      <c r="I65" s="536">
        <v>0</v>
      </c>
      <c r="J65" s="537">
        <v>0</v>
      </c>
      <c r="K65" s="538">
        <v>0</v>
      </c>
      <c r="L65" s="535">
        <v>0</v>
      </c>
      <c r="M65" s="536">
        <v>0</v>
      </c>
      <c r="N65" s="471">
        <v>0</v>
      </c>
      <c r="O65" s="473">
        <f t="shared" si="0"/>
        <v>2.4044453161988537</v>
      </c>
    </row>
    <row r="66" spans="2:15">
      <c r="B66" s="470">
        <f t="shared" si="1"/>
        <v>1998</v>
      </c>
      <c r="C66" s="533">
        <v>0</v>
      </c>
      <c r="D66" s="534">
        <v>0</v>
      </c>
      <c r="E66" s="535">
        <v>0</v>
      </c>
      <c r="F66" s="535">
        <v>0</v>
      </c>
      <c r="G66" s="535">
        <v>0</v>
      </c>
      <c r="H66" s="535">
        <v>0</v>
      </c>
      <c r="I66" s="536">
        <v>0</v>
      </c>
      <c r="J66" s="537">
        <v>0</v>
      </c>
      <c r="K66" s="538">
        <v>0</v>
      </c>
      <c r="L66" s="535">
        <v>0</v>
      </c>
      <c r="M66" s="536">
        <v>0</v>
      </c>
      <c r="N66" s="471">
        <v>0</v>
      </c>
      <c r="O66" s="473">
        <f t="shared" si="0"/>
        <v>2.4044453161988537</v>
      </c>
    </row>
    <row r="67" spans="2:15">
      <c r="B67" s="470">
        <f t="shared" si="1"/>
        <v>1999</v>
      </c>
      <c r="C67" s="533">
        <v>0</v>
      </c>
      <c r="D67" s="534">
        <v>0</v>
      </c>
      <c r="E67" s="535">
        <v>0</v>
      </c>
      <c r="F67" s="535">
        <v>0</v>
      </c>
      <c r="G67" s="535">
        <v>0</v>
      </c>
      <c r="H67" s="535">
        <v>0</v>
      </c>
      <c r="I67" s="536">
        <v>0</v>
      </c>
      <c r="J67" s="537">
        <v>0</v>
      </c>
      <c r="K67" s="538">
        <v>0</v>
      </c>
      <c r="L67" s="535">
        <v>0</v>
      </c>
      <c r="M67" s="536">
        <v>0</v>
      </c>
      <c r="N67" s="471">
        <v>0</v>
      </c>
      <c r="O67" s="473">
        <f t="shared" si="0"/>
        <v>2.4044453161988537</v>
      </c>
    </row>
    <row r="68" spans="2:15">
      <c r="B68" s="470">
        <f t="shared" si="1"/>
        <v>2000</v>
      </c>
      <c r="C68" s="533">
        <v>0</v>
      </c>
      <c r="D68" s="534">
        <v>0</v>
      </c>
      <c r="E68" s="535">
        <v>0</v>
      </c>
      <c r="F68" s="535">
        <v>0</v>
      </c>
      <c r="G68" s="535">
        <v>0</v>
      </c>
      <c r="H68" s="535">
        <v>0</v>
      </c>
      <c r="I68" s="536">
        <v>0</v>
      </c>
      <c r="J68" s="537">
        <v>0</v>
      </c>
      <c r="K68" s="538">
        <v>0</v>
      </c>
      <c r="L68" s="535">
        <v>0</v>
      </c>
      <c r="M68" s="536">
        <v>0</v>
      </c>
      <c r="N68" s="471">
        <v>0</v>
      </c>
      <c r="O68" s="473">
        <f t="shared" si="0"/>
        <v>2.4044453161988537</v>
      </c>
    </row>
    <row r="69" spans="2:15">
      <c r="B69" s="470">
        <f t="shared" si="1"/>
        <v>2001</v>
      </c>
      <c r="C69" s="533">
        <v>0</v>
      </c>
      <c r="D69" s="534">
        <v>0</v>
      </c>
      <c r="E69" s="535">
        <v>0</v>
      </c>
      <c r="F69" s="535">
        <v>0</v>
      </c>
      <c r="G69" s="535">
        <v>0</v>
      </c>
      <c r="H69" s="535">
        <v>0</v>
      </c>
      <c r="I69" s="536">
        <v>0</v>
      </c>
      <c r="J69" s="537">
        <v>0</v>
      </c>
      <c r="K69" s="538">
        <v>0</v>
      </c>
      <c r="L69" s="535">
        <v>0</v>
      </c>
      <c r="M69" s="536">
        <v>0</v>
      </c>
      <c r="N69" s="471">
        <v>0</v>
      </c>
      <c r="O69" s="473">
        <f t="shared" si="0"/>
        <v>2.4044453161988537</v>
      </c>
    </row>
    <row r="70" spans="2:15">
      <c r="B70" s="470">
        <f t="shared" si="1"/>
        <v>2002</v>
      </c>
      <c r="C70" s="533">
        <v>0</v>
      </c>
      <c r="D70" s="534">
        <v>0</v>
      </c>
      <c r="E70" s="535">
        <v>0</v>
      </c>
      <c r="F70" s="535">
        <v>0</v>
      </c>
      <c r="G70" s="535">
        <v>0</v>
      </c>
      <c r="H70" s="535">
        <v>0</v>
      </c>
      <c r="I70" s="536">
        <v>0</v>
      </c>
      <c r="J70" s="537">
        <v>0</v>
      </c>
      <c r="K70" s="538">
        <v>0</v>
      </c>
      <c r="L70" s="535">
        <v>0</v>
      </c>
      <c r="M70" s="536">
        <v>0</v>
      </c>
      <c r="N70" s="471">
        <v>0</v>
      </c>
      <c r="O70" s="473">
        <f t="shared" si="0"/>
        <v>2.4044453161988537</v>
      </c>
    </row>
    <row r="71" spans="2:15">
      <c r="B71" s="470">
        <f t="shared" si="1"/>
        <v>2003</v>
      </c>
      <c r="C71" s="533">
        <v>0</v>
      </c>
      <c r="D71" s="534">
        <v>0</v>
      </c>
      <c r="E71" s="535">
        <v>0</v>
      </c>
      <c r="F71" s="535">
        <v>0</v>
      </c>
      <c r="G71" s="535">
        <v>0</v>
      </c>
      <c r="H71" s="535">
        <v>0</v>
      </c>
      <c r="I71" s="536">
        <v>0</v>
      </c>
      <c r="J71" s="537">
        <v>0</v>
      </c>
      <c r="K71" s="538">
        <v>0</v>
      </c>
      <c r="L71" s="535">
        <v>0</v>
      </c>
      <c r="M71" s="536">
        <v>0</v>
      </c>
      <c r="N71" s="471">
        <v>0</v>
      </c>
      <c r="O71" s="473">
        <f t="shared" si="0"/>
        <v>2.4044453161988537</v>
      </c>
    </row>
    <row r="72" spans="2:15">
      <c r="B72" s="470">
        <f t="shared" si="1"/>
        <v>2004</v>
      </c>
      <c r="C72" s="533">
        <v>0</v>
      </c>
      <c r="D72" s="534">
        <v>0</v>
      </c>
      <c r="E72" s="535">
        <v>0</v>
      </c>
      <c r="F72" s="535">
        <v>0</v>
      </c>
      <c r="G72" s="535">
        <v>0</v>
      </c>
      <c r="H72" s="535">
        <v>0</v>
      </c>
      <c r="I72" s="536">
        <v>0</v>
      </c>
      <c r="J72" s="537">
        <v>0</v>
      </c>
      <c r="K72" s="538">
        <v>0</v>
      </c>
      <c r="L72" s="535">
        <v>0</v>
      </c>
      <c r="M72" s="536">
        <v>0</v>
      </c>
      <c r="N72" s="471">
        <v>0</v>
      </c>
      <c r="O72" s="473">
        <f t="shared" si="0"/>
        <v>2.4044453161988537</v>
      </c>
    </row>
    <row r="73" spans="2:15">
      <c r="B73" s="470">
        <f t="shared" si="1"/>
        <v>2005</v>
      </c>
      <c r="C73" s="533">
        <v>0</v>
      </c>
      <c r="D73" s="534">
        <v>0</v>
      </c>
      <c r="E73" s="535">
        <v>0</v>
      </c>
      <c r="F73" s="535">
        <v>0</v>
      </c>
      <c r="G73" s="535">
        <v>0</v>
      </c>
      <c r="H73" s="535">
        <v>0</v>
      </c>
      <c r="I73" s="536">
        <v>0</v>
      </c>
      <c r="J73" s="537">
        <v>0</v>
      </c>
      <c r="K73" s="538">
        <v>0</v>
      </c>
      <c r="L73" s="535">
        <v>0</v>
      </c>
      <c r="M73" s="536">
        <v>0</v>
      </c>
      <c r="N73" s="471">
        <v>0</v>
      </c>
      <c r="O73" s="473">
        <f t="shared" si="0"/>
        <v>2.4044453161988537</v>
      </c>
    </row>
    <row r="74" spans="2:15">
      <c r="B74" s="470">
        <f t="shared" si="1"/>
        <v>2006</v>
      </c>
      <c r="C74" s="533">
        <v>0</v>
      </c>
      <c r="D74" s="534">
        <v>0</v>
      </c>
      <c r="E74" s="535">
        <v>0</v>
      </c>
      <c r="F74" s="535">
        <v>0</v>
      </c>
      <c r="G74" s="535">
        <v>0</v>
      </c>
      <c r="H74" s="535">
        <v>0</v>
      </c>
      <c r="I74" s="536">
        <v>0</v>
      </c>
      <c r="J74" s="537">
        <v>0</v>
      </c>
      <c r="K74" s="538">
        <v>0</v>
      </c>
      <c r="L74" s="535">
        <v>0</v>
      </c>
      <c r="M74" s="536">
        <v>0</v>
      </c>
      <c r="N74" s="471">
        <v>0</v>
      </c>
      <c r="O74" s="473">
        <f t="shared" si="0"/>
        <v>2.4044453161988537</v>
      </c>
    </row>
    <row r="75" spans="2:15">
      <c r="B75" s="470">
        <f t="shared" si="1"/>
        <v>2007</v>
      </c>
      <c r="C75" s="533">
        <v>0</v>
      </c>
      <c r="D75" s="534">
        <v>0</v>
      </c>
      <c r="E75" s="535">
        <v>0</v>
      </c>
      <c r="F75" s="535">
        <v>0</v>
      </c>
      <c r="G75" s="535">
        <v>0</v>
      </c>
      <c r="H75" s="535">
        <v>0</v>
      </c>
      <c r="I75" s="536">
        <v>0</v>
      </c>
      <c r="J75" s="537">
        <v>0</v>
      </c>
      <c r="K75" s="538">
        <v>0</v>
      </c>
      <c r="L75" s="535">
        <v>0</v>
      </c>
      <c r="M75" s="536">
        <v>0</v>
      </c>
      <c r="N75" s="471">
        <v>0</v>
      </c>
      <c r="O75" s="473">
        <f t="shared" si="0"/>
        <v>2.4044453161988537</v>
      </c>
    </row>
    <row r="76" spans="2:15">
      <c r="B76" s="470">
        <f t="shared" si="1"/>
        <v>2008</v>
      </c>
      <c r="C76" s="533">
        <v>0</v>
      </c>
      <c r="D76" s="534">
        <v>0</v>
      </c>
      <c r="E76" s="535">
        <v>0</v>
      </c>
      <c r="F76" s="535">
        <v>0</v>
      </c>
      <c r="G76" s="535">
        <v>0</v>
      </c>
      <c r="H76" s="535">
        <v>0</v>
      </c>
      <c r="I76" s="536">
        <v>0</v>
      </c>
      <c r="J76" s="537">
        <v>0</v>
      </c>
      <c r="K76" s="538">
        <v>0</v>
      </c>
      <c r="L76" s="535">
        <v>0</v>
      </c>
      <c r="M76" s="536">
        <v>0</v>
      </c>
      <c r="N76" s="471">
        <v>0</v>
      </c>
      <c r="O76" s="473">
        <f t="shared" si="0"/>
        <v>2.4044453161988537</v>
      </c>
    </row>
    <row r="77" spans="2:15">
      <c r="B77" s="470">
        <f t="shared" si="1"/>
        <v>2009</v>
      </c>
      <c r="C77" s="533">
        <v>0</v>
      </c>
      <c r="D77" s="534">
        <v>0</v>
      </c>
      <c r="E77" s="535">
        <v>0</v>
      </c>
      <c r="F77" s="535">
        <v>0</v>
      </c>
      <c r="G77" s="535">
        <v>0</v>
      </c>
      <c r="H77" s="535">
        <v>0</v>
      </c>
      <c r="I77" s="536">
        <v>0</v>
      </c>
      <c r="J77" s="537">
        <v>0</v>
      </c>
      <c r="K77" s="538">
        <v>0</v>
      </c>
      <c r="L77" s="535">
        <v>0</v>
      </c>
      <c r="M77" s="536">
        <v>0</v>
      </c>
      <c r="N77" s="471">
        <v>0</v>
      </c>
      <c r="O77" s="473">
        <f t="shared" si="0"/>
        <v>2.4044453161988537</v>
      </c>
    </row>
    <row r="78" spans="2:15">
      <c r="B78" s="470">
        <f t="shared" si="1"/>
        <v>2010</v>
      </c>
      <c r="C78" s="533">
        <v>0</v>
      </c>
      <c r="D78" s="534">
        <v>0</v>
      </c>
      <c r="E78" s="535">
        <v>0</v>
      </c>
      <c r="F78" s="535">
        <v>0</v>
      </c>
      <c r="G78" s="535">
        <v>0</v>
      </c>
      <c r="H78" s="535">
        <v>0</v>
      </c>
      <c r="I78" s="536">
        <v>0</v>
      </c>
      <c r="J78" s="537">
        <v>0</v>
      </c>
      <c r="K78" s="538">
        <v>0</v>
      </c>
      <c r="L78" s="535">
        <v>0</v>
      </c>
      <c r="M78" s="536">
        <v>0</v>
      </c>
      <c r="N78" s="471">
        <v>0</v>
      </c>
      <c r="O78" s="473">
        <f t="shared" si="0"/>
        <v>2.4044453161988537</v>
      </c>
    </row>
    <row r="79" spans="2:15">
      <c r="B79" s="470">
        <f t="shared" si="1"/>
        <v>2011</v>
      </c>
      <c r="C79" s="533">
        <v>0</v>
      </c>
      <c r="D79" s="534">
        <v>0</v>
      </c>
      <c r="E79" s="535">
        <v>0</v>
      </c>
      <c r="F79" s="535">
        <v>0</v>
      </c>
      <c r="G79" s="535">
        <v>0</v>
      </c>
      <c r="H79" s="535">
        <v>0</v>
      </c>
      <c r="I79" s="536">
        <v>0</v>
      </c>
      <c r="J79" s="537">
        <v>0</v>
      </c>
      <c r="K79" s="538">
        <v>0</v>
      </c>
      <c r="L79" s="535">
        <v>0</v>
      </c>
      <c r="M79" s="536">
        <v>0</v>
      </c>
      <c r="N79" s="471">
        <v>0</v>
      </c>
      <c r="O79" s="473">
        <f t="shared" si="0"/>
        <v>2.4044453161988537</v>
      </c>
    </row>
    <row r="80" spans="2:15">
      <c r="B80" s="470">
        <f t="shared" si="1"/>
        <v>2012</v>
      </c>
      <c r="C80" s="533">
        <v>0</v>
      </c>
      <c r="D80" s="534">
        <v>0</v>
      </c>
      <c r="E80" s="535">
        <v>0</v>
      </c>
      <c r="F80" s="535">
        <v>0</v>
      </c>
      <c r="G80" s="535">
        <v>0</v>
      </c>
      <c r="H80" s="535">
        <v>0</v>
      </c>
      <c r="I80" s="536">
        <v>0</v>
      </c>
      <c r="J80" s="537">
        <v>0</v>
      </c>
      <c r="K80" s="538">
        <v>0</v>
      </c>
      <c r="L80" s="535">
        <v>0</v>
      </c>
      <c r="M80" s="536">
        <v>0</v>
      </c>
      <c r="N80" s="471">
        <v>0</v>
      </c>
      <c r="O80" s="473">
        <f t="shared" si="0"/>
        <v>2.4044453161988537</v>
      </c>
    </row>
    <row r="81" spans="2:15">
      <c r="B81" s="470">
        <f t="shared" si="1"/>
        <v>2013</v>
      </c>
      <c r="C81" s="533">
        <v>0</v>
      </c>
      <c r="D81" s="534">
        <v>0</v>
      </c>
      <c r="E81" s="535">
        <v>0</v>
      </c>
      <c r="F81" s="535">
        <v>0</v>
      </c>
      <c r="G81" s="535">
        <v>0</v>
      </c>
      <c r="H81" s="535">
        <v>0</v>
      </c>
      <c r="I81" s="536">
        <v>0</v>
      </c>
      <c r="J81" s="537">
        <v>0</v>
      </c>
      <c r="K81" s="538">
        <v>0</v>
      </c>
      <c r="L81" s="535">
        <v>0</v>
      </c>
      <c r="M81" s="536">
        <v>0</v>
      </c>
      <c r="N81" s="471">
        <v>0</v>
      </c>
      <c r="O81" s="473">
        <f t="shared" si="0"/>
        <v>2.4044453161988537</v>
      </c>
    </row>
    <row r="82" spans="2:15">
      <c r="B82" s="470">
        <f t="shared" si="1"/>
        <v>2014</v>
      </c>
      <c r="C82" s="533">
        <v>0</v>
      </c>
      <c r="D82" s="534">
        <v>0</v>
      </c>
      <c r="E82" s="535">
        <v>0</v>
      </c>
      <c r="F82" s="535">
        <v>0</v>
      </c>
      <c r="G82" s="535">
        <v>0</v>
      </c>
      <c r="H82" s="535">
        <v>0</v>
      </c>
      <c r="I82" s="536">
        <v>0</v>
      </c>
      <c r="J82" s="537">
        <v>0</v>
      </c>
      <c r="K82" s="538">
        <v>0</v>
      </c>
      <c r="L82" s="535">
        <v>0</v>
      </c>
      <c r="M82" s="536">
        <v>0</v>
      </c>
      <c r="N82" s="471">
        <v>0</v>
      </c>
      <c r="O82" s="473">
        <f t="shared" ref="O82:O98" si="2">O81+N82</f>
        <v>2.4044453161988537</v>
      </c>
    </row>
    <row r="83" spans="2:15">
      <c r="B83" s="470">
        <f t="shared" si="1"/>
        <v>2015</v>
      </c>
      <c r="C83" s="533">
        <v>0</v>
      </c>
      <c r="D83" s="534">
        <v>0</v>
      </c>
      <c r="E83" s="535">
        <v>0</v>
      </c>
      <c r="F83" s="535">
        <v>0</v>
      </c>
      <c r="G83" s="535">
        <v>0</v>
      </c>
      <c r="H83" s="535">
        <v>0</v>
      </c>
      <c r="I83" s="536">
        <v>0</v>
      </c>
      <c r="J83" s="537">
        <v>0</v>
      </c>
      <c r="K83" s="538">
        <v>0</v>
      </c>
      <c r="L83" s="535">
        <v>0</v>
      </c>
      <c r="M83" s="536">
        <v>0</v>
      </c>
      <c r="N83" s="471">
        <v>0</v>
      </c>
      <c r="O83" s="473">
        <f t="shared" si="2"/>
        <v>2.4044453161988537</v>
      </c>
    </row>
    <row r="84" spans="2:15">
      <c r="B84" s="470">
        <f t="shared" ref="B84:B98" si="3">B83+1</f>
        <v>2016</v>
      </c>
      <c r="C84" s="533">
        <v>0</v>
      </c>
      <c r="D84" s="534">
        <v>0</v>
      </c>
      <c r="E84" s="535">
        <v>0</v>
      </c>
      <c r="F84" s="535">
        <v>0</v>
      </c>
      <c r="G84" s="535">
        <v>0</v>
      </c>
      <c r="H84" s="535">
        <v>0</v>
      </c>
      <c r="I84" s="536">
        <v>0</v>
      </c>
      <c r="J84" s="537">
        <v>0</v>
      </c>
      <c r="K84" s="538">
        <v>0</v>
      </c>
      <c r="L84" s="535">
        <v>0</v>
      </c>
      <c r="M84" s="536">
        <v>0</v>
      </c>
      <c r="N84" s="471">
        <v>0</v>
      </c>
      <c r="O84" s="473">
        <f t="shared" si="2"/>
        <v>2.4044453161988537</v>
      </c>
    </row>
    <row r="85" spans="2:15">
      <c r="B85" s="470">
        <f t="shared" si="3"/>
        <v>2017</v>
      </c>
      <c r="C85" s="533">
        <v>0</v>
      </c>
      <c r="D85" s="534">
        <v>0</v>
      </c>
      <c r="E85" s="535">
        <v>0</v>
      </c>
      <c r="F85" s="535">
        <v>0</v>
      </c>
      <c r="G85" s="535">
        <v>0</v>
      </c>
      <c r="H85" s="535">
        <v>0</v>
      </c>
      <c r="I85" s="536">
        <v>0</v>
      </c>
      <c r="J85" s="537">
        <v>0</v>
      </c>
      <c r="K85" s="538">
        <v>0</v>
      </c>
      <c r="L85" s="535">
        <v>0</v>
      </c>
      <c r="M85" s="536">
        <v>0</v>
      </c>
      <c r="N85" s="471">
        <v>0</v>
      </c>
      <c r="O85" s="473">
        <f t="shared" si="2"/>
        <v>2.4044453161988537</v>
      </c>
    </row>
    <row r="86" spans="2:15">
      <c r="B86" s="470">
        <f t="shared" si="3"/>
        <v>2018</v>
      </c>
      <c r="C86" s="533">
        <v>0</v>
      </c>
      <c r="D86" s="534">
        <v>0</v>
      </c>
      <c r="E86" s="535">
        <v>0</v>
      </c>
      <c r="F86" s="535">
        <v>0</v>
      </c>
      <c r="G86" s="535">
        <v>0</v>
      </c>
      <c r="H86" s="535">
        <v>0</v>
      </c>
      <c r="I86" s="536">
        <v>0</v>
      </c>
      <c r="J86" s="537">
        <v>0</v>
      </c>
      <c r="K86" s="538">
        <v>0</v>
      </c>
      <c r="L86" s="535">
        <v>0</v>
      </c>
      <c r="M86" s="536">
        <v>0</v>
      </c>
      <c r="N86" s="471">
        <v>0</v>
      </c>
      <c r="O86" s="473">
        <f t="shared" si="2"/>
        <v>2.4044453161988537</v>
      </c>
    </row>
    <row r="87" spans="2:15">
      <c r="B87" s="470">
        <f t="shared" si="3"/>
        <v>2019</v>
      </c>
      <c r="C87" s="533">
        <v>0</v>
      </c>
      <c r="D87" s="534">
        <v>0</v>
      </c>
      <c r="E87" s="535">
        <v>0</v>
      </c>
      <c r="F87" s="535">
        <v>0</v>
      </c>
      <c r="G87" s="535">
        <v>0</v>
      </c>
      <c r="H87" s="535">
        <v>0</v>
      </c>
      <c r="I87" s="536">
        <v>0</v>
      </c>
      <c r="J87" s="537">
        <v>0</v>
      </c>
      <c r="K87" s="538">
        <v>0</v>
      </c>
      <c r="L87" s="535">
        <v>0</v>
      </c>
      <c r="M87" s="536">
        <v>0</v>
      </c>
      <c r="N87" s="471">
        <v>0</v>
      </c>
      <c r="O87" s="473">
        <f t="shared" si="2"/>
        <v>2.4044453161988537</v>
      </c>
    </row>
    <row r="88" spans="2:15">
      <c r="B88" s="470">
        <f t="shared" si="3"/>
        <v>2020</v>
      </c>
      <c r="C88" s="533">
        <v>0</v>
      </c>
      <c r="D88" s="534">
        <v>0</v>
      </c>
      <c r="E88" s="535">
        <v>0</v>
      </c>
      <c r="F88" s="535">
        <v>0</v>
      </c>
      <c r="G88" s="535">
        <v>0</v>
      </c>
      <c r="H88" s="535">
        <v>0</v>
      </c>
      <c r="I88" s="536">
        <v>0</v>
      </c>
      <c r="J88" s="537">
        <v>0</v>
      </c>
      <c r="K88" s="538">
        <v>0</v>
      </c>
      <c r="L88" s="535">
        <v>0</v>
      </c>
      <c r="M88" s="536">
        <v>0</v>
      </c>
      <c r="N88" s="471">
        <v>0</v>
      </c>
      <c r="O88" s="473">
        <f t="shared" si="2"/>
        <v>2.4044453161988537</v>
      </c>
    </row>
    <row r="89" spans="2:15">
      <c r="B89" s="470">
        <f t="shared" si="3"/>
        <v>2021</v>
      </c>
      <c r="C89" s="533">
        <v>0</v>
      </c>
      <c r="D89" s="534">
        <v>0</v>
      </c>
      <c r="E89" s="535">
        <v>0</v>
      </c>
      <c r="F89" s="535">
        <v>0</v>
      </c>
      <c r="G89" s="535">
        <v>0</v>
      </c>
      <c r="H89" s="535">
        <v>0</v>
      </c>
      <c r="I89" s="536">
        <v>0</v>
      </c>
      <c r="J89" s="537">
        <v>0</v>
      </c>
      <c r="K89" s="538">
        <v>0</v>
      </c>
      <c r="L89" s="535">
        <v>0</v>
      </c>
      <c r="M89" s="536">
        <v>0</v>
      </c>
      <c r="N89" s="471">
        <v>0</v>
      </c>
      <c r="O89" s="473">
        <f t="shared" si="2"/>
        <v>2.4044453161988537</v>
      </c>
    </row>
    <row r="90" spans="2:15">
      <c r="B90" s="470">
        <f t="shared" si="3"/>
        <v>2022</v>
      </c>
      <c r="C90" s="533">
        <v>0</v>
      </c>
      <c r="D90" s="534">
        <v>0</v>
      </c>
      <c r="E90" s="535">
        <v>0</v>
      </c>
      <c r="F90" s="535">
        <v>0</v>
      </c>
      <c r="G90" s="535">
        <v>0</v>
      </c>
      <c r="H90" s="535">
        <v>0</v>
      </c>
      <c r="I90" s="536">
        <v>0</v>
      </c>
      <c r="J90" s="537">
        <v>0</v>
      </c>
      <c r="K90" s="538">
        <v>0</v>
      </c>
      <c r="L90" s="535">
        <v>0</v>
      </c>
      <c r="M90" s="536">
        <v>0</v>
      </c>
      <c r="N90" s="471">
        <v>0</v>
      </c>
      <c r="O90" s="473">
        <f t="shared" si="2"/>
        <v>2.4044453161988537</v>
      </c>
    </row>
    <row r="91" spans="2:15">
      <c r="B91" s="470">
        <f t="shared" si="3"/>
        <v>2023</v>
      </c>
      <c r="C91" s="533">
        <v>0</v>
      </c>
      <c r="D91" s="534">
        <v>0</v>
      </c>
      <c r="E91" s="535">
        <v>0</v>
      </c>
      <c r="F91" s="535">
        <v>0</v>
      </c>
      <c r="G91" s="535">
        <v>0</v>
      </c>
      <c r="H91" s="535">
        <v>0</v>
      </c>
      <c r="I91" s="536">
        <v>0</v>
      </c>
      <c r="J91" s="537">
        <v>0</v>
      </c>
      <c r="K91" s="538">
        <v>0</v>
      </c>
      <c r="L91" s="535">
        <v>0</v>
      </c>
      <c r="M91" s="536">
        <v>0</v>
      </c>
      <c r="N91" s="471">
        <v>0</v>
      </c>
      <c r="O91" s="473">
        <f t="shared" si="2"/>
        <v>2.4044453161988537</v>
      </c>
    </row>
    <row r="92" spans="2:15">
      <c r="B92" s="470">
        <f t="shared" si="3"/>
        <v>2024</v>
      </c>
      <c r="C92" s="533">
        <v>0</v>
      </c>
      <c r="D92" s="534">
        <v>0</v>
      </c>
      <c r="E92" s="535">
        <v>0</v>
      </c>
      <c r="F92" s="535">
        <v>0</v>
      </c>
      <c r="G92" s="535">
        <v>0</v>
      </c>
      <c r="H92" s="535">
        <v>0</v>
      </c>
      <c r="I92" s="536">
        <v>0</v>
      </c>
      <c r="J92" s="537">
        <v>0</v>
      </c>
      <c r="K92" s="538">
        <v>0</v>
      </c>
      <c r="L92" s="535">
        <v>0</v>
      </c>
      <c r="M92" s="536">
        <v>0</v>
      </c>
      <c r="N92" s="471">
        <v>0</v>
      </c>
      <c r="O92" s="473">
        <f t="shared" si="2"/>
        <v>2.4044453161988537</v>
      </c>
    </row>
    <row r="93" spans="2:15">
      <c r="B93" s="470">
        <f t="shared" si="3"/>
        <v>2025</v>
      </c>
      <c r="C93" s="533">
        <v>0</v>
      </c>
      <c r="D93" s="534">
        <v>0</v>
      </c>
      <c r="E93" s="535">
        <v>0</v>
      </c>
      <c r="F93" s="535">
        <v>0</v>
      </c>
      <c r="G93" s="535">
        <v>0</v>
      </c>
      <c r="H93" s="535">
        <v>0</v>
      </c>
      <c r="I93" s="536">
        <v>0</v>
      </c>
      <c r="J93" s="537">
        <v>0</v>
      </c>
      <c r="K93" s="538">
        <v>0</v>
      </c>
      <c r="L93" s="535">
        <v>0</v>
      </c>
      <c r="M93" s="536">
        <v>0</v>
      </c>
      <c r="N93" s="471">
        <v>0</v>
      </c>
      <c r="O93" s="473">
        <f t="shared" si="2"/>
        <v>2.4044453161988537</v>
      </c>
    </row>
    <row r="94" spans="2:15">
      <c r="B94" s="470">
        <f t="shared" si="3"/>
        <v>2026</v>
      </c>
      <c r="C94" s="533">
        <v>0</v>
      </c>
      <c r="D94" s="534">
        <v>0</v>
      </c>
      <c r="E94" s="535">
        <v>0</v>
      </c>
      <c r="F94" s="535">
        <v>0</v>
      </c>
      <c r="G94" s="535">
        <v>0</v>
      </c>
      <c r="H94" s="535">
        <v>0</v>
      </c>
      <c r="I94" s="536">
        <v>0</v>
      </c>
      <c r="J94" s="537">
        <v>0</v>
      </c>
      <c r="K94" s="538">
        <v>0</v>
      </c>
      <c r="L94" s="535">
        <v>0</v>
      </c>
      <c r="M94" s="536">
        <v>0</v>
      </c>
      <c r="N94" s="471">
        <v>0</v>
      </c>
      <c r="O94" s="473">
        <f t="shared" si="2"/>
        <v>2.4044453161988537</v>
      </c>
    </row>
    <row r="95" spans="2:15">
      <c r="B95" s="470">
        <f t="shared" si="3"/>
        <v>2027</v>
      </c>
      <c r="C95" s="533">
        <v>0</v>
      </c>
      <c r="D95" s="534">
        <v>0</v>
      </c>
      <c r="E95" s="535">
        <v>0</v>
      </c>
      <c r="F95" s="535">
        <v>0</v>
      </c>
      <c r="G95" s="535">
        <v>0</v>
      </c>
      <c r="H95" s="535">
        <v>0</v>
      </c>
      <c r="I95" s="536">
        <v>0</v>
      </c>
      <c r="J95" s="537">
        <v>0</v>
      </c>
      <c r="K95" s="538">
        <v>0</v>
      </c>
      <c r="L95" s="535">
        <v>0</v>
      </c>
      <c r="M95" s="536">
        <v>0</v>
      </c>
      <c r="N95" s="471">
        <v>0</v>
      </c>
      <c r="O95" s="473">
        <f t="shared" si="2"/>
        <v>2.4044453161988537</v>
      </c>
    </row>
    <row r="96" spans="2:15">
      <c r="B96" s="470">
        <f t="shared" si="3"/>
        <v>2028</v>
      </c>
      <c r="C96" s="533">
        <v>0</v>
      </c>
      <c r="D96" s="534">
        <v>0</v>
      </c>
      <c r="E96" s="535">
        <v>0</v>
      </c>
      <c r="F96" s="535">
        <v>0</v>
      </c>
      <c r="G96" s="535">
        <v>0</v>
      </c>
      <c r="H96" s="535">
        <v>0</v>
      </c>
      <c r="I96" s="536">
        <v>0</v>
      </c>
      <c r="J96" s="537">
        <v>0</v>
      </c>
      <c r="K96" s="538">
        <v>0</v>
      </c>
      <c r="L96" s="535">
        <v>0</v>
      </c>
      <c r="M96" s="536">
        <v>0</v>
      </c>
      <c r="N96" s="471">
        <v>0</v>
      </c>
      <c r="O96" s="473">
        <f t="shared" si="2"/>
        <v>2.4044453161988537</v>
      </c>
    </row>
    <row r="97" spans="2:15">
      <c r="B97" s="470">
        <f t="shared" si="3"/>
        <v>2029</v>
      </c>
      <c r="C97" s="533">
        <v>0</v>
      </c>
      <c r="D97" s="534">
        <v>0</v>
      </c>
      <c r="E97" s="535">
        <v>0</v>
      </c>
      <c r="F97" s="535">
        <v>0</v>
      </c>
      <c r="G97" s="535">
        <v>0</v>
      </c>
      <c r="H97" s="535">
        <v>0</v>
      </c>
      <c r="I97" s="536">
        <v>0</v>
      </c>
      <c r="J97" s="537">
        <v>0</v>
      </c>
      <c r="K97" s="538">
        <v>0</v>
      </c>
      <c r="L97" s="535">
        <v>0</v>
      </c>
      <c r="M97" s="536">
        <v>0</v>
      </c>
      <c r="N97" s="471">
        <v>0</v>
      </c>
      <c r="O97" s="473">
        <f t="shared" si="2"/>
        <v>2.4044453161988537</v>
      </c>
    </row>
    <row r="98" spans="2:15" ht="13.5" thickBot="1">
      <c r="B98" s="479">
        <f t="shared" si="3"/>
        <v>2030</v>
      </c>
      <c r="C98" s="533">
        <v>0</v>
      </c>
      <c r="D98" s="534">
        <v>0</v>
      </c>
      <c r="E98" s="535">
        <v>0</v>
      </c>
      <c r="F98" s="535">
        <v>0</v>
      </c>
      <c r="G98" s="535">
        <v>0</v>
      </c>
      <c r="H98" s="535">
        <v>0</v>
      </c>
      <c r="I98" s="536">
        <v>0</v>
      </c>
      <c r="J98" s="537">
        <v>0</v>
      </c>
      <c r="K98" s="538">
        <v>0</v>
      </c>
      <c r="L98" s="535">
        <v>0</v>
      </c>
      <c r="M98" s="536">
        <v>0</v>
      </c>
      <c r="N98" s="480">
        <v>0</v>
      </c>
      <c r="O98" s="482">
        <f t="shared" si="2"/>
        <v>2.4044453161988537</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863" t="s">
        <v>52</v>
      </c>
      <c r="C2" s="863"/>
      <c r="D2" s="863"/>
      <c r="E2" s="863"/>
      <c r="F2" s="863"/>
      <c r="G2" s="863"/>
      <c r="H2" s="863"/>
    </row>
    <row r="3" spans="1:35" ht="13.5" thickBot="1">
      <c r="B3" s="863"/>
      <c r="C3" s="863"/>
      <c r="D3" s="863"/>
      <c r="E3" s="863"/>
      <c r="F3" s="863"/>
      <c r="G3" s="863"/>
      <c r="H3" s="863"/>
    </row>
    <row r="4" spans="1:35" ht="13.5" thickBot="1">
      <c r="P4" s="846" t="s">
        <v>242</v>
      </c>
      <c r="Q4" s="847"/>
      <c r="R4" s="848" t="s">
        <v>243</v>
      </c>
      <c r="S4" s="849"/>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865" t="s">
        <v>47</v>
      </c>
      <c r="E5" s="866"/>
      <c r="F5" s="866"/>
      <c r="G5" s="855"/>
      <c r="H5" s="866" t="s">
        <v>57</v>
      </c>
      <c r="I5" s="866"/>
      <c r="J5" s="866"/>
      <c r="K5" s="855"/>
      <c r="L5" s="135"/>
      <c r="M5" s="135"/>
      <c r="N5" s="135"/>
      <c r="O5" s="163"/>
      <c r="P5" s="207" t="s">
        <v>116</v>
      </c>
      <c r="Q5" s="208" t="s">
        <v>113</v>
      </c>
      <c r="R5" s="207" t="s">
        <v>116</v>
      </c>
      <c r="S5" s="208" t="s">
        <v>113</v>
      </c>
      <c r="V5" s="305" t="s">
        <v>118</v>
      </c>
      <c r="W5" s="306">
        <v>3</v>
      </c>
      <c r="AF5" s="867" t="s">
        <v>126</v>
      </c>
      <c r="AG5" s="867" t="s">
        <v>129</v>
      </c>
      <c r="AH5" s="867" t="s">
        <v>154</v>
      </c>
      <c r="AI5"/>
    </row>
    <row r="6" spans="1:35" ht="13.5" thickBot="1">
      <c r="B6" s="166"/>
      <c r="C6" s="152"/>
      <c r="D6" s="864" t="s">
        <v>45</v>
      </c>
      <c r="E6" s="864"/>
      <c r="F6" s="864" t="s">
        <v>46</v>
      </c>
      <c r="G6" s="864"/>
      <c r="H6" s="864" t="s">
        <v>45</v>
      </c>
      <c r="I6" s="864"/>
      <c r="J6" s="864" t="s">
        <v>99</v>
      </c>
      <c r="K6" s="864"/>
      <c r="L6" s="135"/>
      <c r="M6" s="135"/>
      <c r="N6" s="135"/>
      <c r="O6" s="203" t="s">
        <v>6</v>
      </c>
      <c r="P6" s="162">
        <v>0.38</v>
      </c>
      <c r="Q6" s="164" t="s">
        <v>234</v>
      </c>
      <c r="R6" s="162">
        <v>0.15</v>
      </c>
      <c r="S6" s="164" t="s">
        <v>244</v>
      </c>
      <c r="W6" s="872" t="s">
        <v>125</v>
      </c>
      <c r="X6" s="874"/>
      <c r="Y6" s="874"/>
      <c r="Z6" s="874"/>
      <c r="AA6" s="874"/>
      <c r="AB6" s="874"/>
      <c r="AC6" s="874"/>
      <c r="AD6" s="874"/>
      <c r="AE6" s="874"/>
      <c r="AF6" s="868"/>
      <c r="AG6" s="868"/>
      <c r="AH6" s="868"/>
      <c r="AI6"/>
    </row>
    <row r="7" spans="1:35" ht="26.25" thickBot="1">
      <c r="B7" s="872" t="s">
        <v>133</v>
      </c>
      <c r="C7" s="873"/>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869"/>
      <c r="AG7" s="869"/>
      <c r="AH7" s="869"/>
      <c r="AI7"/>
    </row>
    <row r="8" spans="1:35" ht="25.5" customHeight="1">
      <c r="B8" s="870"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871"/>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860" t="s">
        <v>264</v>
      </c>
      <c r="P13" s="861"/>
      <c r="Q13" s="861"/>
      <c r="R13" s="861"/>
      <c r="S13" s="862"/>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852" t="s">
        <v>70</v>
      </c>
      <c r="C26" s="852"/>
      <c r="D26" s="852"/>
      <c r="E26" s="852"/>
      <c r="F26" s="852"/>
      <c r="G26" s="852"/>
      <c r="H26" s="852"/>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853"/>
      <c r="C27" s="853"/>
      <c r="D27" s="853"/>
      <c r="E27" s="853"/>
      <c r="F27" s="853"/>
      <c r="G27" s="853"/>
      <c r="H27" s="853"/>
      <c r="O27" s="84"/>
      <c r="P27" s="402"/>
      <c r="Q27" s="84"/>
      <c r="R27" s="84"/>
      <c r="S27" s="84"/>
      <c r="U27" s="171"/>
      <c r="V27" s="173"/>
    </row>
    <row r="28" spans="1:35">
      <c r="B28" s="853"/>
      <c r="C28" s="853"/>
      <c r="D28" s="853"/>
      <c r="E28" s="853"/>
      <c r="F28" s="853"/>
      <c r="G28" s="853"/>
      <c r="H28" s="853"/>
      <c r="O28" s="84"/>
      <c r="P28" s="402"/>
      <c r="Q28" s="84"/>
      <c r="R28" s="84"/>
      <c r="S28" s="84"/>
      <c r="V28" s="173"/>
    </row>
    <row r="29" spans="1:35">
      <c r="B29" s="853"/>
      <c r="C29" s="853"/>
      <c r="D29" s="853"/>
      <c r="E29" s="853"/>
      <c r="F29" s="853"/>
      <c r="G29" s="853"/>
      <c r="H29" s="853"/>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853"/>
      <c r="C30" s="853"/>
      <c r="D30" s="853"/>
      <c r="E30" s="853"/>
      <c r="F30" s="853"/>
      <c r="G30" s="853"/>
      <c r="H30" s="853"/>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854" t="s">
        <v>75</v>
      </c>
      <c r="D38" s="855"/>
      <c r="O38" s="394"/>
      <c r="P38" s="395"/>
      <c r="Q38" s="396"/>
      <c r="R38" s="84"/>
    </row>
    <row r="39" spans="2:18">
      <c r="B39" s="142">
        <v>35</v>
      </c>
      <c r="C39" s="858">
        <f>LN(2)/B39</f>
        <v>1.980420515885558E-2</v>
      </c>
      <c r="D39" s="859"/>
    </row>
    <row r="40" spans="2:18" ht="27">
      <c r="B40" s="364" t="s">
        <v>76</v>
      </c>
      <c r="C40" s="856" t="s">
        <v>77</v>
      </c>
      <c r="D40" s="857"/>
    </row>
    <row r="41" spans="2:18" ht="13.5" thickBot="1">
      <c r="B41" s="143">
        <v>0.05</v>
      </c>
      <c r="C41" s="850">
        <f>LN(2)/B41</f>
        <v>13.862943611198904</v>
      </c>
      <c r="D41" s="851"/>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0.38</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Amnt_Deposited!C14</f>
        <v>0</v>
      </c>
      <c r="D19" s="416">
        <f>Dry_Matter_Content!C6</f>
        <v>0.59</v>
      </c>
      <c r="E19" s="283">
        <f>MCF!R18</f>
        <v>0.8</v>
      </c>
      <c r="F19" s="130">
        <f>C19*D19*$K$6*DOCF*E19</f>
        <v>0</v>
      </c>
      <c r="G19" s="65">
        <f t="shared" ref="G19:G50" si="0">F19*$K$12</f>
        <v>0</v>
      </c>
      <c r="H19" s="65">
        <f t="shared" ref="H19:H50" si="1">F19*(1-$K$12)</f>
        <v>0</v>
      </c>
      <c r="I19" s="65">
        <f t="shared" ref="I19:I50" si="2">G19+I18*$K$10</f>
        <v>0</v>
      </c>
      <c r="J19" s="65">
        <f t="shared" ref="J19:J50" si="3">I18*(1-$K$10)+H19</f>
        <v>0</v>
      </c>
      <c r="K19" s="66">
        <f>J19*CH4_fraction*conv</f>
        <v>0</v>
      </c>
      <c r="O19" s="95">
        <f>Amnt_Deposited!B14</f>
        <v>2000</v>
      </c>
      <c r="P19" s="98">
        <f>Amnt_Deposited!C14</f>
        <v>0</v>
      </c>
      <c r="Q19" s="283">
        <f>MCF!R18</f>
        <v>0.8</v>
      </c>
      <c r="R19" s="130">
        <f t="shared" ref="R19:R50" si="4">P19*$W$6*DOCF*Q19</f>
        <v>0</v>
      </c>
      <c r="S19" s="65">
        <f>R19*$W$12</f>
        <v>0</v>
      </c>
      <c r="T19" s="65">
        <f>R19*(1-$W$12)</f>
        <v>0</v>
      </c>
      <c r="U19" s="65">
        <f>S19+U18*$W$10</f>
        <v>0</v>
      </c>
      <c r="V19" s="65">
        <f>U18*(1-$W$10)+T19</f>
        <v>0</v>
      </c>
      <c r="W19" s="66">
        <f>V19*CH4_fraction*conv</f>
        <v>0</v>
      </c>
    </row>
    <row r="20" spans="2:23">
      <c r="B20" s="96">
        <f>Amnt_Deposited!B15</f>
        <v>2001</v>
      </c>
      <c r="C20" s="99">
        <f>Amnt_Deposited!C15</f>
        <v>0</v>
      </c>
      <c r="D20" s="418">
        <f>Dry_Matter_Content!C7</f>
        <v>0.59</v>
      </c>
      <c r="E20" s="284">
        <f>MCF!R19</f>
        <v>0.8</v>
      </c>
      <c r="F20" s="67">
        <f t="shared" ref="F20:F50" si="5">C20*D20*$K$6*DOCF*E20</f>
        <v>0</v>
      </c>
      <c r="G20" s="67">
        <f t="shared" si="0"/>
        <v>0</v>
      </c>
      <c r="H20" s="67">
        <f t="shared" si="1"/>
        <v>0</v>
      </c>
      <c r="I20" s="67">
        <f t="shared" si="2"/>
        <v>0</v>
      </c>
      <c r="J20" s="67">
        <f t="shared" si="3"/>
        <v>0</v>
      </c>
      <c r="K20" s="100">
        <f>J20*CH4_fraction*conv</f>
        <v>0</v>
      </c>
      <c r="M20" s="393"/>
      <c r="O20" s="96">
        <f>Amnt_Deposited!B15</f>
        <v>2001</v>
      </c>
      <c r="P20" s="99">
        <f>Amnt_Deposited!C15</f>
        <v>0</v>
      </c>
      <c r="Q20" s="284">
        <f>MCF!R19</f>
        <v>0.8</v>
      </c>
      <c r="R20" s="67">
        <f t="shared" si="4"/>
        <v>0</v>
      </c>
      <c r="S20" s="67">
        <f>R20*$W$12</f>
        <v>0</v>
      </c>
      <c r="T20" s="67">
        <f>R20*(1-$W$12)</f>
        <v>0</v>
      </c>
      <c r="U20" s="67">
        <f>S20+U19*$W$10</f>
        <v>0</v>
      </c>
      <c r="V20" s="67">
        <f>U19*(1-$W$10)+T20</f>
        <v>0</v>
      </c>
      <c r="W20" s="100">
        <f>V20*CH4_fraction*conv</f>
        <v>0</v>
      </c>
    </row>
    <row r="21" spans="2:23">
      <c r="B21" s="96">
        <f>Amnt_Deposited!B16</f>
        <v>2002</v>
      </c>
      <c r="C21" s="99">
        <f>Amnt_Deposited!C16</f>
        <v>2.9964041890199997</v>
      </c>
      <c r="D21" s="418">
        <f>Dry_Matter_Content!C8</f>
        <v>0.59</v>
      </c>
      <c r="E21" s="284">
        <f>MCF!R20</f>
        <v>0.8</v>
      </c>
      <c r="F21" s="67">
        <f t="shared" si="5"/>
        <v>0.26871752767131357</v>
      </c>
      <c r="G21" s="67">
        <f t="shared" si="0"/>
        <v>0.26871752767131357</v>
      </c>
      <c r="H21" s="67">
        <f t="shared" si="1"/>
        <v>0</v>
      </c>
      <c r="I21" s="67">
        <f t="shared" si="2"/>
        <v>0.26871752767131357</v>
      </c>
      <c r="J21" s="67">
        <f t="shared" si="3"/>
        <v>0</v>
      </c>
      <c r="K21" s="100">
        <f t="shared" ref="K21:K84" si="6">J21*CH4_fraction*conv</f>
        <v>0</v>
      </c>
      <c r="O21" s="96">
        <f>Amnt_Deposited!B16</f>
        <v>2002</v>
      </c>
      <c r="P21" s="99">
        <f>Amnt_Deposited!C16</f>
        <v>2.9964041890199997</v>
      </c>
      <c r="Q21" s="284">
        <f>MCF!R20</f>
        <v>0.8</v>
      </c>
      <c r="R21" s="67">
        <f t="shared" si="4"/>
        <v>0.17978425134119999</v>
      </c>
      <c r="S21" s="67">
        <f t="shared" ref="S21:S84" si="7">R21*$W$12</f>
        <v>0.17978425134119999</v>
      </c>
      <c r="T21" s="67">
        <f t="shared" ref="T21:T84" si="8">R21*(1-$W$12)</f>
        <v>0</v>
      </c>
      <c r="U21" s="67">
        <f t="shared" ref="U21:U84" si="9">S21+U20*$W$10</f>
        <v>0.17978425134119999</v>
      </c>
      <c r="V21" s="67">
        <f t="shared" ref="V21:V84" si="10">U20*(1-$W$10)+T21</f>
        <v>0</v>
      </c>
      <c r="W21" s="100">
        <f t="shared" ref="W21:W84" si="11">V21*CH4_fraction*conv</f>
        <v>0</v>
      </c>
    </row>
    <row r="22" spans="2:23">
      <c r="B22" s="96">
        <f>Amnt_Deposited!B17</f>
        <v>2003</v>
      </c>
      <c r="C22" s="99">
        <f>Amnt_Deposited!C17</f>
        <v>3.04778199726</v>
      </c>
      <c r="D22" s="418">
        <f>Dry_Matter_Content!C9</f>
        <v>0.59</v>
      </c>
      <c r="E22" s="284">
        <f>MCF!R21</f>
        <v>0.8</v>
      </c>
      <c r="F22" s="67">
        <f t="shared" si="5"/>
        <v>0.27332508951427681</v>
      </c>
      <c r="G22" s="67">
        <f t="shared" si="0"/>
        <v>0.27332508951427681</v>
      </c>
      <c r="H22" s="67">
        <f t="shared" si="1"/>
        <v>0</v>
      </c>
      <c r="I22" s="67">
        <f t="shared" si="2"/>
        <v>0.4534518350334949</v>
      </c>
      <c r="J22" s="67">
        <f t="shared" si="3"/>
        <v>8.8590782152095468E-2</v>
      </c>
      <c r="K22" s="100">
        <f t="shared" si="6"/>
        <v>5.9060521434730312E-2</v>
      </c>
      <c r="N22" s="258"/>
      <c r="O22" s="96">
        <f>Amnt_Deposited!B17</f>
        <v>2003</v>
      </c>
      <c r="P22" s="99">
        <f>Amnt_Deposited!C17</f>
        <v>3.04778199726</v>
      </c>
      <c r="Q22" s="284">
        <f>MCF!R21</f>
        <v>0.8</v>
      </c>
      <c r="R22" s="67">
        <f t="shared" si="4"/>
        <v>0.18286691983559999</v>
      </c>
      <c r="S22" s="67">
        <f t="shared" si="7"/>
        <v>0.18286691983559999</v>
      </c>
      <c r="T22" s="67">
        <f t="shared" si="8"/>
        <v>0</v>
      </c>
      <c r="U22" s="67">
        <f t="shared" si="9"/>
        <v>0.30337990747111609</v>
      </c>
      <c r="V22" s="67">
        <f t="shared" si="10"/>
        <v>5.9271263705683863E-2</v>
      </c>
      <c r="W22" s="100">
        <f t="shared" si="11"/>
        <v>3.9514175803789242E-2</v>
      </c>
    </row>
    <row r="23" spans="2:23">
      <c r="B23" s="96">
        <f>Amnt_Deposited!B18</f>
        <v>2004</v>
      </c>
      <c r="C23" s="99">
        <f>Amnt_Deposited!C18</f>
        <v>3.17005903566</v>
      </c>
      <c r="D23" s="418">
        <f>Dry_Matter_Content!C10</f>
        <v>0.59</v>
      </c>
      <c r="E23" s="284">
        <f>MCF!R22</f>
        <v>0.8</v>
      </c>
      <c r="F23" s="67">
        <f t="shared" si="5"/>
        <v>0.28429089431798882</v>
      </c>
      <c r="G23" s="67">
        <f t="shared" si="0"/>
        <v>0.28429089431798882</v>
      </c>
      <c r="H23" s="67">
        <f t="shared" si="1"/>
        <v>0</v>
      </c>
      <c r="I23" s="67">
        <f t="shared" si="2"/>
        <v>0.5882487492525863</v>
      </c>
      <c r="J23" s="67">
        <f t="shared" si="3"/>
        <v>0.14949398009889747</v>
      </c>
      <c r="K23" s="100">
        <f t="shared" si="6"/>
        <v>9.9662653399264972E-2</v>
      </c>
      <c r="N23" s="258"/>
      <c r="O23" s="96">
        <f>Amnt_Deposited!B18</f>
        <v>2004</v>
      </c>
      <c r="P23" s="99">
        <f>Amnt_Deposited!C18</f>
        <v>3.17005903566</v>
      </c>
      <c r="Q23" s="284">
        <f>MCF!R22</f>
        <v>0.8</v>
      </c>
      <c r="R23" s="67">
        <f t="shared" si="4"/>
        <v>0.1902035421396</v>
      </c>
      <c r="S23" s="67">
        <f t="shared" si="7"/>
        <v>0.1902035421396</v>
      </c>
      <c r="T23" s="67">
        <f t="shared" si="8"/>
        <v>0</v>
      </c>
      <c r="U23" s="67">
        <f t="shared" si="9"/>
        <v>0.3935651756819265</v>
      </c>
      <c r="V23" s="67">
        <f t="shared" si="10"/>
        <v>0.10001827392878955</v>
      </c>
      <c r="W23" s="100">
        <f t="shared" si="11"/>
        <v>6.6678849285859695E-2</v>
      </c>
    </row>
    <row r="24" spans="2:23">
      <c r="B24" s="96">
        <f>Amnt_Deposited!B19</f>
        <v>2005</v>
      </c>
      <c r="C24" s="99">
        <f>Amnt_Deposited!C19</f>
        <v>3.2840233806600003</v>
      </c>
      <c r="D24" s="418">
        <f>Dry_Matter_Content!C11</f>
        <v>0.59</v>
      </c>
      <c r="E24" s="284">
        <f>MCF!R23</f>
        <v>0.8</v>
      </c>
      <c r="F24" s="67">
        <f t="shared" si="5"/>
        <v>0.29451121677758885</v>
      </c>
      <c r="G24" s="67">
        <f t="shared" si="0"/>
        <v>0.29451121677758885</v>
      </c>
      <c r="H24" s="67">
        <f t="shared" si="1"/>
        <v>0</v>
      </c>
      <c r="I24" s="67">
        <f t="shared" si="2"/>
        <v>0.68882614545698972</v>
      </c>
      <c r="J24" s="67">
        <f t="shared" si="3"/>
        <v>0.19393382057318539</v>
      </c>
      <c r="K24" s="100">
        <f t="shared" si="6"/>
        <v>0.12928921371545693</v>
      </c>
      <c r="N24" s="258"/>
      <c r="O24" s="96">
        <f>Amnt_Deposited!B19</f>
        <v>2005</v>
      </c>
      <c r="P24" s="99">
        <f>Amnt_Deposited!C19</f>
        <v>3.2840233806600003</v>
      </c>
      <c r="Q24" s="284">
        <f>MCF!R23</f>
        <v>0.8</v>
      </c>
      <c r="R24" s="67">
        <f t="shared" si="4"/>
        <v>0.19704140283960003</v>
      </c>
      <c r="S24" s="67">
        <f t="shared" si="7"/>
        <v>0.19704140283960003</v>
      </c>
      <c r="T24" s="67">
        <f t="shared" si="8"/>
        <v>0</v>
      </c>
      <c r="U24" s="67">
        <f t="shared" si="9"/>
        <v>0.46085602952073351</v>
      </c>
      <c r="V24" s="67">
        <f t="shared" si="10"/>
        <v>0.12975054900079305</v>
      </c>
      <c r="W24" s="100">
        <f t="shared" si="11"/>
        <v>8.6500366000528697E-2</v>
      </c>
    </row>
    <row r="25" spans="2:23">
      <c r="B25" s="96">
        <f>Amnt_Deposited!B20</f>
        <v>2006</v>
      </c>
      <c r="C25" s="99">
        <f>Amnt_Deposited!C20</f>
        <v>3.3199020379799999</v>
      </c>
      <c r="D25" s="418">
        <f>Dry_Matter_Content!C12</f>
        <v>0.59</v>
      </c>
      <c r="E25" s="284">
        <f>MCF!R24</f>
        <v>0.8</v>
      </c>
      <c r="F25" s="67">
        <f t="shared" si="5"/>
        <v>0.2977288147660464</v>
      </c>
      <c r="G25" s="67">
        <f t="shared" si="0"/>
        <v>0.2977288147660464</v>
      </c>
      <c r="H25" s="67">
        <f t="shared" si="1"/>
        <v>0</v>
      </c>
      <c r="I25" s="67">
        <f t="shared" si="2"/>
        <v>0.75946278829932767</v>
      </c>
      <c r="J25" s="67">
        <f t="shared" si="3"/>
        <v>0.22709217192370837</v>
      </c>
      <c r="K25" s="100">
        <f t="shared" si="6"/>
        <v>0.15139478128247225</v>
      </c>
      <c r="N25" s="258"/>
      <c r="O25" s="96">
        <f>Amnt_Deposited!B20</f>
        <v>2006</v>
      </c>
      <c r="P25" s="99">
        <f>Amnt_Deposited!C20</f>
        <v>3.3199020379799999</v>
      </c>
      <c r="Q25" s="284">
        <f>MCF!R24</f>
        <v>0.8</v>
      </c>
      <c r="R25" s="67">
        <f t="shared" si="4"/>
        <v>0.19919412227879998</v>
      </c>
      <c r="S25" s="67">
        <f t="shared" si="7"/>
        <v>0.19919412227879998</v>
      </c>
      <c r="T25" s="67">
        <f t="shared" si="8"/>
        <v>0</v>
      </c>
      <c r="U25" s="67">
        <f t="shared" si="9"/>
        <v>0.50811515720293998</v>
      </c>
      <c r="V25" s="67">
        <f t="shared" si="10"/>
        <v>0.15193499459659346</v>
      </c>
      <c r="W25" s="100">
        <f t="shared" si="11"/>
        <v>0.10128999639772897</v>
      </c>
    </row>
    <row r="26" spans="2:23">
      <c r="B26" s="96">
        <f>Amnt_Deposited!B21</f>
        <v>2007</v>
      </c>
      <c r="C26" s="99">
        <f>Amnt_Deposited!C21</f>
        <v>3.3547349048399999</v>
      </c>
      <c r="D26" s="418">
        <f>Dry_Matter_Content!C13</f>
        <v>0.59</v>
      </c>
      <c r="E26" s="284">
        <f>MCF!R25</f>
        <v>0.8</v>
      </c>
      <c r="F26" s="67">
        <f t="shared" si="5"/>
        <v>0.30085262626605119</v>
      </c>
      <c r="G26" s="67">
        <f t="shared" si="0"/>
        <v>0.30085262626605119</v>
      </c>
      <c r="H26" s="67">
        <f t="shared" si="1"/>
        <v>0</v>
      </c>
      <c r="I26" s="67">
        <f t="shared" si="2"/>
        <v>0.8099357574812116</v>
      </c>
      <c r="J26" s="67">
        <f t="shared" si="3"/>
        <v>0.25037965708416732</v>
      </c>
      <c r="K26" s="100">
        <f t="shared" si="6"/>
        <v>0.16691977138944486</v>
      </c>
      <c r="N26" s="258"/>
      <c r="O26" s="96">
        <f>Amnt_Deposited!B21</f>
        <v>2007</v>
      </c>
      <c r="P26" s="99">
        <f>Amnt_Deposited!C21</f>
        <v>3.3547349048399999</v>
      </c>
      <c r="Q26" s="284">
        <f>MCF!R25</f>
        <v>0.8</v>
      </c>
      <c r="R26" s="67">
        <f t="shared" si="4"/>
        <v>0.20128409429040001</v>
      </c>
      <c r="S26" s="67">
        <f t="shared" si="7"/>
        <v>0.20128409429040001</v>
      </c>
      <c r="T26" s="67">
        <f t="shared" si="8"/>
        <v>0</v>
      </c>
      <c r="U26" s="67">
        <f t="shared" si="9"/>
        <v>0.54188386985808079</v>
      </c>
      <c r="V26" s="67">
        <f t="shared" si="10"/>
        <v>0.16751538163525914</v>
      </c>
      <c r="W26" s="100">
        <f t="shared" si="11"/>
        <v>0.11167692109017276</v>
      </c>
    </row>
    <row r="27" spans="2:23">
      <c r="B27" s="96">
        <f>Amnt_Deposited!B22</f>
        <v>2008</v>
      </c>
      <c r="C27" s="99">
        <f>Amnt_Deposited!C22</f>
        <v>3.38820019956</v>
      </c>
      <c r="D27" s="418">
        <f>Dry_Matter_Content!C14</f>
        <v>0.59</v>
      </c>
      <c r="E27" s="284">
        <f>MCF!R26</f>
        <v>0.8</v>
      </c>
      <c r="F27" s="67">
        <f t="shared" si="5"/>
        <v>0.30385379389654082</v>
      </c>
      <c r="G27" s="67">
        <f t="shared" si="0"/>
        <v>0.30385379389654082</v>
      </c>
      <c r="H27" s="67">
        <f t="shared" si="1"/>
        <v>0</v>
      </c>
      <c r="I27" s="67">
        <f t="shared" si="2"/>
        <v>0.84676996813725691</v>
      </c>
      <c r="J27" s="67">
        <f t="shared" si="3"/>
        <v>0.26701958324049541</v>
      </c>
      <c r="K27" s="100">
        <f t="shared" si="6"/>
        <v>0.17801305549366359</v>
      </c>
      <c r="N27" s="258"/>
      <c r="O27" s="96">
        <f>Amnt_Deposited!B22</f>
        <v>2008</v>
      </c>
      <c r="P27" s="99">
        <f>Amnt_Deposited!C22</f>
        <v>3.38820019956</v>
      </c>
      <c r="Q27" s="284">
        <f>MCF!R26</f>
        <v>0.8</v>
      </c>
      <c r="R27" s="67">
        <f t="shared" si="4"/>
        <v>0.20329201197360003</v>
      </c>
      <c r="S27" s="67">
        <f t="shared" si="7"/>
        <v>0.20329201197360003</v>
      </c>
      <c r="T27" s="67">
        <f t="shared" si="8"/>
        <v>0</v>
      </c>
      <c r="U27" s="67">
        <f t="shared" si="9"/>
        <v>0.56652763256283911</v>
      </c>
      <c r="V27" s="67">
        <f t="shared" si="10"/>
        <v>0.17864824926884168</v>
      </c>
      <c r="W27" s="100">
        <f t="shared" si="11"/>
        <v>0.11909883284589445</v>
      </c>
    </row>
    <row r="28" spans="2:23">
      <c r="B28" s="96">
        <f>Amnt_Deposited!B23</f>
        <v>2009</v>
      </c>
      <c r="C28" s="99">
        <f>Amnt_Deposited!C23</f>
        <v>3.41978843448</v>
      </c>
      <c r="D28" s="418">
        <f>Dry_Matter_Content!C15</f>
        <v>0.59</v>
      </c>
      <c r="E28" s="284">
        <f>MCF!R27</f>
        <v>0.8</v>
      </c>
      <c r="F28" s="67">
        <f t="shared" si="5"/>
        <v>0.30668662680416636</v>
      </c>
      <c r="G28" s="67">
        <f t="shared" si="0"/>
        <v>0.30668662680416636</v>
      </c>
      <c r="H28" s="67">
        <f t="shared" si="1"/>
        <v>0</v>
      </c>
      <c r="I28" s="67">
        <f t="shared" si="2"/>
        <v>0.87429351082752926</v>
      </c>
      <c r="J28" s="67">
        <f t="shared" si="3"/>
        <v>0.27916308411389401</v>
      </c>
      <c r="K28" s="100">
        <f t="shared" si="6"/>
        <v>0.18610872274259599</v>
      </c>
      <c r="N28" s="258"/>
      <c r="O28" s="96">
        <f>Amnt_Deposited!B23</f>
        <v>2009</v>
      </c>
      <c r="P28" s="99">
        <f>Amnt_Deposited!C23</f>
        <v>3.41978843448</v>
      </c>
      <c r="Q28" s="284">
        <f>MCF!R27</f>
        <v>0.8</v>
      </c>
      <c r="R28" s="67">
        <f t="shared" si="4"/>
        <v>0.20518730606880001</v>
      </c>
      <c r="S28" s="67">
        <f t="shared" si="7"/>
        <v>0.20518730606880001</v>
      </c>
      <c r="T28" s="67">
        <f t="shared" si="8"/>
        <v>0</v>
      </c>
      <c r="U28" s="67">
        <f t="shared" si="9"/>
        <v>0.5849421348087841</v>
      </c>
      <c r="V28" s="67">
        <f t="shared" si="10"/>
        <v>0.18677280382285505</v>
      </c>
      <c r="W28" s="100">
        <f t="shared" si="11"/>
        <v>0.12451520254857003</v>
      </c>
    </row>
    <row r="29" spans="2:23">
      <c r="B29" s="96">
        <f>Amnt_Deposited!B24</f>
        <v>2010</v>
      </c>
      <c r="C29" s="99">
        <f>Amnt_Deposited!C24</f>
        <v>3.8324734390799997</v>
      </c>
      <c r="D29" s="418">
        <f>Dry_Matter_Content!C16</f>
        <v>0.59</v>
      </c>
      <c r="E29" s="284">
        <f>MCF!R28</f>
        <v>0.8</v>
      </c>
      <c r="F29" s="67">
        <f t="shared" si="5"/>
        <v>0.34369621801669442</v>
      </c>
      <c r="G29" s="67">
        <f t="shared" si="0"/>
        <v>0.34369621801669442</v>
      </c>
      <c r="H29" s="67">
        <f t="shared" si="1"/>
        <v>0</v>
      </c>
      <c r="I29" s="67">
        <f t="shared" si="2"/>
        <v>0.92975268444326464</v>
      </c>
      <c r="J29" s="67">
        <f t="shared" si="3"/>
        <v>0.2882370444009591</v>
      </c>
      <c r="K29" s="100">
        <f t="shared" si="6"/>
        <v>0.19215802960063938</v>
      </c>
      <c r="O29" s="96">
        <f>Amnt_Deposited!B24</f>
        <v>2010</v>
      </c>
      <c r="P29" s="99">
        <f>Amnt_Deposited!C24</f>
        <v>3.8324734390799997</v>
      </c>
      <c r="Q29" s="284">
        <f>MCF!R28</f>
        <v>0.8</v>
      </c>
      <c r="R29" s="67">
        <f t="shared" si="4"/>
        <v>0.22994840634479999</v>
      </c>
      <c r="S29" s="67">
        <f t="shared" si="7"/>
        <v>0.22994840634479999</v>
      </c>
      <c r="T29" s="67">
        <f t="shared" si="8"/>
        <v>0</v>
      </c>
      <c r="U29" s="67">
        <f t="shared" si="9"/>
        <v>0.62204684507800934</v>
      </c>
      <c r="V29" s="67">
        <f t="shared" si="10"/>
        <v>0.19284369607557481</v>
      </c>
      <c r="W29" s="100">
        <f t="shared" si="11"/>
        <v>0.12856246405038319</v>
      </c>
    </row>
    <row r="30" spans="2:23">
      <c r="B30" s="96">
        <f>Amnt_Deposited!B25</f>
        <v>2011</v>
      </c>
      <c r="C30" s="99">
        <f>Amnt_Deposited!C25</f>
        <v>3.5585640972000006</v>
      </c>
      <c r="D30" s="418">
        <f>Dry_Matter_Content!C17</f>
        <v>0.59</v>
      </c>
      <c r="E30" s="284">
        <f>MCF!R29</f>
        <v>0.8</v>
      </c>
      <c r="F30" s="67">
        <f t="shared" si="5"/>
        <v>0.31913202823689601</v>
      </c>
      <c r="G30" s="67">
        <f t="shared" si="0"/>
        <v>0.31913202823689601</v>
      </c>
      <c r="H30" s="67">
        <f t="shared" si="1"/>
        <v>0</v>
      </c>
      <c r="I30" s="67">
        <f t="shared" si="2"/>
        <v>0.9423638904746644</v>
      </c>
      <c r="J30" s="67">
        <f t="shared" si="3"/>
        <v>0.30652082220549626</v>
      </c>
      <c r="K30" s="100">
        <f t="shared" si="6"/>
        <v>0.20434721480366416</v>
      </c>
      <c r="O30" s="96">
        <f>Amnt_Deposited!B25</f>
        <v>2011</v>
      </c>
      <c r="P30" s="99">
        <f>Amnt_Deposited!C25</f>
        <v>3.5585640972000006</v>
      </c>
      <c r="Q30" s="284">
        <f>MCF!R29</f>
        <v>0.8</v>
      </c>
      <c r="R30" s="67">
        <f t="shared" si="4"/>
        <v>0.21351384583200003</v>
      </c>
      <c r="S30" s="67">
        <f t="shared" si="7"/>
        <v>0.21351384583200003</v>
      </c>
      <c r="T30" s="67">
        <f t="shared" si="8"/>
        <v>0</v>
      </c>
      <c r="U30" s="67">
        <f t="shared" si="9"/>
        <v>0.63048431566101548</v>
      </c>
      <c r="V30" s="67">
        <f t="shared" si="10"/>
        <v>0.20507637524899391</v>
      </c>
      <c r="W30" s="100">
        <f t="shared" si="11"/>
        <v>0.13671758349932928</v>
      </c>
    </row>
    <row r="31" spans="2:23">
      <c r="B31" s="96">
        <f>Amnt_Deposited!B26</f>
        <v>2012</v>
      </c>
      <c r="C31" s="99">
        <f>Amnt_Deposited!C26</f>
        <v>3.6086840316000002</v>
      </c>
      <c r="D31" s="418">
        <f>Dry_Matter_Content!C18</f>
        <v>0.59</v>
      </c>
      <c r="E31" s="284">
        <f>MCF!R30</f>
        <v>0.8</v>
      </c>
      <c r="F31" s="67">
        <f t="shared" si="5"/>
        <v>0.32362678395388805</v>
      </c>
      <c r="G31" s="67">
        <f t="shared" si="0"/>
        <v>0.32362678395388805</v>
      </c>
      <c r="H31" s="67">
        <f t="shared" si="1"/>
        <v>0</v>
      </c>
      <c r="I31" s="67">
        <f t="shared" si="2"/>
        <v>0.95531219039918924</v>
      </c>
      <c r="J31" s="67">
        <f t="shared" si="3"/>
        <v>0.31067848402936316</v>
      </c>
      <c r="K31" s="100">
        <f t="shared" si="6"/>
        <v>0.20711898935290876</v>
      </c>
      <c r="O31" s="96">
        <f>Amnt_Deposited!B26</f>
        <v>2012</v>
      </c>
      <c r="P31" s="99">
        <f>Amnt_Deposited!C26</f>
        <v>3.6086840316000002</v>
      </c>
      <c r="Q31" s="284">
        <f>MCF!R30</f>
        <v>0.8</v>
      </c>
      <c r="R31" s="67">
        <f t="shared" si="4"/>
        <v>0.21652104189600002</v>
      </c>
      <c r="S31" s="67">
        <f t="shared" si="7"/>
        <v>0.21652104189600002</v>
      </c>
      <c r="T31" s="67">
        <f t="shared" si="8"/>
        <v>0</v>
      </c>
      <c r="U31" s="67">
        <f t="shared" si="9"/>
        <v>0.63914731739464048</v>
      </c>
      <c r="V31" s="67">
        <f t="shared" si="10"/>
        <v>0.20785804016237502</v>
      </c>
      <c r="W31" s="100">
        <f t="shared" si="11"/>
        <v>0.13857202677491667</v>
      </c>
    </row>
    <row r="32" spans="2:23">
      <c r="B32" s="96">
        <f>Amnt_Deposited!B27</f>
        <v>2013</v>
      </c>
      <c r="C32" s="99">
        <f>Amnt_Deposited!C27</f>
        <v>3.6616073670000007</v>
      </c>
      <c r="D32" s="418">
        <f>Dry_Matter_Content!C19</f>
        <v>0.59</v>
      </c>
      <c r="E32" s="284">
        <f>MCF!R31</f>
        <v>0.8</v>
      </c>
      <c r="F32" s="67">
        <f t="shared" si="5"/>
        <v>0.32837294867256006</v>
      </c>
      <c r="G32" s="67">
        <f t="shared" si="0"/>
        <v>0.32837294867256006</v>
      </c>
      <c r="H32" s="67">
        <f t="shared" si="1"/>
        <v>0</v>
      </c>
      <c r="I32" s="67">
        <f t="shared" si="2"/>
        <v>0.96873786011935203</v>
      </c>
      <c r="J32" s="67">
        <f t="shared" si="3"/>
        <v>0.31494727895239727</v>
      </c>
      <c r="K32" s="100">
        <f t="shared" si="6"/>
        <v>0.2099648526349315</v>
      </c>
      <c r="O32" s="96">
        <f>Amnt_Deposited!B27</f>
        <v>2013</v>
      </c>
      <c r="P32" s="99">
        <f>Amnt_Deposited!C27</f>
        <v>3.6616073670000007</v>
      </c>
      <c r="Q32" s="284">
        <f>MCF!R31</f>
        <v>0.8</v>
      </c>
      <c r="R32" s="67">
        <f t="shared" si="4"/>
        <v>0.21969644202000005</v>
      </c>
      <c r="S32" s="67">
        <f t="shared" si="7"/>
        <v>0.21969644202000005</v>
      </c>
      <c r="T32" s="67">
        <f t="shared" si="8"/>
        <v>0</v>
      </c>
      <c r="U32" s="67">
        <f t="shared" si="9"/>
        <v>0.64812970123953084</v>
      </c>
      <c r="V32" s="67">
        <f t="shared" si="10"/>
        <v>0.21071405817510969</v>
      </c>
      <c r="W32" s="100">
        <f t="shared" si="11"/>
        <v>0.14047603878340645</v>
      </c>
    </row>
    <row r="33" spans="2:23">
      <c r="B33" s="96">
        <f>Amnt_Deposited!B28</f>
        <v>2014</v>
      </c>
      <c r="C33" s="99">
        <f>Amnt_Deposited!C28</f>
        <v>3.7082657106000005</v>
      </c>
      <c r="D33" s="418">
        <f>Dry_Matter_Content!C20</f>
        <v>0.59</v>
      </c>
      <c r="E33" s="284">
        <f>MCF!R32</f>
        <v>0.8</v>
      </c>
      <c r="F33" s="67">
        <f t="shared" si="5"/>
        <v>0.33255726892660809</v>
      </c>
      <c r="G33" s="67">
        <f t="shared" si="0"/>
        <v>0.33255726892660809</v>
      </c>
      <c r="H33" s="67">
        <f t="shared" si="1"/>
        <v>0</v>
      </c>
      <c r="I33" s="67">
        <f t="shared" si="2"/>
        <v>0.98192167591827884</v>
      </c>
      <c r="J33" s="67">
        <f t="shared" si="3"/>
        <v>0.31937345312768123</v>
      </c>
      <c r="K33" s="100">
        <f t="shared" si="6"/>
        <v>0.21291563541845415</v>
      </c>
      <c r="O33" s="96">
        <f>Amnt_Deposited!B28</f>
        <v>2014</v>
      </c>
      <c r="P33" s="99">
        <f>Amnt_Deposited!C28</f>
        <v>3.7082657106000005</v>
      </c>
      <c r="Q33" s="284">
        <f>MCF!R32</f>
        <v>0.8</v>
      </c>
      <c r="R33" s="67">
        <f t="shared" si="4"/>
        <v>0.22249594263600003</v>
      </c>
      <c r="S33" s="67">
        <f t="shared" si="7"/>
        <v>0.22249594263600003</v>
      </c>
      <c r="T33" s="67">
        <f t="shared" si="8"/>
        <v>0</v>
      </c>
      <c r="U33" s="67">
        <f t="shared" si="9"/>
        <v>0.65695027380794757</v>
      </c>
      <c r="V33" s="67">
        <f t="shared" si="10"/>
        <v>0.21367537006758336</v>
      </c>
      <c r="W33" s="100">
        <f t="shared" si="11"/>
        <v>0.14245024671172224</v>
      </c>
    </row>
    <row r="34" spans="2:23">
      <c r="B34" s="96">
        <f>Amnt_Deposited!B29</f>
        <v>2015</v>
      </c>
      <c r="C34" s="99">
        <f>Amnt_Deposited!C29</f>
        <v>3.7598482890000002</v>
      </c>
      <c r="D34" s="418">
        <f>Dry_Matter_Content!C21</f>
        <v>0.59</v>
      </c>
      <c r="E34" s="284">
        <f>MCF!R33</f>
        <v>0.8</v>
      </c>
      <c r="F34" s="67">
        <f t="shared" si="5"/>
        <v>0.33718319455752005</v>
      </c>
      <c r="G34" s="67">
        <f t="shared" si="0"/>
        <v>0.33718319455752005</v>
      </c>
      <c r="H34" s="67">
        <f t="shared" si="1"/>
        <v>0</v>
      </c>
      <c r="I34" s="67">
        <f t="shared" si="2"/>
        <v>0.99538497756245281</v>
      </c>
      <c r="J34" s="67">
        <f t="shared" si="3"/>
        <v>0.32371989291334602</v>
      </c>
      <c r="K34" s="100">
        <f t="shared" si="6"/>
        <v>0.21581326194223066</v>
      </c>
      <c r="O34" s="96">
        <f>Amnt_Deposited!B29</f>
        <v>2015</v>
      </c>
      <c r="P34" s="99">
        <f>Amnt_Deposited!C29</f>
        <v>3.7598482890000002</v>
      </c>
      <c r="Q34" s="284">
        <f>MCF!R33</f>
        <v>0.8</v>
      </c>
      <c r="R34" s="67">
        <f t="shared" si="4"/>
        <v>0.22559089734000001</v>
      </c>
      <c r="S34" s="67">
        <f t="shared" si="7"/>
        <v>0.22559089734000001</v>
      </c>
      <c r="T34" s="67">
        <f t="shared" si="8"/>
        <v>0</v>
      </c>
      <c r="U34" s="67">
        <f t="shared" si="9"/>
        <v>0.6659578351220693</v>
      </c>
      <c r="V34" s="67">
        <f t="shared" si="10"/>
        <v>0.21658333602587829</v>
      </c>
      <c r="W34" s="100">
        <f t="shared" si="11"/>
        <v>0.14438889068391886</v>
      </c>
    </row>
    <row r="35" spans="2:23">
      <c r="B35" s="96">
        <f>Amnt_Deposited!B30</f>
        <v>2016</v>
      </c>
      <c r="C35" s="99">
        <f>Amnt_Deposited!C30</f>
        <v>3.8028987774000003</v>
      </c>
      <c r="D35" s="418">
        <f>Dry_Matter_Content!C22</f>
        <v>0.59</v>
      </c>
      <c r="E35" s="284">
        <f>MCF!R34</f>
        <v>0.8</v>
      </c>
      <c r="F35" s="67">
        <f t="shared" si="5"/>
        <v>0.34104396235723206</v>
      </c>
      <c r="G35" s="67">
        <f t="shared" si="0"/>
        <v>0.34104396235723206</v>
      </c>
      <c r="H35" s="67">
        <f t="shared" si="1"/>
        <v>0</v>
      </c>
      <c r="I35" s="67">
        <f t="shared" si="2"/>
        <v>1.0082704663400792</v>
      </c>
      <c r="J35" s="67">
        <f t="shared" si="3"/>
        <v>0.32815847357960565</v>
      </c>
      <c r="K35" s="100">
        <f t="shared" si="6"/>
        <v>0.2187723157197371</v>
      </c>
      <c r="O35" s="96">
        <f>Amnt_Deposited!B30</f>
        <v>2016</v>
      </c>
      <c r="P35" s="99">
        <f>Amnt_Deposited!C30</f>
        <v>3.8028987774000003</v>
      </c>
      <c r="Q35" s="284">
        <f>MCF!R34</f>
        <v>0.8</v>
      </c>
      <c r="R35" s="67">
        <f t="shared" si="4"/>
        <v>0.22817392664400005</v>
      </c>
      <c r="S35" s="67">
        <f t="shared" si="7"/>
        <v>0.22817392664400005</v>
      </c>
      <c r="T35" s="67">
        <f t="shared" si="8"/>
        <v>0</v>
      </c>
      <c r="U35" s="67">
        <f t="shared" si="9"/>
        <v>0.67457881334082026</v>
      </c>
      <c r="V35" s="67">
        <f t="shared" si="10"/>
        <v>0.21955294842524911</v>
      </c>
      <c r="W35" s="100">
        <f t="shared" si="11"/>
        <v>0.14636863228349939</v>
      </c>
    </row>
    <row r="36" spans="2:23">
      <c r="B36" s="96">
        <f>Amnt_Deposited!B31</f>
        <v>2017</v>
      </c>
      <c r="C36" s="99">
        <f>Amnt_Deposited!C31</f>
        <v>3.8580620760285127</v>
      </c>
      <c r="D36" s="418">
        <f>Dry_Matter_Content!C23</f>
        <v>0.59</v>
      </c>
      <c r="E36" s="284">
        <f>MCF!R35</f>
        <v>0.8</v>
      </c>
      <c r="F36" s="67">
        <f t="shared" si="5"/>
        <v>0.34599100697823704</v>
      </c>
      <c r="G36" s="67">
        <f t="shared" si="0"/>
        <v>0.34599100697823704</v>
      </c>
      <c r="H36" s="67">
        <f t="shared" si="1"/>
        <v>0</v>
      </c>
      <c r="I36" s="67">
        <f t="shared" si="2"/>
        <v>1.0218549123916945</v>
      </c>
      <c r="J36" s="67">
        <f t="shared" si="3"/>
        <v>0.3324065609266218</v>
      </c>
      <c r="K36" s="100">
        <f t="shared" si="6"/>
        <v>0.22160437395108118</v>
      </c>
      <c r="O36" s="96">
        <f>Amnt_Deposited!B31</f>
        <v>2017</v>
      </c>
      <c r="P36" s="99">
        <f>Amnt_Deposited!C31</f>
        <v>3.8580620760285127</v>
      </c>
      <c r="Q36" s="284">
        <f>MCF!R35</f>
        <v>0.8</v>
      </c>
      <c r="R36" s="67">
        <f t="shared" si="4"/>
        <v>0.23148372456171074</v>
      </c>
      <c r="S36" s="67">
        <f t="shared" si="7"/>
        <v>0.23148372456171074</v>
      </c>
      <c r="T36" s="67">
        <f t="shared" si="8"/>
        <v>0</v>
      </c>
      <c r="U36" s="67">
        <f t="shared" si="9"/>
        <v>0.6836674257749964</v>
      </c>
      <c r="V36" s="67">
        <f t="shared" si="10"/>
        <v>0.22239511212753468</v>
      </c>
      <c r="W36" s="100">
        <f t="shared" si="11"/>
        <v>0.14826340808502311</v>
      </c>
    </row>
    <row r="37" spans="2:23">
      <c r="B37" s="96">
        <f>Amnt_Deposited!B32</f>
        <v>2018</v>
      </c>
      <c r="C37" s="99">
        <f>Amnt_Deposited!C32</f>
        <v>3.8462797488620724</v>
      </c>
      <c r="D37" s="418">
        <f>Dry_Matter_Content!C24</f>
        <v>0.59</v>
      </c>
      <c r="E37" s="284">
        <f>MCF!R36</f>
        <v>0.8</v>
      </c>
      <c r="F37" s="67">
        <f t="shared" si="5"/>
        <v>0.34493436787795062</v>
      </c>
      <c r="G37" s="67">
        <f t="shared" si="0"/>
        <v>0.34493436787795062</v>
      </c>
      <c r="H37" s="67">
        <f t="shared" si="1"/>
        <v>0</v>
      </c>
      <c r="I37" s="67">
        <f t="shared" si="2"/>
        <v>1.0299041997940954</v>
      </c>
      <c r="J37" s="67">
        <f t="shared" si="3"/>
        <v>0.33688508047554966</v>
      </c>
      <c r="K37" s="100">
        <f t="shared" si="6"/>
        <v>0.22459005365036644</v>
      </c>
      <c r="O37" s="96">
        <f>Amnt_Deposited!B32</f>
        <v>2018</v>
      </c>
      <c r="P37" s="99">
        <f>Amnt_Deposited!C32</f>
        <v>3.8462797488620724</v>
      </c>
      <c r="Q37" s="284">
        <f>MCF!R36</f>
        <v>0.8</v>
      </c>
      <c r="R37" s="67">
        <f t="shared" si="4"/>
        <v>0.23077678493172435</v>
      </c>
      <c r="S37" s="67">
        <f t="shared" si="7"/>
        <v>0.23077678493172435</v>
      </c>
      <c r="T37" s="67">
        <f t="shared" si="8"/>
        <v>0</v>
      </c>
      <c r="U37" s="67">
        <f t="shared" si="9"/>
        <v>0.68905276525028691</v>
      </c>
      <c r="V37" s="67">
        <f t="shared" si="10"/>
        <v>0.22539144545643378</v>
      </c>
      <c r="W37" s="100">
        <f t="shared" si="11"/>
        <v>0.15026096363762251</v>
      </c>
    </row>
    <row r="38" spans="2:23">
      <c r="B38" s="96">
        <f>Amnt_Deposited!B33</f>
        <v>2019</v>
      </c>
      <c r="C38" s="99">
        <f>Amnt_Deposited!C33</f>
        <v>3.8328728997864094</v>
      </c>
      <c r="D38" s="418">
        <f>Dry_Matter_Content!C25</f>
        <v>0.59</v>
      </c>
      <c r="E38" s="284">
        <f>MCF!R37</f>
        <v>0.8</v>
      </c>
      <c r="F38" s="67">
        <f t="shared" si="5"/>
        <v>0.34373204165284521</v>
      </c>
      <c r="G38" s="67">
        <f t="shared" si="0"/>
        <v>0.34373204165284521</v>
      </c>
      <c r="H38" s="67">
        <f t="shared" si="1"/>
        <v>0</v>
      </c>
      <c r="I38" s="67">
        <f t="shared" si="2"/>
        <v>1.0340974722711216</v>
      </c>
      <c r="J38" s="67">
        <f t="shared" si="3"/>
        <v>0.3395387691758191</v>
      </c>
      <c r="K38" s="100">
        <f t="shared" si="6"/>
        <v>0.22635917945054607</v>
      </c>
      <c r="O38" s="96">
        <f>Amnt_Deposited!B33</f>
        <v>2019</v>
      </c>
      <c r="P38" s="99">
        <f>Amnt_Deposited!C33</f>
        <v>3.8328728997864094</v>
      </c>
      <c r="Q38" s="284">
        <f>MCF!R37</f>
        <v>0.8</v>
      </c>
      <c r="R38" s="67">
        <f t="shared" si="4"/>
        <v>0.22997237398718459</v>
      </c>
      <c r="S38" s="67">
        <f t="shared" si="7"/>
        <v>0.22997237398718459</v>
      </c>
      <c r="T38" s="67">
        <f t="shared" si="8"/>
        <v>0</v>
      </c>
      <c r="U38" s="67">
        <f t="shared" si="9"/>
        <v>0.69185825531074152</v>
      </c>
      <c r="V38" s="67">
        <f t="shared" si="10"/>
        <v>0.22716688392673001</v>
      </c>
      <c r="W38" s="100">
        <f t="shared" si="11"/>
        <v>0.15144458928448667</v>
      </c>
    </row>
    <row r="39" spans="2:23">
      <c r="B39" s="96">
        <f>Amnt_Deposited!B34</f>
        <v>2020</v>
      </c>
      <c r="C39" s="99">
        <f>Amnt_Deposited!C34</f>
        <v>3.8179255300258026</v>
      </c>
      <c r="D39" s="418">
        <f>Dry_Matter_Content!C26</f>
        <v>0.59</v>
      </c>
      <c r="E39" s="284">
        <f>MCF!R38</f>
        <v>0.8</v>
      </c>
      <c r="F39" s="67">
        <f t="shared" si="5"/>
        <v>0.34239156153271399</v>
      </c>
      <c r="G39" s="67">
        <f t="shared" si="0"/>
        <v>0.34239156153271399</v>
      </c>
      <c r="H39" s="67">
        <f t="shared" si="1"/>
        <v>0</v>
      </c>
      <c r="I39" s="67">
        <f t="shared" si="2"/>
        <v>1.0355678267508304</v>
      </c>
      <c r="J39" s="67">
        <f t="shared" si="3"/>
        <v>0.3409212070530051</v>
      </c>
      <c r="K39" s="100">
        <f t="shared" si="6"/>
        <v>0.2272808047020034</v>
      </c>
      <c r="O39" s="96">
        <f>Amnt_Deposited!B34</f>
        <v>2020</v>
      </c>
      <c r="P39" s="99">
        <f>Amnt_Deposited!C34</f>
        <v>3.8179255300258026</v>
      </c>
      <c r="Q39" s="284">
        <f>MCF!R38</f>
        <v>0.8</v>
      </c>
      <c r="R39" s="67">
        <f t="shared" si="4"/>
        <v>0.22907553180154816</v>
      </c>
      <c r="S39" s="67">
        <f t="shared" si="7"/>
        <v>0.22907553180154816</v>
      </c>
      <c r="T39" s="67">
        <f t="shared" si="8"/>
        <v>0</v>
      </c>
      <c r="U39" s="67">
        <f t="shared" si="9"/>
        <v>0.69284198935158159</v>
      </c>
      <c r="V39" s="67">
        <f t="shared" si="10"/>
        <v>0.22809179776070815</v>
      </c>
      <c r="W39" s="100">
        <f t="shared" si="11"/>
        <v>0.15206119850713876</v>
      </c>
    </row>
    <row r="40" spans="2:23">
      <c r="B40" s="96">
        <f>Amnt_Deposited!B35</f>
        <v>2021</v>
      </c>
      <c r="C40" s="99">
        <f>Amnt_Deposited!C35</f>
        <v>3.8015185625404451</v>
      </c>
      <c r="D40" s="418">
        <f>Dry_Matter_Content!C27</f>
        <v>0.59</v>
      </c>
      <c r="E40" s="284">
        <f>MCF!R39</f>
        <v>0.8</v>
      </c>
      <c r="F40" s="67">
        <f t="shared" si="5"/>
        <v>0.34092018468862711</v>
      </c>
      <c r="G40" s="67">
        <f t="shared" si="0"/>
        <v>0.34092018468862711</v>
      </c>
      <c r="H40" s="67">
        <f t="shared" si="1"/>
        <v>0</v>
      </c>
      <c r="I40" s="67">
        <f t="shared" si="2"/>
        <v>1.0350820579892708</v>
      </c>
      <c r="J40" s="67">
        <f t="shared" si="3"/>
        <v>0.34140595345018676</v>
      </c>
      <c r="K40" s="100">
        <f t="shared" si="6"/>
        <v>0.22760396896679116</v>
      </c>
      <c r="O40" s="96">
        <f>Amnt_Deposited!B35</f>
        <v>2021</v>
      </c>
      <c r="P40" s="99">
        <f>Amnt_Deposited!C35</f>
        <v>3.8015185625404451</v>
      </c>
      <c r="Q40" s="284">
        <f>MCF!R39</f>
        <v>0.8</v>
      </c>
      <c r="R40" s="67">
        <f t="shared" si="4"/>
        <v>0.22809111375242669</v>
      </c>
      <c r="S40" s="67">
        <f t="shared" si="7"/>
        <v>0.22809111375242669</v>
      </c>
      <c r="T40" s="67">
        <f t="shared" si="8"/>
        <v>0</v>
      </c>
      <c r="U40" s="67">
        <f t="shared" si="9"/>
        <v>0.69251698795000283</v>
      </c>
      <c r="V40" s="67">
        <f t="shared" si="10"/>
        <v>0.22841611515400548</v>
      </c>
      <c r="W40" s="100">
        <f t="shared" si="11"/>
        <v>0.15227741010267032</v>
      </c>
    </row>
    <row r="41" spans="2:23">
      <c r="B41" s="96">
        <f>Amnt_Deposited!B36</f>
        <v>2022</v>
      </c>
      <c r="C41" s="99">
        <f>Amnt_Deposited!C36</f>
        <v>3.7837299409701632</v>
      </c>
      <c r="D41" s="418">
        <f>Dry_Matter_Content!C28</f>
        <v>0.59</v>
      </c>
      <c r="E41" s="284">
        <f>MCF!R40</f>
        <v>0.8</v>
      </c>
      <c r="F41" s="67">
        <f t="shared" si="5"/>
        <v>0.33932490110620422</v>
      </c>
      <c r="G41" s="67">
        <f t="shared" si="0"/>
        <v>0.33932490110620422</v>
      </c>
      <c r="H41" s="67">
        <f t="shared" si="1"/>
        <v>0</v>
      </c>
      <c r="I41" s="67">
        <f t="shared" si="2"/>
        <v>1.0331611538682366</v>
      </c>
      <c r="J41" s="67">
        <f t="shared" si="3"/>
        <v>0.34124580522723852</v>
      </c>
      <c r="K41" s="100">
        <f t="shared" si="6"/>
        <v>0.22749720348482566</v>
      </c>
      <c r="O41" s="96">
        <f>Amnt_Deposited!B36</f>
        <v>2022</v>
      </c>
      <c r="P41" s="99">
        <f>Amnt_Deposited!C36</f>
        <v>3.7837299409701632</v>
      </c>
      <c r="Q41" s="284">
        <f>MCF!R40</f>
        <v>0.8</v>
      </c>
      <c r="R41" s="67">
        <f t="shared" si="4"/>
        <v>0.2270237964582098</v>
      </c>
      <c r="S41" s="67">
        <f t="shared" si="7"/>
        <v>0.2270237964582098</v>
      </c>
      <c r="T41" s="67">
        <f t="shared" si="8"/>
        <v>0</v>
      </c>
      <c r="U41" s="67">
        <f t="shared" si="9"/>
        <v>0.69123181570131798</v>
      </c>
      <c r="V41" s="67">
        <f t="shared" si="10"/>
        <v>0.22830896870689465</v>
      </c>
      <c r="W41" s="100">
        <f t="shared" si="11"/>
        <v>0.15220597913792977</v>
      </c>
    </row>
    <row r="42" spans="2:23">
      <c r="B42" s="96">
        <f>Amnt_Deposited!B37</f>
        <v>2023</v>
      </c>
      <c r="C42" s="99">
        <f>Amnt_Deposited!C37</f>
        <v>3.7646347256120607</v>
      </c>
      <c r="D42" s="418">
        <f>Dry_Matter_Content!C29</f>
        <v>0.59</v>
      </c>
      <c r="E42" s="284">
        <f>MCF!R41</f>
        <v>0.8</v>
      </c>
      <c r="F42" s="67">
        <f t="shared" si="5"/>
        <v>0.33761244219288961</v>
      </c>
      <c r="G42" s="67">
        <f t="shared" si="0"/>
        <v>0.33761244219288961</v>
      </c>
      <c r="H42" s="67">
        <f t="shared" si="1"/>
        <v>0</v>
      </c>
      <c r="I42" s="67">
        <f t="shared" si="2"/>
        <v>1.0301610744160803</v>
      </c>
      <c r="J42" s="67">
        <f t="shared" si="3"/>
        <v>0.34061252164504602</v>
      </c>
      <c r="K42" s="100">
        <f t="shared" si="6"/>
        <v>0.22707501443003067</v>
      </c>
      <c r="O42" s="96">
        <f>Amnt_Deposited!B37</f>
        <v>2023</v>
      </c>
      <c r="P42" s="99">
        <f>Amnt_Deposited!C37</f>
        <v>3.7646347256120607</v>
      </c>
      <c r="Q42" s="284">
        <f>MCF!R41</f>
        <v>0.8</v>
      </c>
      <c r="R42" s="67">
        <f t="shared" si="4"/>
        <v>0.22587808353672367</v>
      </c>
      <c r="S42" s="67">
        <f t="shared" si="7"/>
        <v>0.22587808353672367</v>
      </c>
      <c r="T42" s="67">
        <f t="shared" si="8"/>
        <v>0</v>
      </c>
      <c r="U42" s="67">
        <f t="shared" si="9"/>
        <v>0.68922462605892965</v>
      </c>
      <c r="V42" s="67">
        <f t="shared" si="10"/>
        <v>0.22788527317911195</v>
      </c>
      <c r="W42" s="100">
        <f t="shared" si="11"/>
        <v>0.1519235154527413</v>
      </c>
    </row>
    <row r="43" spans="2:23">
      <c r="B43" s="96">
        <f>Amnt_Deposited!B38</f>
        <v>2024</v>
      </c>
      <c r="C43" s="99">
        <f>Amnt_Deposited!C38</f>
        <v>3.7443051865172419</v>
      </c>
      <c r="D43" s="418">
        <f>Dry_Matter_Content!C30</f>
        <v>0.59</v>
      </c>
      <c r="E43" s="284">
        <f>MCF!R42</f>
        <v>0.8</v>
      </c>
      <c r="F43" s="67">
        <f t="shared" si="5"/>
        <v>0.33578928912686623</v>
      </c>
      <c r="G43" s="67">
        <f t="shared" si="0"/>
        <v>0.33578928912686623</v>
      </c>
      <c r="H43" s="67">
        <f t="shared" si="1"/>
        <v>0</v>
      </c>
      <c r="I43" s="67">
        <f t="shared" si="2"/>
        <v>1.0263269079535768</v>
      </c>
      <c r="J43" s="67">
        <f t="shared" si="3"/>
        <v>0.33962345558936968</v>
      </c>
      <c r="K43" s="100">
        <f t="shared" si="6"/>
        <v>0.22641563705957979</v>
      </c>
      <c r="O43" s="96">
        <f>Amnt_Deposited!B38</f>
        <v>2024</v>
      </c>
      <c r="P43" s="99">
        <f>Amnt_Deposited!C38</f>
        <v>3.7443051865172419</v>
      </c>
      <c r="Q43" s="284">
        <f>MCF!R42</f>
        <v>0.8</v>
      </c>
      <c r="R43" s="67">
        <f t="shared" si="4"/>
        <v>0.22465831119103452</v>
      </c>
      <c r="S43" s="67">
        <f t="shared" si="7"/>
        <v>0.22465831119103452</v>
      </c>
      <c r="T43" s="67">
        <f t="shared" si="8"/>
        <v>0</v>
      </c>
      <c r="U43" s="67">
        <f t="shared" si="9"/>
        <v>0.68665939425975253</v>
      </c>
      <c r="V43" s="67">
        <f t="shared" si="10"/>
        <v>0.22722354299021164</v>
      </c>
      <c r="W43" s="100">
        <f t="shared" si="11"/>
        <v>0.15148236199347442</v>
      </c>
    </row>
    <row r="44" spans="2:23">
      <c r="B44" s="96">
        <f>Amnt_Deposited!B39</f>
        <v>2025</v>
      </c>
      <c r="C44" s="99">
        <f>Amnt_Deposited!C39</f>
        <v>3.7228108937893598</v>
      </c>
      <c r="D44" s="418">
        <f>Dry_Matter_Content!C31</f>
        <v>0.59</v>
      </c>
      <c r="E44" s="284">
        <f>MCF!R43</f>
        <v>0.8</v>
      </c>
      <c r="F44" s="67">
        <f t="shared" si="5"/>
        <v>0.33386168095502983</v>
      </c>
      <c r="G44" s="67">
        <f t="shared" si="0"/>
        <v>0.33386168095502983</v>
      </c>
      <c r="H44" s="67">
        <f t="shared" si="1"/>
        <v>0</v>
      </c>
      <c r="I44" s="67">
        <f t="shared" si="2"/>
        <v>1.0218291811420868</v>
      </c>
      <c r="J44" s="67">
        <f t="shared" si="3"/>
        <v>0.33835940776651985</v>
      </c>
      <c r="K44" s="100">
        <f t="shared" si="6"/>
        <v>0.22557293851101323</v>
      </c>
      <c r="O44" s="96">
        <f>Amnt_Deposited!B39</f>
        <v>2025</v>
      </c>
      <c r="P44" s="99">
        <f>Amnt_Deposited!C39</f>
        <v>3.7228108937893598</v>
      </c>
      <c r="Q44" s="284">
        <f>MCF!R43</f>
        <v>0.8</v>
      </c>
      <c r="R44" s="67">
        <f t="shared" si="4"/>
        <v>0.22336865362736158</v>
      </c>
      <c r="S44" s="67">
        <f t="shared" si="7"/>
        <v>0.22336865362736158</v>
      </c>
      <c r="T44" s="67">
        <f t="shared" si="8"/>
        <v>0</v>
      </c>
      <c r="U44" s="67">
        <f t="shared" si="9"/>
        <v>0.68365021039836305</v>
      </c>
      <c r="V44" s="67">
        <f t="shared" si="10"/>
        <v>0.22637783748875101</v>
      </c>
      <c r="W44" s="100">
        <f t="shared" si="11"/>
        <v>0.15091855832583401</v>
      </c>
    </row>
    <row r="45" spans="2:23">
      <c r="B45" s="96">
        <f>Amnt_Deposited!B40</f>
        <v>2026</v>
      </c>
      <c r="C45" s="99">
        <f>Amnt_Deposited!C40</f>
        <v>3.7002188051654752</v>
      </c>
      <c r="D45" s="418">
        <f>Dry_Matter_Content!C32</f>
        <v>0.59</v>
      </c>
      <c r="E45" s="284">
        <f>MCF!R44</f>
        <v>0.8</v>
      </c>
      <c r="F45" s="67">
        <f t="shared" si="5"/>
        <v>0.33183562244723985</v>
      </c>
      <c r="G45" s="67">
        <f t="shared" si="0"/>
        <v>0.33183562244723985</v>
      </c>
      <c r="H45" s="67">
        <f t="shared" si="1"/>
        <v>0</v>
      </c>
      <c r="I45" s="67">
        <f t="shared" si="2"/>
        <v>1.016788206190963</v>
      </c>
      <c r="J45" s="67">
        <f t="shared" si="3"/>
        <v>0.33687659739836351</v>
      </c>
      <c r="K45" s="100">
        <f t="shared" si="6"/>
        <v>0.22458439826557566</v>
      </c>
      <c r="O45" s="96">
        <f>Amnt_Deposited!B40</f>
        <v>2026</v>
      </c>
      <c r="P45" s="99">
        <f>Amnt_Deposited!C40</f>
        <v>3.7002188051654752</v>
      </c>
      <c r="Q45" s="284">
        <f>MCF!R44</f>
        <v>0.8</v>
      </c>
      <c r="R45" s="67">
        <f t="shared" si="4"/>
        <v>0.22201312830992853</v>
      </c>
      <c r="S45" s="67">
        <f t="shared" si="7"/>
        <v>0.22201312830992853</v>
      </c>
      <c r="T45" s="67">
        <f t="shared" si="8"/>
        <v>0</v>
      </c>
      <c r="U45" s="67">
        <f t="shared" si="9"/>
        <v>0.68027756881643375</v>
      </c>
      <c r="V45" s="67">
        <f t="shared" si="10"/>
        <v>0.22538576989185782</v>
      </c>
      <c r="W45" s="100">
        <f t="shared" si="11"/>
        <v>0.15025717992790522</v>
      </c>
    </row>
    <row r="46" spans="2:23">
      <c r="B46" s="96">
        <f>Amnt_Deposited!B41</f>
        <v>2027</v>
      </c>
      <c r="C46" s="99">
        <f>Amnt_Deposited!C41</f>
        <v>3.6765933509574085</v>
      </c>
      <c r="D46" s="418">
        <f>Dry_Matter_Content!C33</f>
        <v>0.59</v>
      </c>
      <c r="E46" s="284">
        <f>MCF!R45</f>
        <v>0.8</v>
      </c>
      <c r="F46" s="67">
        <f t="shared" si="5"/>
        <v>0.32971689171386043</v>
      </c>
      <c r="G46" s="67">
        <f t="shared" si="0"/>
        <v>0.32971689171386043</v>
      </c>
      <c r="H46" s="67">
        <f t="shared" si="1"/>
        <v>0</v>
      </c>
      <c r="I46" s="67">
        <f t="shared" si="2"/>
        <v>1.011290408896282</v>
      </c>
      <c r="J46" s="67">
        <f t="shared" si="3"/>
        <v>0.33521468900854157</v>
      </c>
      <c r="K46" s="100">
        <f t="shared" si="6"/>
        <v>0.22347645933902771</v>
      </c>
      <c r="O46" s="96">
        <f>Amnt_Deposited!B41</f>
        <v>2027</v>
      </c>
      <c r="P46" s="99">
        <f>Amnt_Deposited!C41</f>
        <v>3.6765933509574085</v>
      </c>
      <c r="Q46" s="284">
        <f>MCF!R45</f>
        <v>0.8</v>
      </c>
      <c r="R46" s="67">
        <f t="shared" si="4"/>
        <v>0.2205956010574445</v>
      </c>
      <c r="S46" s="67">
        <f t="shared" si="7"/>
        <v>0.2205956010574445</v>
      </c>
      <c r="T46" s="67">
        <f t="shared" si="8"/>
        <v>0</v>
      </c>
      <c r="U46" s="67">
        <f t="shared" si="9"/>
        <v>0.67659929230348914</v>
      </c>
      <c r="V46" s="67">
        <f t="shared" si="10"/>
        <v>0.22427387757038908</v>
      </c>
      <c r="W46" s="100">
        <f t="shared" si="11"/>
        <v>0.14951591838025938</v>
      </c>
    </row>
    <row r="47" spans="2:23">
      <c r="B47" s="96">
        <f>Amnt_Deposited!B42</f>
        <v>2028</v>
      </c>
      <c r="C47" s="99">
        <f>Amnt_Deposited!C42</f>
        <v>3.6519965164296475</v>
      </c>
      <c r="D47" s="418">
        <f>Dry_Matter_Content!C34</f>
        <v>0.59</v>
      </c>
      <c r="E47" s="284">
        <f>MCF!R46</f>
        <v>0.8</v>
      </c>
      <c r="F47" s="67">
        <f t="shared" si="5"/>
        <v>0.32751104759341076</v>
      </c>
      <c r="G47" s="67">
        <f t="shared" si="0"/>
        <v>0.32751104759341076</v>
      </c>
      <c r="H47" s="67">
        <f t="shared" si="1"/>
        <v>0</v>
      </c>
      <c r="I47" s="67">
        <f t="shared" si="2"/>
        <v>1.0053992810401668</v>
      </c>
      <c r="J47" s="67">
        <f t="shared" si="3"/>
        <v>0.33340217544952572</v>
      </c>
      <c r="K47" s="100">
        <f t="shared" si="6"/>
        <v>0.22226811696635046</v>
      </c>
      <c r="O47" s="96">
        <f>Amnt_Deposited!B42</f>
        <v>2028</v>
      </c>
      <c r="P47" s="99">
        <f>Amnt_Deposited!C42</f>
        <v>3.6519965164296475</v>
      </c>
      <c r="Q47" s="284">
        <f>MCF!R46</f>
        <v>0.8</v>
      </c>
      <c r="R47" s="67">
        <f t="shared" si="4"/>
        <v>0.21911979098577886</v>
      </c>
      <c r="S47" s="67">
        <f t="shared" si="7"/>
        <v>0.21911979098577886</v>
      </c>
      <c r="T47" s="67">
        <f t="shared" si="8"/>
        <v>0</v>
      </c>
      <c r="U47" s="67">
        <f t="shared" si="9"/>
        <v>0.67265785975033465</v>
      </c>
      <c r="V47" s="67">
        <f t="shared" si="10"/>
        <v>0.22306122353893332</v>
      </c>
      <c r="W47" s="100">
        <f t="shared" si="11"/>
        <v>0.14870748235928888</v>
      </c>
    </row>
    <row r="48" spans="2:23">
      <c r="B48" s="96">
        <f>Amnt_Deposited!B43</f>
        <v>2029</v>
      </c>
      <c r="C48" s="99">
        <f>Amnt_Deposited!C43</f>
        <v>3.626487921687692</v>
      </c>
      <c r="D48" s="418">
        <f>Dry_Matter_Content!C35</f>
        <v>0.59</v>
      </c>
      <c r="E48" s="284">
        <f>MCF!R47</f>
        <v>0.8</v>
      </c>
      <c r="F48" s="67">
        <f t="shared" si="5"/>
        <v>0.3252234368169522</v>
      </c>
      <c r="G48" s="67">
        <f t="shared" si="0"/>
        <v>0.3252234368169522</v>
      </c>
      <c r="H48" s="67">
        <f t="shared" si="1"/>
        <v>0</v>
      </c>
      <c r="I48" s="67">
        <f t="shared" si="2"/>
        <v>0.99916272916799553</v>
      </c>
      <c r="J48" s="67">
        <f t="shared" si="3"/>
        <v>0.33145998868912352</v>
      </c>
      <c r="K48" s="100">
        <f t="shared" si="6"/>
        <v>0.220973325792749</v>
      </c>
      <c r="O48" s="96">
        <f>Amnt_Deposited!B43</f>
        <v>2029</v>
      </c>
      <c r="P48" s="99">
        <f>Amnt_Deposited!C43</f>
        <v>3.626487921687692</v>
      </c>
      <c r="Q48" s="284">
        <f>MCF!R47</f>
        <v>0.8</v>
      </c>
      <c r="R48" s="67">
        <f t="shared" si="4"/>
        <v>0.21758927530126151</v>
      </c>
      <c r="S48" s="67">
        <f t="shared" si="7"/>
        <v>0.21758927530126151</v>
      </c>
      <c r="T48" s="67">
        <f t="shared" si="8"/>
        <v>0</v>
      </c>
      <c r="U48" s="67">
        <f t="shared" si="9"/>
        <v>0.66848532281534045</v>
      </c>
      <c r="V48" s="67">
        <f t="shared" si="10"/>
        <v>0.22176181223625571</v>
      </c>
      <c r="W48" s="100">
        <f t="shared" si="11"/>
        <v>0.14784120815750379</v>
      </c>
    </row>
    <row r="49" spans="2:23">
      <c r="B49" s="96">
        <f>Amnt_Deposited!B44</f>
        <v>2030</v>
      </c>
      <c r="C49" s="99">
        <f>Amnt_Deposited!C44</f>
        <v>3.6002792400000003</v>
      </c>
      <c r="D49" s="418">
        <f>Dry_Matter_Content!C36</f>
        <v>0.59</v>
      </c>
      <c r="E49" s="284">
        <f>MCF!R48</f>
        <v>0.8</v>
      </c>
      <c r="F49" s="67">
        <f t="shared" si="5"/>
        <v>0.32287304224320001</v>
      </c>
      <c r="G49" s="67">
        <f t="shared" si="0"/>
        <v>0.32287304224320001</v>
      </c>
      <c r="H49" s="67">
        <f t="shared" si="1"/>
        <v>0</v>
      </c>
      <c r="I49" s="67">
        <f t="shared" si="2"/>
        <v>0.99263184885618583</v>
      </c>
      <c r="J49" s="67">
        <f t="shared" si="3"/>
        <v>0.32940392255500972</v>
      </c>
      <c r="K49" s="100">
        <f t="shared" si="6"/>
        <v>0.21960261503667314</v>
      </c>
      <c r="O49" s="96">
        <f>Amnt_Deposited!B44</f>
        <v>2030</v>
      </c>
      <c r="P49" s="99">
        <f>Amnt_Deposited!C44</f>
        <v>3.6002792400000003</v>
      </c>
      <c r="Q49" s="284">
        <f>MCF!R48</f>
        <v>0.8</v>
      </c>
      <c r="R49" s="67">
        <f t="shared" si="4"/>
        <v>0.21601675440000001</v>
      </c>
      <c r="S49" s="67">
        <f t="shared" si="7"/>
        <v>0.21601675440000001</v>
      </c>
      <c r="T49" s="67">
        <f t="shared" si="8"/>
        <v>0</v>
      </c>
      <c r="U49" s="67">
        <f t="shared" si="9"/>
        <v>0.66411586676372825</v>
      </c>
      <c r="V49" s="67">
        <f t="shared" si="10"/>
        <v>0.22038621045161222</v>
      </c>
      <c r="W49" s="100">
        <f t="shared" si="11"/>
        <v>0.14692414030107481</v>
      </c>
    </row>
    <row r="50" spans="2:23">
      <c r="B50" s="96">
        <f>Amnt_Deposited!B45</f>
        <v>2031</v>
      </c>
      <c r="C50" s="99">
        <f>Amnt_Deposited!C45</f>
        <v>0</v>
      </c>
      <c r="D50" s="418">
        <f>Dry_Matter_Content!C37</f>
        <v>0.59</v>
      </c>
      <c r="E50" s="284">
        <f>MCF!R49</f>
        <v>0.8</v>
      </c>
      <c r="F50" s="67">
        <f t="shared" si="5"/>
        <v>0</v>
      </c>
      <c r="G50" s="67">
        <f t="shared" si="0"/>
        <v>0</v>
      </c>
      <c r="H50" s="67">
        <f t="shared" si="1"/>
        <v>0</v>
      </c>
      <c r="I50" s="67">
        <f t="shared" si="2"/>
        <v>0.66538102662172027</v>
      </c>
      <c r="J50" s="67">
        <f t="shared" si="3"/>
        <v>0.32725082223446555</v>
      </c>
      <c r="K50" s="100">
        <f t="shared" si="6"/>
        <v>0.21816721482297702</v>
      </c>
      <c r="O50" s="96">
        <f>Amnt_Deposited!B45</f>
        <v>2031</v>
      </c>
      <c r="P50" s="99">
        <f>Amnt_Deposited!C45</f>
        <v>0</v>
      </c>
      <c r="Q50" s="284">
        <f>MCF!R49</f>
        <v>0.8</v>
      </c>
      <c r="R50" s="67">
        <f t="shared" si="4"/>
        <v>0</v>
      </c>
      <c r="S50" s="67">
        <f t="shared" si="7"/>
        <v>0</v>
      </c>
      <c r="T50" s="67">
        <f t="shared" si="8"/>
        <v>0</v>
      </c>
      <c r="U50" s="67">
        <f t="shared" si="9"/>
        <v>0.44517017838206085</v>
      </c>
      <c r="V50" s="67">
        <f t="shared" si="10"/>
        <v>0.21894568838166742</v>
      </c>
      <c r="W50" s="100">
        <f t="shared" si="11"/>
        <v>0.14596379225444495</v>
      </c>
    </row>
    <row r="51" spans="2:23">
      <c r="B51" s="96">
        <f>Amnt_Deposited!B46</f>
        <v>2032</v>
      </c>
      <c r="C51" s="99">
        <f>Amnt_Deposited!C46</f>
        <v>0</v>
      </c>
      <c r="D51" s="418">
        <f>Dry_Matter_Content!C38</f>
        <v>0.59</v>
      </c>
      <c r="E51" s="284">
        <f>MCF!R50</f>
        <v>0.8</v>
      </c>
      <c r="F51" s="67">
        <f t="shared" ref="F51:F82" si="12">C51*D51*$K$6*DOCF*E51</f>
        <v>0</v>
      </c>
      <c r="G51" s="67">
        <f t="shared" ref="G51:G82" si="13">F51*$K$12</f>
        <v>0</v>
      </c>
      <c r="H51" s="67">
        <f t="shared" ref="H51:H82" si="14">F51*(1-$K$12)</f>
        <v>0</v>
      </c>
      <c r="I51" s="67">
        <f t="shared" ref="I51:I82" si="15">G51+I50*$K$10</f>
        <v>0.44601824039631249</v>
      </c>
      <c r="J51" s="67">
        <f t="shared" ref="J51:J82" si="16">I50*(1-$K$10)+H51</f>
        <v>0.21936278622540778</v>
      </c>
      <c r="K51" s="100">
        <f t="shared" si="6"/>
        <v>0.14624185748360519</v>
      </c>
      <c r="O51" s="96">
        <f>Amnt_Deposited!B46</f>
        <v>2032</v>
      </c>
      <c r="P51" s="99">
        <f>Amnt_Deposited!C46</f>
        <v>0</v>
      </c>
      <c r="Q51" s="284">
        <f>MCF!R50</f>
        <v>0.8</v>
      </c>
      <c r="R51" s="67">
        <f t="shared" ref="R51:R82" si="17">P51*$W$6*DOCF*Q51</f>
        <v>0</v>
      </c>
      <c r="S51" s="67">
        <f t="shared" si="7"/>
        <v>0</v>
      </c>
      <c r="T51" s="67">
        <f t="shared" si="8"/>
        <v>0</v>
      </c>
      <c r="U51" s="67">
        <f t="shared" si="9"/>
        <v>0.29840649446675682</v>
      </c>
      <c r="V51" s="67">
        <f t="shared" si="10"/>
        <v>0.14676368391530406</v>
      </c>
      <c r="W51" s="100">
        <f t="shared" si="11"/>
        <v>9.7842455943536036E-2</v>
      </c>
    </row>
    <row r="52" spans="2:23">
      <c r="B52" s="96">
        <f>Amnt_Deposited!B47</f>
        <v>2033</v>
      </c>
      <c r="C52" s="99">
        <f>Amnt_Deposited!C47</f>
        <v>0</v>
      </c>
      <c r="D52" s="418">
        <f>Dry_Matter_Content!C39</f>
        <v>0.59</v>
      </c>
      <c r="E52" s="284">
        <f>MCF!R51</f>
        <v>0.8</v>
      </c>
      <c r="F52" s="67">
        <f t="shared" si="12"/>
        <v>0</v>
      </c>
      <c r="G52" s="67">
        <f t="shared" si="13"/>
        <v>0</v>
      </c>
      <c r="H52" s="67">
        <f t="shared" si="14"/>
        <v>0</v>
      </c>
      <c r="I52" s="67">
        <f t="shared" si="15"/>
        <v>0.29897496743519103</v>
      </c>
      <c r="J52" s="67">
        <f t="shared" si="16"/>
        <v>0.14704327296112146</v>
      </c>
      <c r="K52" s="100">
        <f t="shared" si="6"/>
        <v>9.8028848640747637E-2</v>
      </c>
      <c r="O52" s="96">
        <f>Amnt_Deposited!B47</f>
        <v>2033</v>
      </c>
      <c r="P52" s="99">
        <f>Amnt_Deposited!C47</f>
        <v>0</v>
      </c>
      <c r="Q52" s="284">
        <f>MCF!R51</f>
        <v>0.8</v>
      </c>
      <c r="R52" s="67">
        <f t="shared" si="17"/>
        <v>0</v>
      </c>
      <c r="S52" s="67">
        <f t="shared" si="7"/>
        <v>0</v>
      </c>
      <c r="T52" s="67">
        <f t="shared" si="8"/>
        <v>0</v>
      </c>
      <c r="U52" s="67">
        <f t="shared" si="9"/>
        <v>0.20002785510829019</v>
      </c>
      <c r="V52" s="67">
        <f t="shared" si="10"/>
        <v>9.8378639358466635E-2</v>
      </c>
      <c r="W52" s="100">
        <f t="shared" si="11"/>
        <v>6.5585759572311081E-2</v>
      </c>
    </row>
    <row r="53" spans="2:23">
      <c r="B53" s="96">
        <f>Amnt_Deposited!B48</f>
        <v>2034</v>
      </c>
      <c r="C53" s="99">
        <f>Amnt_Deposited!C48</f>
        <v>0</v>
      </c>
      <c r="D53" s="418">
        <f>Dry_Matter_Content!C40</f>
        <v>0.59</v>
      </c>
      <c r="E53" s="284">
        <f>MCF!R52</f>
        <v>0.8</v>
      </c>
      <c r="F53" s="67">
        <f t="shared" si="12"/>
        <v>0</v>
      </c>
      <c r="G53" s="67">
        <f t="shared" si="13"/>
        <v>0</v>
      </c>
      <c r="H53" s="67">
        <f t="shared" si="14"/>
        <v>0</v>
      </c>
      <c r="I53" s="67">
        <f t="shared" si="15"/>
        <v>0.20040891393466101</v>
      </c>
      <c r="J53" s="67">
        <f t="shared" si="16"/>
        <v>9.8566053500530007E-2</v>
      </c>
      <c r="K53" s="100">
        <f t="shared" si="6"/>
        <v>6.5710702333686671E-2</v>
      </c>
      <c r="O53" s="96">
        <f>Amnt_Deposited!B48</f>
        <v>2034</v>
      </c>
      <c r="P53" s="99">
        <f>Amnt_Deposited!C48</f>
        <v>0</v>
      </c>
      <c r="Q53" s="284">
        <f>MCF!R52</f>
        <v>0.8</v>
      </c>
      <c r="R53" s="67">
        <f t="shared" si="17"/>
        <v>0</v>
      </c>
      <c r="S53" s="67">
        <f t="shared" si="7"/>
        <v>0</v>
      </c>
      <c r="T53" s="67">
        <f t="shared" si="8"/>
        <v>0</v>
      </c>
      <c r="U53" s="67">
        <f t="shared" si="9"/>
        <v>0.13408268104459928</v>
      </c>
      <c r="V53" s="67">
        <f t="shared" si="10"/>
        <v>6.5945174063690909E-2</v>
      </c>
      <c r="W53" s="100">
        <f t="shared" si="11"/>
        <v>4.3963449375793939E-2</v>
      </c>
    </row>
    <row r="54" spans="2:23">
      <c r="B54" s="96">
        <f>Amnt_Deposited!B49</f>
        <v>2035</v>
      </c>
      <c r="C54" s="99">
        <f>Amnt_Deposited!C49</f>
        <v>0</v>
      </c>
      <c r="D54" s="418">
        <f>Dry_Matter_Content!C41</f>
        <v>0.59</v>
      </c>
      <c r="E54" s="284">
        <f>MCF!R53</f>
        <v>0.8</v>
      </c>
      <c r="F54" s="67">
        <f t="shared" si="12"/>
        <v>0</v>
      </c>
      <c r="G54" s="67">
        <f t="shared" si="13"/>
        <v>0</v>
      </c>
      <c r="H54" s="67">
        <f t="shared" si="14"/>
        <v>0</v>
      </c>
      <c r="I54" s="67">
        <f t="shared" si="15"/>
        <v>0.13433811241463445</v>
      </c>
      <c r="J54" s="67">
        <f t="shared" si="16"/>
        <v>6.6070801520026562E-2</v>
      </c>
      <c r="K54" s="100">
        <f t="shared" si="6"/>
        <v>4.4047201013351037E-2</v>
      </c>
      <c r="O54" s="96">
        <f>Amnt_Deposited!B49</f>
        <v>2035</v>
      </c>
      <c r="P54" s="99">
        <f>Amnt_Deposited!C49</f>
        <v>0</v>
      </c>
      <c r="Q54" s="284">
        <f>MCF!R53</f>
        <v>0.8</v>
      </c>
      <c r="R54" s="67">
        <f t="shared" si="17"/>
        <v>0</v>
      </c>
      <c r="S54" s="67">
        <f t="shared" si="7"/>
        <v>0</v>
      </c>
      <c r="T54" s="67">
        <f t="shared" si="8"/>
        <v>0</v>
      </c>
      <c r="U54" s="67">
        <f t="shared" si="9"/>
        <v>8.9878308930397735E-2</v>
      </c>
      <c r="V54" s="67">
        <f t="shared" si="10"/>
        <v>4.4204372114201543E-2</v>
      </c>
      <c r="W54" s="100">
        <f t="shared" si="11"/>
        <v>2.9469581409467694E-2</v>
      </c>
    </row>
    <row r="55" spans="2:23">
      <c r="B55" s="96">
        <f>Amnt_Deposited!B50</f>
        <v>2036</v>
      </c>
      <c r="C55" s="99">
        <f>Amnt_Deposited!C50</f>
        <v>0</v>
      </c>
      <c r="D55" s="418">
        <f>Dry_Matter_Content!C42</f>
        <v>0.59</v>
      </c>
      <c r="E55" s="284">
        <f>MCF!R54</f>
        <v>0.8</v>
      </c>
      <c r="F55" s="67">
        <f t="shared" si="12"/>
        <v>0</v>
      </c>
      <c r="G55" s="67">
        <f t="shared" si="13"/>
        <v>0</v>
      </c>
      <c r="H55" s="67">
        <f t="shared" si="14"/>
        <v>0</v>
      </c>
      <c r="I55" s="67">
        <f t="shared" si="15"/>
        <v>9.0049529698118649E-2</v>
      </c>
      <c r="J55" s="67">
        <f t="shared" si="16"/>
        <v>4.4288582716515791E-2</v>
      </c>
      <c r="K55" s="100">
        <f t="shared" si="6"/>
        <v>2.9525721811010527E-2</v>
      </c>
      <c r="O55" s="96">
        <f>Amnt_Deposited!B50</f>
        <v>2036</v>
      </c>
      <c r="P55" s="99">
        <f>Amnt_Deposited!C50</f>
        <v>0</v>
      </c>
      <c r="Q55" s="284">
        <f>MCF!R54</f>
        <v>0.8</v>
      </c>
      <c r="R55" s="67">
        <f t="shared" si="17"/>
        <v>0</v>
      </c>
      <c r="S55" s="67">
        <f t="shared" si="7"/>
        <v>0</v>
      </c>
      <c r="T55" s="67">
        <f t="shared" si="8"/>
        <v>0</v>
      </c>
      <c r="U55" s="67">
        <f t="shared" si="9"/>
        <v>6.0247232179829621E-2</v>
      </c>
      <c r="V55" s="67">
        <f t="shared" si="10"/>
        <v>2.963107675056811E-2</v>
      </c>
      <c r="W55" s="100">
        <f t="shared" si="11"/>
        <v>1.9754051167045407E-2</v>
      </c>
    </row>
    <row r="56" spans="2:23">
      <c r="B56" s="96">
        <f>Amnt_Deposited!B51</f>
        <v>2037</v>
      </c>
      <c r="C56" s="99">
        <f>Amnt_Deposited!C51</f>
        <v>0</v>
      </c>
      <c r="D56" s="418">
        <f>Dry_Matter_Content!C43</f>
        <v>0.59</v>
      </c>
      <c r="E56" s="284">
        <f>MCF!R55</f>
        <v>0.8</v>
      </c>
      <c r="F56" s="67">
        <f t="shared" si="12"/>
        <v>0</v>
      </c>
      <c r="G56" s="67">
        <f t="shared" si="13"/>
        <v>0</v>
      </c>
      <c r="H56" s="67">
        <f t="shared" si="14"/>
        <v>0</v>
      </c>
      <c r="I56" s="67">
        <f t="shared" si="15"/>
        <v>6.0362004892730567E-2</v>
      </c>
      <c r="J56" s="67">
        <f t="shared" si="16"/>
        <v>2.9687524805388086E-2</v>
      </c>
      <c r="K56" s="100">
        <f t="shared" si="6"/>
        <v>1.9791683203592057E-2</v>
      </c>
      <c r="O56" s="96">
        <f>Amnt_Deposited!B51</f>
        <v>2037</v>
      </c>
      <c r="P56" s="99">
        <f>Amnt_Deposited!C51</f>
        <v>0</v>
      </c>
      <c r="Q56" s="284">
        <f>MCF!R55</f>
        <v>0.8</v>
      </c>
      <c r="R56" s="67">
        <f t="shared" si="17"/>
        <v>0</v>
      </c>
      <c r="S56" s="67">
        <f t="shared" si="7"/>
        <v>0</v>
      </c>
      <c r="T56" s="67">
        <f t="shared" si="8"/>
        <v>0</v>
      </c>
      <c r="U56" s="67">
        <f t="shared" si="9"/>
        <v>4.0384927448303243E-2</v>
      </c>
      <c r="V56" s="67">
        <f t="shared" si="10"/>
        <v>1.9862304731526378E-2</v>
      </c>
      <c r="W56" s="100">
        <f t="shared" si="11"/>
        <v>1.3241536487684252E-2</v>
      </c>
    </row>
    <row r="57" spans="2:23">
      <c r="B57" s="96">
        <f>Amnt_Deposited!B52</f>
        <v>2038</v>
      </c>
      <c r="C57" s="99">
        <f>Amnt_Deposited!C52</f>
        <v>0</v>
      </c>
      <c r="D57" s="418">
        <f>Dry_Matter_Content!C44</f>
        <v>0.59</v>
      </c>
      <c r="E57" s="284">
        <f>MCF!R56</f>
        <v>0.8</v>
      </c>
      <c r="F57" s="67">
        <f t="shared" si="12"/>
        <v>0</v>
      </c>
      <c r="G57" s="67">
        <f t="shared" si="13"/>
        <v>0</v>
      </c>
      <c r="H57" s="67">
        <f t="shared" si="14"/>
        <v>0</v>
      </c>
      <c r="I57" s="67">
        <f t="shared" si="15"/>
        <v>4.0461861898498638E-2</v>
      </c>
      <c r="J57" s="67">
        <f t="shared" si="16"/>
        <v>1.9900142994231929E-2</v>
      </c>
      <c r="K57" s="100">
        <f t="shared" si="6"/>
        <v>1.3266761996154619E-2</v>
      </c>
      <c r="O57" s="96">
        <f>Amnt_Deposited!B52</f>
        <v>2038</v>
      </c>
      <c r="P57" s="99">
        <f>Amnt_Deposited!C52</f>
        <v>0</v>
      </c>
      <c r="Q57" s="284">
        <f>MCF!R56</f>
        <v>0.8</v>
      </c>
      <c r="R57" s="67">
        <f t="shared" si="17"/>
        <v>0</v>
      </c>
      <c r="S57" s="67">
        <f t="shared" si="7"/>
        <v>0</v>
      </c>
      <c r="T57" s="67">
        <f t="shared" si="8"/>
        <v>0</v>
      </c>
      <c r="U57" s="67">
        <f t="shared" si="9"/>
        <v>2.7070826426292584E-2</v>
      </c>
      <c r="V57" s="67">
        <f t="shared" si="10"/>
        <v>1.3314101022010659E-2</v>
      </c>
      <c r="W57" s="100">
        <f t="shared" si="11"/>
        <v>8.8760673480071054E-3</v>
      </c>
    </row>
    <row r="58" spans="2:23">
      <c r="B58" s="96">
        <f>Amnt_Deposited!B53</f>
        <v>2039</v>
      </c>
      <c r="C58" s="99">
        <f>Amnt_Deposited!C53</f>
        <v>0</v>
      </c>
      <c r="D58" s="418">
        <f>Dry_Matter_Content!C45</f>
        <v>0.59</v>
      </c>
      <c r="E58" s="284">
        <f>MCF!R57</f>
        <v>0.8</v>
      </c>
      <c r="F58" s="67">
        <f t="shared" si="12"/>
        <v>0</v>
      </c>
      <c r="G58" s="67">
        <f t="shared" si="13"/>
        <v>0</v>
      </c>
      <c r="H58" s="67">
        <f t="shared" si="14"/>
        <v>0</v>
      </c>
      <c r="I58" s="67">
        <f t="shared" si="15"/>
        <v>2.7122397130489289E-2</v>
      </c>
      <c r="J58" s="67">
        <f t="shared" si="16"/>
        <v>1.3339464768009349E-2</v>
      </c>
      <c r="K58" s="100">
        <f t="shared" si="6"/>
        <v>8.8929765120062329E-3</v>
      </c>
      <c r="O58" s="96">
        <f>Amnt_Deposited!B53</f>
        <v>2039</v>
      </c>
      <c r="P58" s="99">
        <f>Amnt_Deposited!C53</f>
        <v>0</v>
      </c>
      <c r="Q58" s="284">
        <f>MCF!R57</f>
        <v>0.8</v>
      </c>
      <c r="R58" s="67">
        <f t="shared" si="17"/>
        <v>0</v>
      </c>
      <c r="S58" s="67">
        <f t="shared" si="7"/>
        <v>0</v>
      </c>
      <c r="T58" s="67">
        <f t="shared" si="8"/>
        <v>0</v>
      </c>
      <c r="U58" s="67">
        <f t="shared" si="9"/>
        <v>1.8146117616295247E-2</v>
      </c>
      <c r="V58" s="67">
        <f t="shared" si="10"/>
        <v>8.9247088099973365E-3</v>
      </c>
      <c r="W58" s="100">
        <f t="shared" si="11"/>
        <v>5.9498058733315571E-3</v>
      </c>
    </row>
    <row r="59" spans="2:23">
      <c r="B59" s="96">
        <f>Amnt_Deposited!B54</f>
        <v>2040</v>
      </c>
      <c r="C59" s="99">
        <f>Amnt_Deposited!C54</f>
        <v>0</v>
      </c>
      <c r="D59" s="418">
        <f>Dry_Matter_Content!C46</f>
        <v>0.59</v>
      </c>
      <c r="E59" s="284">
        <f>MCF!R58</f>
        <v>0.8</v>
      </c>
      <c r="F59" s="67">
        <f t="shared" si="12"/>
        <v>0</v>
      </c>
      <c r="G59" s="67">
        <f t="shared" si="13"/>
        <v>0</v>
      </c>
      <c r="H59" s="67">
        <f t="shared" si="14"/>
        <v>0</v>
      </c>
      <c r="I59" s="67">
        <f t="shared" si="15"/>
        <v>1.8180686493106474E-2</v>
      </c>
      <c r="J59" s="67">
        <f t="shared" si="16"/>
        <v>8.9417106373828169E-3</v>
      </c>
      <c r="K59" s="100">
        <f t="shared" si="6"/>
        <v>5.9611404249218774E-3</v>
      </c>
      <c r="O59" s="96">
        <f>Amnt_Deposited!B54</f>
        <v>2040</v>
      </c>
      <c r="P59" s="99">
        <f>Amnt_Deposited!C54</f>
        <v>0</v>
      </c>
      <c r="Q59" s="284">
        <f>MCF!R58</f>
        <v>0.8</v>
      </c>
      <c r="R59" s="67">
        <f t="shared" si="17"/>
        <v>0</v>
      </c>
      <c r="S59" s="67">
        <f t="shared" si="7"/>
        <v>0</v>
      </c>
      <c r="T59" s="67">
        <f t="shared" si="8"/>
        <v>0</v>
      </c>
      <c r="U59" s="67">
        <f t="shared" si="9"/>
        <v>1.2163706395923155E-2</v>
      </c>
      <c r="V59" s="67">
        <f t="shared" si="10"/>
        <v>5.9824112203720912E-3</v>
      </c>
      <c r="W59" s="100">
        <f t="shared" si="11"/>
        <v>3.9882741469147269E-3</v>
      </c>
    </row>
    <row r="60" spans="2:23">
      <c r="B60" s="96">
        <f>Amnt_Deposited!B55</f>
        <v>2041</v>
      </c>
      <c r="C60" s="99">
        <f>Amnt_Deposited!C55</f>
        <v>0</v>
      </c>
      <c r="D60" s="418">
        <f>Dry_Matter_Content!C47</f>
        <v>0.59</v>
      </c>
      <c r="E60" s="284">
        <f>MCF!R59</f>
        <v>0.8</v>
      </c>
      <c r="F60" s="67">
        <f t="shared" si="12"/>
        <v>0</v>
      </c>
      <c r="G60" s="67">
        <f t="shared" si="13"/>
        <v>0</v>
      </c>
      <c r="H60" s="67">
        <f t="shared" si="14"/>
        <v>0</v>
      </c>
      <c r="I60" s="67">
        <f t="shared" si="15"/>
        <v>1.2186878607018658E-2</v>
      </c>
      <c r="J60" s="67">
        <f t="shared" si="16"/>
        <v>5.9938078860878163E-3</v>
      </c>
      <c r="K60" s="100">
        <f t="shared" si="6"/>
        <v>3.9958719240585439E-3</v>
      </c>
      <c r="O60" s="96">
        <f>Amnt_Deposited!B55</f>
        <v>2041</v>
      </c>
      <c r="P60" s="99">
        <f>Amnt_Deposited!C55</f>
        <v>0</v>
      </c>
      <c r="Q60" s="284">
        <f>MCF!R59</f>
        <v>0.8</v>
      </c>
      <c r="R60" s="67">
        <f t="shared" si="17"/>
        <v>0</v>
      </c>
      <c r="S60" s="67">
        <f t="shared" si="7"/>
        <v>0</v>
      </c>
      <c r="T60" s="67">
        <f t="shared" si="8"/>
        <v>0</v>
      </c>
      <c r="U60" s="67">
        <f t="shared" si="9"/>
        <v>8.1535762312792102E-3</v>
      </c>
      <c r="V60" s="67">
        <f t="shared" si="10"/>
        <v>4.0101301646439449E-3</v>
      </c>
      <c r="W60" s="100">
        <f t="shared" si="11"/>
        <v>2.6734201097626297E-3</v>
      </c>
    </row>
    <row r="61" spans="2:23">
      <c r="B61" s="96">
        <f>Amnt_Deposited!B56</f>
        <v>2042</v>
      </c>
      <c r="C61" s="99">
        <f>Amnt_Deposited!C56</f>
        <v>0</v>
      </c>
      <c r="D61" s="418">
        <f>Dry_Matter_Content!C48</f>
        <v>0.59</v>
      </c>
      <c r="E61" s="284">
        <f>MCF!R60</f>
        <v>0.8</v>
      </c>
      <c r="F61" s="67">
        <f t="shared" si="12"/>
        <v>0</v>
      </c>
      <c r="G61" s="67">
        <f t="shared" si="13"/>
        <v>0</v>
      </c>
      <c r="H61" s="67">
        <f t="shared" si="14"/>
        <v>0</v>
      </c>
      <c r="I61" s="67">
        <f t="shared" si="15"/>
        <v>8.1691090288874939E-3</v>
      </c>
      <c r="J61" s="67">
        <f t="shared" si="16"/>
        <v>4.0177695781311628E-3</v>
      </c>
      <c r="K61" s="100">
        <f t="shared" si="6"/>
        <v>2.6785130520874416E-3</v>
      </c>
      <c r="O61" s="96">
        <f>Amnt_Deposited!B56</f>
        <v>2042</v>
      </c>
      <c r="P61" s="99">
        <f>Amnt_Deposited!C56</f>
        <v>0</v>
      </c>
      <c r="Q61" s="284">
        <f>MCF!R60</f>
        <v>0.8</v>
      </c>
      <c r="R61" s="67">
        <f t="shared" si="17"/>
        <v>0</v>
      </c>
      <c r="S61" s="67">
        <f t="shared" si="7"/>
        <v>0</v>
      </c>
      <c r="T61" s="67">
        <f t="shared" si="8"/>
        <v>0</v>
      </c>
      <c r="U61" s="67">
        <f t="shared" si="9"/>
        <v>5.4655055947061748E-3</v>
      </c>
      <c r="V61" s="67">
        <f t="shared" si="10"/>
        <v>2.6880706365730355E-3</v>
      </c>
      <c r="W61" s="100">
        <f t="shared" si="11"/>
        <v>1.7920470910486902E-3</v>
      </c>
    </row>
    <row r="62" spans="2:23">
      <c r="B62" s="96">
        <f>Amnt_Deposited!B57</f>
        <v>2043</v>
      </c>
      <c r="C62" s="99">
        <f>Amnt_Deposited!C57</f>
        <v>0</v>
      </c>
      <c r="D62" s="418">
        <f>Dry_Matter_Content!C49</f>
        <v>0.59</v>
      </c>
      <c r="E62" s="284">
        <f>MCF!R61</f>
        <v>0.8</v>
      </c>
      <c r="F62" s="67">
        <f t="shared" si="12"/>
        <v>0</v>
      </c>
      <c r="G62" s="67">
        <f t="shared" si="13"/>
        <v>0</v>
      </c>
      <c r="H62" s="67">
        <f t="shared" si="14"/>
        <v>0</v>
      </c>
      <c r="I62" s="67">
        <f t="shared" si="15"/>
        <v>5.4759175403140221E-3</v>
      </c>
      <c r="J62" s="67">
        <f t="shared" si="16"/>
        <v>2.6931914885734722E-3</v>
      </c>
      <c r="K62" s="100">
        <f t="shared" si="6"/>
        <v>1.7954609923823148E-3</v>
      </c>
      <c r="O62" s="96">
        <f>Amnt_Deposited!B57</f>
        <v>2043</v>
      </c>
      <c r="P62" s="99">
        <f>Amnt_Deposited!C57</f>
        <v>0</v>
      </c>
      <c r="Q62" s="284">
        <f>MCF!R61</f>
        <v>0.8</v>
      </c>
      <c r="R62" s="67">
        <f t="shared" si="17"/>
        <v>0</v>
      </c>
      <c r="S62" s="67">
        <f t="shared" si="7"/>
        <v>0</v>
      </c>
      <c r="T62" s="67">
        <f t="shared" si="8"/>
        <v>0</v>
      </c>
      <c r="U62" s="67">
        <f t="shared" si="9"/>
        <v>3.6636379618514873E-3</v>
      </c>
      <c r="V62" s="67">
        <f t="shared" si="10"/>
        <v>1.8018676328546875E-3</v>
      </c>
      <c r="W62" s="100">
        <f t="shared" si="11"/>
        <v>1.2012450885697916E-3</v>
      </c>
    </row>
    <row r="63" spans="2:23">
      <c r="B63" s="96">
        <f>Amnt_Deposited!B58</f>
        <v>2044</v>
      </c>
      <c r="C63" s="99">
        <f>Amnt_Deposited!C58</f>
        <v>0</v>
      </c>
      <c r="D63" s="418">
        <f>Dry_Matter_Content!C50</f>
        <v>0.59</v>
      </c>
      <c r="E63" s="284">
        <f>MCF!R62</f>
        <v>0.8</v>
      </c>
      <c r="F63" s="67">
        <f t="shared" si="12"/>
        <v>0</v>
      </c>
      <c r="G63" s="67">
        <f t="shared" si="13"/>
        <v>0</v>
      </c>
      <c r="H63" s="67">
        <f t="shared" si="14"/>
        <v>0</v>
      </c>
      <c r="I63" s="67">
        <f t="shared" si="15"/>
        <v>3.6706172977106601E-3</v>
      </c>
      <c r="J63" s="67">
        <f t="shared" si="16"/>
        <v>1.805300242603362E-3</v>
      </c>
      <c r="K63" s="100">
        <f t="shared" si="6"/>
        <v>1.2035334950689079E-3</v>
      </c>
      <c r="O63" s="96">
        <f>Amnt_Deposited!B58</f>
        <v>2044</v>
      </c>
      <c r="P63" s="99">
        <f>Amnt_Deposited!C58</f>
        <v>0</v>
      </c>
      <c r="Q63" s="284">
        <f>MCF!R62</f>
        <v>0.8</v>
      </c>
      <c r="R63" s="67">
        <f t="shared" si="17"/>
        <v>0</v>
      </c>
      <c r="S63" s="67">
        <f t="shared" si="7"/>
        <v>0</v>
      </c>
      <c r="T63" s="67">
        <f t="shared" si="8"/>
        <v>0</v>
      </c>
      <c r="U63" s="67">
        <f t="shared" si="9"/>
        <v>2.4558099672462048E-3</v>
      </c>
      <c r="V63" s="67">
        <f t="shared" si="10"/>
        <v>1.2078279946052825E-3</v>
      </c>
      <c r="W63" s="100">
        <f t="shared" si="11"/>
        <v>8.0521866307018829E-4</v>
      </c>
    </row>
    <row r="64" spans="2:23">
      <c r="B64" s="96">
        <f>Amnt_Deposited!B59</f>
        <v>2045</v>
      </c>
      <c r="C64" s="99">
        <f>Amnt_Deposited!C59</f>
        <v>0</v>
      </c>
      <c r="D64" s="418">
        <f>Dry_Matter_Content!C51</f>
        <v>0.59</v>
      </c>
      <c r="E64" s="284">
        <f>MCF!R63</f>
        <v>0.8</v>
      </c>
      <c r="F64" s="67">
        <f t="shared" si="12"/>
        <v>0</v>
      </c>
      <c r="G64" s="67">
        <f t="shared" si="13"/>
        <v>0</v>
      </c>
      <c r="H64" s="67">
        <f t="shared" si="14"/>
        <v>0</v>
      </c>
      <c r="I64" s="67">
        <f t="shared" si="15"/>
        <v>2.4604883559806237E-3</v>
      </c>
      <c r="J64" s="67">
        <f t="shared" si="16"/>
        <v>1.2101289417300364E-3</v>
      </c>
      <c r="K64" s="100">
        <f t="shared" si="6"/>
        <v>8.0675262782002426E-4</v>
      </c>
      <c r="O64" s="96">
        <f>Amnt_Deposited!B59</f>
        <v>2045</v>
      </c>
      <c r="P64" s="99">
        <f>Amnt_Deposited!C59</f>
        <v>0</v>
      </c>
      <c r="Q64" s="284">
        <f>MCF!R63</f>
        <v>0.8</v>
      </c>
      <c r="R64" s="67">
        <f t="shared" si="17"/>
        <v>0</v>
      </c>
      <c r="S64" s="67">
        <f t="shared" si="7"/>
        <v>0</v>
      </c>
      <c r="T64" s="67">
        <f t="shared" si="8"/>
        <v>0</v>
      </c>
      <c r="U64" s="67">
        <f t="shared" si="9"/>
        <v>1.6461786502992579E-3</v>
      </c>
      <c r="V64" s="67">
        <f t="shared" si="10"/>
        <v>8.0963131694694688E-4</v>
      </c>
      <c r="W64" s="100">
        <f t="shared" si="11"/>
        <v>5.3975421129796451E-4</v>
      </c>
    </row>
    <row r="65" spans="2:23">
      <c r="B65" s="96">
        <f>Amnt_Deposited!B60</f>
        <v>2046</v>
      </c>
      <c r="C65" s="99">
        <f>Amnt_Deposited!C60</f>
        <v>0</v>
      </c>
      <c r="D65" s="418">
        <f>Dry_Matter_Content!C52</f>
        <v>0.59</v>
      </c>
      <c r="E65" s="284">
        <f>MCF!R64</f>
        <v>0.8</v>
      </c>
      <c r="F65" s="67">
        <f t="shared" si="12"/>
        <v>0</v>
      </c>
      <c r="G65" s="67">
        <f t="shared" si="13"/>
        <v>0</v>
      </c>
      <c r="H65" s="67">
        <f t="shared" si="14"/>
        <v>0</v>
      </c>
      <c r="I65" s="67">
        <f t="shared" si="15"/>
        <v>1.6493146680510863E-3</v>
      </c>
      <c r="J65" s="67">
        <f t="shared" si="16"/>
        <v>8.1117368792953755E-4</v>
      </c>
      <c r="K65" s="100">
        <f t="shared" si="6"/>
        <v>5.4078245861969166E-4</v>
      </c>
      <c r="O65" s="96">
        <f>Amnt_Deposited!B60</f>
        <v>2046</v>
      </c>
      <c r="P65" s="99">
        <f>Amnt_Deposited!C60</f>
        <v>0</v>
      </c>
      <c r="Q65" s="284">
        <f>MCF!R64</f>
        <v>0.8</v>
      </c>
      <c r="R65" s="67">
        <f t="shared" si="17"/>
        <v>0</v>
      </c>
      <c r="S65" s="67">
        <f t="shared" si="7"/>
        <v>0</v>
      </c>
      <c r="T65" s="67">
        <f t="shared" si="8"/>
        <v>0</v>
      </c>
      <c r="U65" s="67">
        <f t="shared" si="9"/>
        <v>1.1034665486514851E-3</v>
      </c>
      <c r="V65" s="67">
        <f t="shared" si="10"/>
        <v>5.4271210164777276E-4</v>
      </c>
      <c r="W65" s="100">
        <f t="shared" si="11"/>
        <v>3.6180806776518184E-4</v>
      </c>
    </row>
    <row r="66" spans="2:23">
      <c r="B66" s="96">
        <f>Amnt_Deposited!B61</f>
        <v>2047</v>
      </c>
      <c r="C66" s="99">
        <f>Amnt_Deposited!C61</f>
        <v>0</v>
      </c>
      <c r="D66" s="418">
        <f>Dry_Matter_Content!C53</f>
        <v>0.59</v>
      </c>
      <c r="E66" s="284">
        <f>MCF!R65</f>
        <v>0.8</v>
      </c>
      <c r="F66" s="67">
        <f t="shared" si="12"/>
        <v>0</v>
      </c>
      <c r="G66" s="67">
        <f t="shared" si="13"/>
        <v>0</v>
      </c>
      <c r="H66" s="67">
        <f t="shared" si="14"/>
        <v>0</v>
      </c>
      <c r="I66" s="67">
        <f t="shared" si="15"/>
        <v>1.1055686842152595E-3</v>
      </c>
      <c r="J66" s="67">
        <f t="shared" si="16"/>
        <v>5.4374598383582693E-4</v>
      </c>
      <c r="K66" s="100">
        <f t="shared" si="6"/>
        <v>3.6249732255721795E-4</v>
      </c>
      <c r="O66" s="96">
        <f>Amnt_Deposited!B61</f>
        <v>2047</v>
      </c>
      <c r="P66" s="99">
        <f>Amnt_Deposited!C61</f>
        <v>0</v>
      </c>
      <c r="Q66" s="284">
        <f>MCF!R65</f>
        <v>0.8</v>
      </c>
      <c r="R66" s="67">
        <f t="shared" si="17"/>
        <v>0</v>
      </c>
      <c r="S66" s="67">
        <f t="shared" si="7"/>
        <v>0</v>
      </c>
      <c r="T66" s="67">
        <f t="shared" si="8"/>
        <v>0</v>
      </c>
      <c r="U66" s="67">
        <f t="shared" si="9"/>
        <v>7.3967574769085158E-4</v>
      </c>
      <c r="V66" s="67">
        <f t="shared" si="10"/>
        <v>3.6379080096063355E-4</v>
      </c>
      <c r="W66" s="100">
        <f t="shared" si="11"/>
        <v>2.4252720064042236E-4</v>
      </c>
    </row>
    <row r="67" spans="2:23">
      <c r="B67" s="96">
        <f>Amnt_Deposited!B62</f>
        <v>2048</v>
      </c>
      <c r="C67" s="99">
        <f>Amnt_Deposited!C62</f>
        <v>0</v>
      </c>
      <c r="D67" s="418">
        <f>Dry_Matter_Content!C54</f>
        <v>0.59</v>
      </c>
      <c r="E67" s="284">
        <f>MCF!R66</f>
        <v>0.8</v>
      </c>
      <c r="F67" s="67">
        <f t="shared" si="12"/>
        <v>0</v>
      </c>
      <c r="G67" s="67">
        <f t="shared" si="13"/>
        <v>0</v>
      </c>
      <c r="H67" s="67">
        <f t="shared" si="14"/>
        <v>0</v>
      </c>
      <c r="I67" s="67">
        <f t="shared" si="15"/>
        <v>7.4108485129873391E-4</v>
      </c>
      <c r="J67" s="67">
        <f t="shared" si="16"/>
        <v>3.6448383291652555E-4</v>
      </c>
      <c r="K67" s="100">
        <f t="shared" si="6"/>
        <v>2.4298922194435036E-4</v>
      </c>
      <c r="O67" s="96">
        <f>Amnt_Deposited!B62</f>
        <v>2048</v>
      </c>
      <c r="P67" s="99">
        <f>Amnt_Deposited!C62</f>
        <v>0</v>
      </c>
      <c r="Q67" s="284">
        <f>MCF!R66</f>
        <v>0.8</v>
      </c>
      <c r="R67" s="67">
        <f t="shared" si="17"/>
        <v>0</v>
      </c>
      <c r="S67" s="67">
        <f t="shared" si="7"/>
        <v>0</v>
      </c>
      <c r="T67" s="67">
        <f t="shared" si="8"/>
        <v>0</v>
      </c>
      <c r="U67" s="67">
        <f t="shared" si="9"/>
        <v>4.9581948124357753E-4</v>
      </c>
      <c r="V67" s="67">
        <f t="shared" si="10"/>
        <v>2.43856266447274E-4</v>
      </c>
      <c r="W67" s="100">
        <f t="shared" si="11"/>
        <v>1.6257084429818265E-4</v>
      </c>
    </row>
    <row r="68" spans="2:23">
      <c r="B68" s="96">
        <f>Amnt_Deposited!B63</f>
        <v>2049</v>
      </c>
      <c r="C68" s="99">
        <f>Amnt_Deposited!C63</f>
        <v>0</v>
      </c>
      <c r="D68" s="418">
        <f>Dry_Matter_Content!C55</f>
        <v>0.59</v>
      </c>
      <c r="E68" s="284">
        <f>MCF!R67</f>
        <v>0.8</v>
      </c>
      <c r="F68" s="67">
        <f t="shared" si="12"/>
        <v>0</v>
      </c>
      <c r="G68" s="67">
        <f t="shared" si="13"/>
        <v>0</v>
      </c>
      <c r="H68" s="67">
        <f t="shared" si="14"/>
        <v>0</v>
      </c>
      <c r="I68" s="67">
        <f t="shared" si="15"/>
        <v>4.9676403163888229E-4</v>
      </c>
      <c r="J68" s="67">
        <f t="shared" si="16"/>
        <v>2.4432081965985168E-4</v>
      </c>
      <c r="K68" s="100">
        <f t="shared" si="6"/>
        <v>1.628805464399011E-4</v>
      </c>
      <c r="O68" s="96">
        <f>Amnt_Deposited!B63</f>
        <v>2049</v>
      </c>
      <c r="P68" s="99">
        <f>Amnt_Deposited!C63</f>
        <v>0</v>
      </c>
      <c r="Q68" s="284">
        <f>MCF!R67</f>
        <v>0.8</v>
      </c>
      <c r="R68" s="67">
        <f t="shared" si="17"/>
        <v>0</v>
      </c>
      <c r="S68" s="67">
        <f t="shared" si="7"/>
        <v>0</v>
      </c>
      <c r="T68" s="67">
        <f t="shared" si="8"/>
        <v>0</v>
      </c>
      <c r="U68" s="67">
        <f t="shared" si="9"/>
        <v>3.3235773749256168E-4</v>
      </c>
      <c r="V68" s="67">
        <f t="shared" si="10"/>
        <v>1.6346174375101582E-4</v>
      </c>
      <c r="W68" s="100">
        <f t="shared" si="11"/>
        <v>1.0897449583401055E-4</v>
      </c>
    </row>
    <row r="69" spans="2:23">
      <c r="B69" s="96">
        <f>Amnt_Deposited!B64</f>
        <v>2050</v>
      </c>
      <c r="C69" s="99">
        <f>Amnt_Deposited!C64</f>
        <v>0</v>
      </c>
      <c r="D69" s="418">
        <f>Dry_Matter_Content!C56</f>
        <v>0.59</v>
      </c>
      <c r="E69" s="284">
        <f>MCF!R68</f>
        <v>0.8</v>
      </c>
      <c r="F69" s="67">
        <f t="shared" si="12"/>
        <v>0</v>
      </c>
      <c r="G69" s="67">
        <f t="shared" si="13"/>
        <v>0</v>
      </c>
      <c r="H69" s="67">
        <f t="shared" si="14"/>
        <v>0</v>
      </c>
      <c r="I69" s="67">
        <f t="shared" si="15"/>
        <v>3.3299088855702534E-4</v>
      </c>
      <c r="J69" s="67">
        <f t="shared" si="16"/>
        <v>1.6377314308185692E-4</v>
      </c>
      <c r="K69" s="100">
        <f t="shared" si="6"/>
        <v>1.0918209538790461E-4</v>
      </c>
      <c r="O69" s="96">
        <f>Amnt_Deposited!B64</f>
        <v>2050</v>
      </c>
      <c r="P69" s="99">
        <f>Amnt_Deposited!C64</f>
        <v>0</v>
      </c>
      <c r="Q69" s="284">
        <f>MCF!R68</f>
        <v>0.8</v>
      </c>
      <c r="R69" s="67">
        <f t="shared" si="17"/>
        <v>0</v>
      </c>
      <c r="S69" s="67">
        <f t="shared" si="7"/>
        <v>0</v>
      </c>
      <c r="T69" s="67">
        <f t="shared" si="8"/>
        <v>0</v>
      </c>
      <c r="U69" s="67">
        <f t="shared" si="9"/>
        <v>2.2278605389631487E-4</v>
      </c>
      <c r="V69" s="67">
        <f t="shared" si="10"/>
        <v>1.095716835962468E-4</v>
      </c>
      <c r="W69" s="100">
        <f t="shared" si="11"/>
        <v>7.3047789064164533E-5</v>
      </c>
    </row>
    <row r="70" spans="2:23">
      <c r="B70" s="96">
        <f>Amnt_Deposited!B65</f>
        <v>2051</v>
      </c>
      <c r="C70" s="99">
        <f>Amnt_Deposited!C65</f>
        <v>0</v>
      </c>
      <c r="D70" s="418">
        <f>Dry_Matter_Content!C57</f>
        <v>0.59</v>
      </c>
      <c r="E70" s="284">
        <f>MCF!R69</f>
        <v>0.8</v>
      </c>
      <c r="F70" s="67">
        <f t="shared" si="12"/>
        <v>0</v>
      </c>
      <c r="G70" s="67">
        <f t="shared" si="13"/>
        <v>0</v>
      </c>
      <c r="H70" s="67">
        <f t="shared" si="14"/>
        <v>0</v>
      </c>
      <c r="I70" s="67">
        <f t="shared" si="15"/>
        <v>2.2321046774699367E-4</v>
      </c>
      <c r="J70" s="67">
        <f t="shared" si="16"/>
        <v>1.0978042081003167E-4</v>
      </c>
      <c r="K70" s="100">
        <f t="shared" si="6"/>
        <v>7.3186947206687773E-5</v>
      </c>
      <c r="O70" s="96">
        <f>Amnt_Deposited!B65</f>
        <v>2051</v>
      </c>
      <c r="P70" s="99">
        <f>Amnt_Deposited!C65</f>
        <v>0</v>
      </c>
      <c r="Q70" s="284">
        <f>MCF!R69</f>
        <v>0.8</v>
      </c>
      <c r="R70" s="67">
        <f t="shared" si="17"/>
        <v>0</v>
      </c>
      <c r="S70" s="67">
        <f t="shared" si="7"/>
        <v>0</v>
      </c>
      <c r="T70" s="67">
        <f t="shared" si="8"/>
        <v>0</v>
      </c>
      <c r="U70" s="67">
        <f t="shared" si="9"/>
        <v>1.4933795790387621E-4</v>
      </c>
      <c r="V70" s="67">
        <f t="shared" si="10"/>
        <v>7.3448095992438667E-5</v>
      </c>
      <c r="W70" s="100">
        <f t="shared" si="11"/>
        <v>4.8965397328292442E-5</v>
      </c>
    </row>
    <row r="71" spans="2:23">
      <c r="B71" s="96">
        <f>Amnt_Deposited!B66</f>
        <v>2052</v>
      </c>
      <c r="C71" s="99">
        <f>Amnt_Deposited!C66</f>
        <v>0</v>
      </c>
      <c r="D71" s="418">
        <f>Dry_Matter_Content!C58</f>
        <v>0.59</v>
      </c>
      <c r="E71" s="284">
        <f>MCF!R70</f>
        <v>0.8</v>
      </c>
      <c r="F71" s="67">
        <f t="shared" si="12"/>
        <v>0</v>
      </c>
      <c r="G71" s="67">
        <f t="shared" si="13"/>
        <v>0</v>
      </c>
      <c r="H71" s="67">
        <f t="shared" si="14"/>
        <v>0</v>
      </c>
      <c r="I71" s="67">
        <f t="shared" si="15"/>
        <v>1.4962245101580139E-4</v>
      </c>
      <c r="J71" s="67">
        <f t="shared" si="16"/>
        <v>7.3588016731192292E-5</v>
      </c>
      <c r="K71" s="100">
        <f t="shared" si="6"/>
        <v>4.9058677820794857E-5</v>
      </c>
      <c r="O71" s="96">
        <f>Amnt_Deposited!B66</f>
        <v>2052</v>
      </c>
      <c r="P71" s="99">
        <f>Amnt_Deposited!C66</f>
        <v>0</v>
      </c>
      <c r="Q71" s="284">
        <f>MCF!R70</f>
        <v>0.8</v>
      </c>
      <c r="R71" s="67">
        <f t="shared" si="17"/>
        <v>0</v>
      </c>
      <c r="S71" s="67">
        <f t="shared" si="7"/>
        <v>0</v>
      </c>
      <c r="T71" s="67">
        <f t="shared" si="8"/>
        <v>0</v>
      </c>
      <c r="U71" s="67">
        <f t="shared" si="9"/>
        <v>1.0010422681699467E-4</v>
      </c>
      <c r="V71" s="67">
        <f t="shared" si="10"/>
        <v>4.9233731086881539E-5</v>
      </c>
      <c r="W71" s="100">
        <f t="shared" si="11"/>
        <v>3.2822487391254355E-5</v>
      </c>
    </row>
    <row r="72" spans="2:23">
      <c r="B72" s="96">
        <f>Amnt_Deposited!B67</f>
        <v>2053</v>
      </c>
      <c r="C72" s="99">
        <f>Amnt_Deposited!C67</f>
        <v>0</v>
      </c>
      <c r="D72" s="418">
        <f>Dry_Matter_Content!C59</f>
        <v>0.59</v>
      </c>
      <c r="E72" s="284">
        <f>MCF!R71</f>
        <v>0.8</v>
      </c>
      <c r="F72" s="67">
        <f t="shared" si="12"/>
        <v>0</v>
      </c>
      <c r="G72" s="67">
        <f t="shared" si="13"/>
        <v>0</v>
      </c>
      <c r="H72" s="67">
        <f t="shared" si="14"/>
        <v>0</v>
      </c>
      <c r="I72" s="67">
        <f t="shared" si="15"/>
        <v>1.0029492825287718E-4</v>
      </c>
      <c r="J72" s="67">
        <f t="shared" si="16"/>
        <v>4.9327522762924214E-5</v>
      </c>
      <c r="K72" s="100">
        <f t="shared" si="6"/>
        <v>3.2885015175282805E-5</v>
      </c>
      <c r="O72" s="96">
        <f>Amnt_Deposited!B67</f>
        <v>2053</v>
      </c>
      <c r="P72" s="99">
        <f>Amnt_Deposited!C67</f>
        <v>0</v>
      </c>
      <c r="Q72" s="284">
        <f>MCF!R71</f>
        <v>0.8</v>
      </c>
      <c r="R72" s="67">
        <f t="shared" si="17"/>
        <v>0</v>
      </c>
      <c r="S72" s="67">
        <f t="shared" si="7"/>
        <v>0</v>
      </c>
      <c r="T72" s="67">
        <f t="shared" si="8"/>
        <v>0</v>
      </c>
      <c r="U72" s="67">
        <f t="shared" si="9"/>
        <v>6.7101869928329954E-5</v>
      </c>
      <c r="V72" s="67">
        <f t="shared" si="10"/>
        <v>3.3002356888664726E-5</v>
      </c>
      <c r="W72" s="100">
        <f t="shared" si="11"/>
        <v>2.2001571259109815E-5</v>
      </c>
    </row>
    <row r="73" spans="2:23">
      <c r="B73" s="96">
        <f>Amnt_Deposited!B68</f>
        <v>2054</v>
      </c>
      <c r="C73" s="99">
        <f>Amnt_Deposited!C68</f>
        <v>0</v>
      </c>
      <c r="D73" s="418">
        <f>Dry_Matter_Content!C60</f>
        <v>0.59</v>
      </c>
      <c r="E73" s="284">
        <f>MCF!R72</f>
        <v>0.8</v>
      </c>
      <c r="F73" s="67">
        <f t="shared" si="12"/>
        <v>0</v>
      </c>
      <c r="G73" s="67">
        <f t="shared" si="13"/>
        <v>0</v>
      </c>
      <c r="H73" s="67">
        <f t="shared" si="14"/>
        <v>0</v>
      </c>
      <c r="I73" s="67">
        <f t="shared" si="15"/>
        <v>6.7229700923609778E-5</v>
      </c>
      <c r="J73" s="67">
        <f t="shared" si="16"/>
        <v>3.3065227329267406E-5</v>
      </c>
      <c r="K73" s="100">
        <f t="shared" si="6"/>
        <v>2.2043484886178269E-5</v>
      </c>
      <c r="O73" s="96">
        <f>Amnt_Deposited!B68</f>
        <v>2054</v>
      </c>
      <c r="P73" s="99">
        <f>Amnt_Deposited!C68</f>
        <v>0</v>
      </c>
      <c r="Q73" s="284">
        <f>MCF!R72</f>
        <v>0.8</v>
      </c>
      <c r="R73" s="67">
        <f t="shared" si="17"/>
        <v>0</v>
      </c>
      <c r="S73" s="67">
        <f t="shared" si="7"/>
        <v>0</v>
      </c>
      <c r="T73" s="67">
        <f t="shared" si="8"/>
        <v>0</v>
      </c>
      <c r="U73" s="67">
        <f t="shared" si="9"/>
        <v>4.4979728539435618E-5</v>
      </c>
      <c r="V73" s="67">
        <f t="shared" si="10"/>
        <v>2.2122141388894336E-5</v>
      </c>
      <c r="W73" s="100">
        <f t="shared" si="11"/>
        <v>1.4748094259262889E-5</v>
      </c>
    </row>
    <row r="74" spans="2:23">
      <c r="B74" s="96">
        <f>Amnt_Deposited!B69</f>
        <v>2055</v>
      </c>
      <c r="C74" s="99">
        <f>Amnt_Deposited!C69</f>
        <v>0</v>
      </c>
      <c r="D74" s="418">
        <f>Dry_Matter_Content!C61</f>
        <v>0.59</v>
      </c>
      <c r="E74" s="284">
        <f>MCF!R73</f>
        <v>0.8</v>
      </c>
      <c r="F74" s="67">
        <f t="shared" si="12"/>
        <v>0</v>
      </c>
      <c r="G74" s="67">
        <f t="shared" si="13"/>
        <v>0</v>
      </c>
      <c r="H74" s="67">
        <f t="shared" si="14"/>
        <v>0</v>
      </c>
      <c r="I74" s="67">
        <f t="shared" si="15"/>
        <v>4.5065416218076372E-5</v>
      </c>
      <c r="J74" s="67">
        <f t="shared" si="16"/>
        <v>2.2164284705533407E-5</v>
      </c>
      <c r="K74" s="100">
        <f t="shared" si="6"/>
        <v>1.4776189803688937E-5</v>
      </c>
      <c r="O74" s="96">
        <f>Amnt_Deposited!B69</f>
        <v>2055</v>
      </c>
      <c r="P74" s="99">
        <f>Amnt_Deposited!C69</f>
        <v>0</v>
      </c>
      <c r="Q74" s="284">
        <f>MCF!R73</f>
        <v>0.8</v>
      </c>
      <c r="R74" s="67">
        <f t="shared" si="17"/>
        <v>0</v>
      </c>
      <c r="S74" s="67">
        <f t="shared" si="7"/>
        <v>0</v>
      </c>
      <c r="T74" s="67">
        <f t="shared" si="8"/>
        <v>0</v>
      </c>
      <c r="U74" s="67">
        <f t="shared" si="9"/>
        <v>3.0150813705225044E-5</v>
      </c>
      <c r="V74" s="67">
        <f t="shared" si="10"/>
        <v>1.4828914834210574E-5</v>
      </c>
      <c r="W74" s="100">
        <f t="shared" si="11"/>
        <v>9.8859432228070487E-6</v>
      </c>
    </row>
    <row r="75" spans="2:23">
      <c r="B75" s="96">
        <f>Amnt_Deposited!B70</f>
        <v>2056</v>
      </c>
      <c r="C75" s="99">
        <f>Amnt_Deposited!C70</f>
        <v>0</v>
      </c>
      <c r="D75" s="418">
        <f>Dry_Matter_Content!C62</f>
        <v>0.59</v>
      </c>
      <c r="E75" s="284">
        <f>MCF!R74</f>
        <v>0.8</v>
      </c>
      <c r="F75" s="67">
        <f t="shared" si="12"/>
        <v>0</v>
      </c>
      <c r="G75" s="67">
        <f t="shared" si="13"/>
        <v>0</v>
      </c>
      <c r="H75" s="67">
        <f t="shared" si="14"/>
        <v>0</v>
      </c>
      <c r="I75" s="67">
        <f t="shared" si="15"/>
        <v>3.02082518739162E-5</v>
      </c>
      <c r="J75" s="67">
        <f t="shared" si="16"/>
        <v>1.4857164344160171E-5</v>
      </c>
      <c r="K75" s="100">
        <f t="shared" si="6"/>
        <v>9.9047762294401137E-6</v>
      </c>
      <c r="O75" s="96">
        <f>Amnt_Deposited!B70</f>
        <v>2056</v>
      </c>
      <c r="P75" s="99">
        <f>Amnt_Deposited!C70</f>
        <v>0</v>
      </c>
      <c r="Q75" s="284">
        <f>MCF!R74</f>
        <v>0.8</v>
      </c>
      <c r="R75" s="67">
        <f t="shared" si="17"/>
        <v>0</v>
      </c>
      <c r="S75" s="67">
        <f t="shared" si="7"/>
        <v>0</v>
      </c>
      <c r="T75" s="67">
        <f t="shared" si="8"/>
        <v>0</v>
      </c>
      <c r="U75" s="67">
        <f t="shared" si="9"/>
        <v>2.0210694830898436E-5</v>
      </c>
      <c r="V75" s="67">
        <f t="shared" si="10"/>
        <v>9.9401188743266078E-6</v>
      </c>
      <c r="W75" s="100">
        <f t="shared" si="11"/>
        <v>6.626745916217738E-6</v>
      </c>
    </row>
    <row r="76" spans="2:23">
      <c r="B76" s="96">
        <f>Amnt_Deposited!B71</f>
        <v>2057</v>
      </c>
      <c r="C76" s="99">
        <f>Amnt_Deposited!C71</f>
        <v>0</v>
      </c>
      <c r="D76" s="418">
        <f>Dry_Matter_Content!C63</f>
        <v>0.59</v>
      </c>
      <c r="E76" s="284">
        <f>MCF!R75</f>
        <v>0.8</v>
      </c>
      <c r="F76" s="67">
        <f t="shared" si="12"/>
        <v>0</v>
      </c>
      <c r="G76" s="67">
        <f t="shared" si="13"/>
        <v>0</v>
      </c>
      <c r="H76" s="67">
        <f t="shared" si="14"/>
        <v>0</v>
      </c>
      <c r="I76" s="67">
        <f t="shared" si="15"/>
        <v>2.0249196786779694E-5</v>
      </c>
      <c r="J76" s="67">
        <f t="shared" si="16"/>
        <v>9.9590550871365048E-6</v>
      </c>
      <c r="K76" s="100">
        <f t="shared" si="6"/>
        <v>6.6393700580910026E-6</v>
      </c>
      <c r="O76" s="96">
        <f>Amnt_Deposited!B71</f>
        <v>2057</v>
      </c>
      <c r="P76" s="99">
        <f>Amnt_Deposited!C71</f>
        <v>0</v>
      </c>
      <c r="Q76" s="284">
        <f>MCF!R75</f>
        <v>0.8</v>
      </c>
      <c r="R76" s="67">
        <f t="shared" si="17"/>
        <v>0</v>
      </c>
      <c r="S76" s="67">
        <f t="shared" si="7"/>
        <v>0</v>
      </c>
      <c r="T76" s="67">
        <f t="shared" si="8"/>
        <v>0</v>
      </c>
      <c r="U76" s="67">
        <f t="shared" si="9"/>
        <v>1.3547633889460098E-5</v>
      </c>
      <c r="V76" s="67">
        <f t="shared" si="10"/>
        <v>6.663060941438339E-6</v>
      </c>
      <c r="W76" s="100">
        <f t="shared" si="11"/>
        <v>4.4420406276255593E-6</v>
      </c>
    </row>
    <row r="77" spans="2:23">
      <c r="B77" s="96">
        <f>Amnt_Deposited!B72</f>
        <v>2058</v>
      </c>
      <c r="C77" s="99">
        <f>Amnt_Deposited!C72</f>
        <v>0</v>
      </c>
      <c r="D77" s="418">
        <f>Dry_Matter_Content!C64</f>
        <v>0.59</v>
      </c>
      <c r="E77" s="284">
        <f>MCF!R76</f>
        <v>0.8</v>
      </c>
      <c r="F77" s="67">
        <f t="shared" si="12"/>
        <v>0</v>
      </c>
      <c r="G77" s="67">
        <f t="shared" si="13"/>
        <v>0</v>
      </c>
      <c r="H77" s="67">
        <f t="shared" si="14"/>
        <v>0</v>
      </c>
      <c r="I77" s="67">
        <f t="shared" si="15"/>
        <v>1.3573442522298885E-5</v>
      </c>
      <c r="J77" s="67">
        <f t="shared" si="16"/>
        <v>6.6757542644808096E-6</v>
      </c>
      <c r="K77" s="100">
        <f t="shared" si="6"/>
        <v>4.4505028429872058E-6</v>
      </c>
      <c r="O77" s="96">
        <f>Amnt_Deposited!B72</f>
        <v>2058</v>
      </c>
      <c r="P77" s="99">
        <f>Amnt_Deposited!C72</f>
        <v>0</v>
      </c>
      <c r="Q77" s="284">
        <f>MCF!R76</f>
        <v>0.8</v>
      </c>
      <c r="R77" s="67">
        <f t="shared" si="17"/>
        <v>0</v>
      </c>
      <c r="S77" s="67">
        <f t="shared" si="7"/>
        <v>0</v>
      </c>
      <c r="T77" s="67">
        <f t="shared" si="8"/>
        <v>0</v>
      </c>
      <c r="U77" s="67">
        <f t="shared" si="9"/>
        <v>9.0812505724568807E-6</v>
      </c>
      <c r="V77" s="67">
        <f t="shared" si="10"/>
        <v>4.4663833170032175E-6</v>
      </c>
      <c r="W77" s="100">
        <f t="shared" si="11"/>
        <v>2.9775888780021449E-6</v>
      </c>
    </row>
    <row r="78" spans="2:23">
      <c r="B78" s="96">
        <f>Amnt_Deposited!B73</f>
        <v>2059</v>
      </c>
      <c r="C78" s="99">
        <f>Amnt_Deposited!C73</f>
        <v>0</v>
      </c>
      <c r="D78" s="418">
        <f>Dry_Matter_Content!C65</f>
        <v>0.59</v>
      </c>
      <c r="E78" s="284">
        <f>MCF!R77</f>
        <v>0.8</v>
      </c>
      <c r="F78" s="67">
        <f t="shared" si="12"/>
        <v>0</v>
      </c>
      <c r="G78" s="67">
        <f t="shared" si="13"/>
        <v>0</v>
      </c>
      <c r="H78" s="67">
        <f t="shared" si="14"/>
        <v>0</v>
      </c>
      <c r="I78" s="67">
        <f t="shared" si="15"/>
        <v>9.0985506164094939E-6</v>
      </c>
      <c r="J78" s="67">
        <f t="shared" si="16"/>
        <v>4.4748919058893921E-6</v>
      </c>
      <c r="K78" s="100">
        <f t="shared" si="6"/>
        <v>2.9832612705929279E-6</v>
      </c>
      <c r="O78" s="96">
        <f>Amnt_Deposited!B73</f>
        <v>2059</v>
      </c>
      <c r="P78" s="99">
        <f>Amnt_Deposited!C73</f>
        <v>0</v>
      </c>
      <c r="Q78" s="284">
        <f>MCF!R77</f>
        <v>0.8</v>
      </c>
      <c r="R78" s="67">
        <f t="shared" si="17"/>
        <v>0</v>
      </c>
      <c r="S78" s="67">
        <f t="shared" si="7"/>
        <v>0</v>
      </c>
      <c r="T78" s="67">
        <f t="shared" si="8"/>
        <v>0</v>
      </c>
      <c r="U78" s="67">
        <f t="shared" si="9"/>
        <v>6.0873443017904721E-6</v>
      </c>
      <c r="V78" s="67">
        <f t="shared" si="10"/>
        <v>2.9939062706664086E-6</v>
      </c>
      <c r="W78" s="100">
        <f t="shared" si="11"/>
        <v>1.9959375137776057E-6</v>
      </c>
    </row>
    <row r="79" spans="2:23">
      <c r="B79" s="96">
        <f>Amnt_Deposited!B74</f>
        <v>2060</v>
      </c>
      <c r="C79" s="99">
        <f>Amnt_Deposited!C74</f>
        <v>0</v>
      </c>
      <c r="D79" s="418">
        <f>Dry_Matter_Content!C66</f>
        <v>0.59</v>
      </c>
      <c r="E79" s="284">
        <f>MCF!R78</f>
        <v>0.8</v>
      </c>
      <c r="F79" s="67">
        <f t="shared" si="12"/>
        <v>0</v>
      </c>
      <c r="G79" s="67">
        <f t="shared" si="13"/>
        <v>0</v>
      </c>
      <c r="H79" s="67">
        <f t="shared" si="14"/>
        <v>0</v>
      </c>
      <c r="I79" s="67">
        <f t="shared" si="15"/>
        <v>6.0989408680492064E-6</v>
      </c>
      <c r="J79" s="67">
        <f t="shared" si="16"/>
        <v>2.9996097483602874E-6</v>
      </c>
      <c r="K79" s="100">
        <f t="shared" si="6"/>
        <v>1.9997398322401916E-6</v>
      </c>
      <c r="O79" s="96">
        <f>Amnt_Deposited!B74</f>
        <v>2060</v>
      </c>
      <c r="P79" s="99">
        <f>Amnt_Deposited!C74</f>
        <v>0</v>
      </c>
      <c r="Q79" s="284">
        <f>MCF!R78</f>
        <v>0.8</v>
      </c>
      <c r="R79" s="67">
        <f t="shared" si="17"/>
        <v>0</v>
      </c>
      <c r="S79" s="67">
        <f t="shared" si="7"/>
        <v>0</v>
      </c>
      <c r="T79" s="67">
        <f t="shared" si="8"/>
        <v>0</v>
      </c>
      <c r="U79" s="67">
        <f t="shared" si="9"/>
        <v>4.0804689126109759E-6</v>
      </c>
      <c r="V79" s="67">
        <f t="shared" si="10"/>
        <v>2.0068753891794962E-6</v>
      </c>
      <c r="W79" s="100">
        <f t="shared" si="11"/>
        <v>1.3379169261196641E-6</v>
      </c>
    </row>
    <row r="80" spans="2:23">
      <c r="B80" s="96">
        <f>Amnt_Deposited!B75</f>
        <v>2061</v>
      </c>
      <c r="C80" s="99">
        <f>Amnt_Deposited!C75</f>
        <v>0</v>
      </c>
      <c r="D80" s="418">
        <f>Dry_Matter_Content!C67</f>
        <v>0.59</v>
      </c>
      <c r="E80" s="284">
        <f>MCF!R79</f>
        <v>0.8</v>
      </c>
      <c r="F80" s="67">
        <f t="shared" si="12"/>
        <v>0</v>
      </c>
      <c r="G80" s="67">
        <f t="shared" si="13"/>
        <v>0</v>
      </c>
      <c r="H80" s="67">
        <f t="shared" si="14"/>
        <v>0</v>
      </c>
      <c r="I80" s="67">
        <f t="shared" si="15"/>
        <v>4.088242323439386E-6</v>
      </c>
      <c r="J80" s="67">
        <f t="shared" si="16"/>
        <v>2.0106985446098204E-6</v>
      </c>
      <c r="K80" s="100">
        <f t="shared" si="6"/>
        <v>1.3404656964065468E-6</v>
      </c>
      <c r="O80" s="96">
        <f>Amnt_Deposited!B75</f>
        <v>2061</v>
      </c>
      <c r="P80" s="99">
        <f>Amnt_Deposited!C75</f>
        <v>0</v>
      </c>
      <c r="Q80" s="284">
        <f>MCF!R79</f>
        <v>0.8</v>
      </c>
      <c r="R80" s="67">
        <f t="shared" si="17"/>
        <v>0</v>
      </c>
      <c r="S80" s="67">
        <f t="shared" si="7"/>
        <v>0</v>
      </c>
      <c r="T80" s="67">
        <f t="shared" si="8"/>
        <v>0</v>
      </c>
      <c r="U80" s="67">
        <f t="shared" si="9"/>
        <v>2.7352201093483843E-6</v>
      </c>
      <c r="V80" s="67">
        <f t="shared" si="10"/>
        <v>1.3452488032625914E-6</v>
      </c>
      <c r="W80" s="100">
        <f t="shared" si="11"/>
        <v>8.9683253550839426E-7</v>
      </c>
    </row>
    <row r="81" spans="2:23">
      <c r="B81" s="96">
        <f>Amnt_Deposited!B76</f>
        <v>2062</v>
      </c>
      <c r="C81" s="99">
        <f>Amnt_Deposited!C76</f>
        <v>0</v>
      </c>
      <c r="D81" s="418">
        <f>Dry_Matter_Content!C68</f>
        <v>0.59</v>
      </c>
      <c r="E81" s="284">
        <f>MCF!R80</f>
        <v>0.8</v>
      </c>
      <c r="F81" s="67">
        <f t="shared" si="12"/>
        <v>0</v>
      </c>
      <c r="G81" s="67">
        <f t="shared" si="13"/>
        <v>0</v>
      </c>
      <c r="H81" s="67">
        <f t="shared" si="14"/>
        <v>0</v>
      </c>
      <c r="I81" s="67">
        <f t="shared" si="15"/>
        <v>2.7404307824527384E-6</v>
      </c>
      <c r="J81" s="67">
        <f t="shared" si="16"/>
        <v>1.3478115409866477E-6</v>
      </c>
      <c r="K81" s="100">
        <f t="shared" si="6"/>
        <v>8.9854102732443174E-7</v>
      </c>
      <c r="O81" s="96">
        <f>Amnt_Deposited!B76</f>
        <v>2062</v>
      </c>
      <c r="P81" s="99">
        <f>Amnt_Deposited!C76</f>
        <v>0</v>
      </c>
      <c r="Q81" s="284">
        <f>MCF!R80</f>
        <v>0.8</v>
      </c>
      <c r="R81" s="67">
        <f t="shared" si="17"/>
        <v>0</v>
      </c>
      <c r="S81" s="67">
        <f t="shared" si="7"/>
        <v>0</v>
      </c>
      <c r="T81" s="67">
        <f t="shared" si="8"/>
        <v>0</v>
      </c>
      <c r="U81" s="67">
        <f t="shared" si="9"/>
        <v>1.8334728696160153E-6</v>
      </c>
      <c r="V81" s="67">
        <f t="shared" si="10"/>
        <v>9.0174723973236885E-7</v>
      </c>
      <c r="W81" s="100">
        <f t="shared" si="11"/>
        <v>6.0116482648824583E-7</v>
      </c>
    </row>
    <row r="82" spans="2:23">
      <c r="B82" s="96">
        <f>Amnt_Deposited!B77</f>
        <v>2063</v>
      </c>
      <c r="C82" s="99">
        <f>Amnt_Deposited!C77</f>
        <v>0</v>
      </c>
      <c r="D82" s="418">
        <f>Dry_Matter_Content!C69</f>
        <v>0.59</v>
      </c>
      <c r="E82" s="284">
        <f>MCF!R81</f>
        <v>0.8</v>
      </c>
      <c r="F82" s="67">
        <f t="shared" si="12"/>
        <v>0</v>
      </c>
      <c r="G82" s="67">
        <f t="shared" si="13"/>
        <v>0</v>
      </c>
      <c r="H82" s="67">
        <f t="shared" si="14"/>
        <v>0</v>
      </c>
      <c r="I82" s="67">
        <f t="shared" si="15"/>
        <v>1.8369656882512026E-6</v>
      </c>
      <c r="J82" s="67">
        <f t="shared" si="16"/>
        <v>9.0346509420153573E-7</v>
      </c>
      <c r="K82" s="100">
        <f t="shared" si="6"/>
        <v>6.0231006280102382E-7</v>
      </c>
      <c r="O82" s="96">
        <f>Amnt_Deposited!B77</f>
        <v>2063</v>
      </c>
      <c r="P82" s="99">
        <f>Amnt_Deposited!C77</f>
        <v>0</v>
      </c>
      <c r="Q82" s="284">
        <f>MCF!R81</f>
        <v>0.8</v>
      </c>
      <c r="R82" s="67">
        <f t="shared" si="17"/>
        <v>0</v>
      </c>
      <c r="S82" s="67">
        <f t="shared" si="7"/>
        <v>0</v>
      </c>
      <c r="T82" s="67">
        <f t="shared" si="8"/>
        <v>0</v>
      </c>
      <c r="U82" s="67">
        <f t="shared" si="9"/>
        <v>1.2290136183661032E-6</v>
      </c>
      <c r="V82" s="67">
        <f t="shared" si="10"/>
        <v>6.0445925124991218E-7</v>
      </c>
      <c r="W82" s="100">
        <f t="shared" si="11"/>
        <v>4.0297283416660812E-7</v>
      </c>
    </row>
    <row r="83" spans="2:23">
      <c r="B83" s="96">
        <f>Amnt_Deposited!B78</f>
        <v>2064</v>
      </c>
      <c r="C83" s="99">
        <f>Amnt_Deposited!C78</f>
        <v>0</v>
      </c>
      <c r="D83" s="418">
        <f>Dry_Matter_Content!C70</f>
        <v>0.59</v>
      </c>
      <c r="E83" s="284">
        <f>MCF!R82</f>
        <v>0.8</v>
      </c>
      <c r="F83" s="67">
        <f t="shared" ref="F83:F99" si="18">C83*D83*$K$6*DOCF*E83</f>
        <v>0</v>
      </c>
      <c r="G83" s="67">
        <f t="shared" ref="G83:G99" si="19">F83*$K$12</f>
        <v>0</v>
      </c>
      <c r="H83" s="67">
        <f t="shared" ref="H83:H99" si="20">F83*(1-$K$12)</f>
        <v>0</v>
      </c>
      <c r="I83" s="67">
        <f t="shared" ref="I83:I99" si="21">G83+I82*$K$10</f>
        <v>1.231354924714436E-6</v>
      </c>
      <c r="J83" s="67">
        <f t="shared" ref="J83:J99" si="22">I82*(1-$K$10)+H83</f>
        <v>6.0561076353676663E-7</v>
      </c>
      <c r="K83" s="100">
        <f t="shared" si="6"/>
        <v>4.0374050902451105E-7</v>
      </c>
      <c r="O83" s="96">
        <f>Amnt_Deposited!B78</f>
        <v>2064</v>
      </c>
      <c r="P83" s="99">
        <f>Amnt_Deposited!C78</f>
        <v>0</v>
      </c>
      <c r="Q83" s="284">
        <f>MCF!R82</f>
        <v>0.8</v>
      </c>
      <c r="R83" s="67">
        <f t="shared" ref="R83:R99" si="23">P83*$W$6*DOCF*Q83</f>
        <v>0</v>
      </c>
      <c r="S83" s="67">
        <f t="shared" si="7"/>
        <v>0</v>
      </c>
      <c r="T83" s="67">
        <f t="shared" si="8"/>
        <v>0</v>
      </c>
      <c r="U83" s="67">
        <f t="shared" si="9"/>
        <v>8.2383246524159389E-7</v>
      </c>
      <c r="V83" s="67">
        <f t="shared" si="10"/>
        <v>4.0518115312450922E-7</v>
      </c>
      <c r="W83" s="100">
        <f t="shared" si="11"/>
        <v>2.7012076874967278E-7</v>
      </c>
    </row>
    <row r="84" spans="2:23">
      <c r="B84" s="96">
        <f>Amnt_Deposited!B79</f>
        <v>2065</v>
      </c>
      <c r="C84" s="99">
        <f>Amnt_Deposited!C79</f>
        <v>0</v>
      </c>
      <c r="D84" s="418">
        <f>Dry_Matter_Content!C71</f>
        <v>0.59</v>
      </c>
      <c r="E84" s="284">
        <f>MCF!R83</f>
        <v>0.8</v>
      </c>
      <c r="F84" s="67">
        <f t="shared" si="18"/>
        <v>0</v>
      </c>
      <c r="G84" s="67">
        <f t="shared" si="19"/>
        <v>0</v>
      </c>
      <c r="H84" s="67">
        <f t="shared" si="20"/>
        <v>0</v>
      </c>
      <c r="I84" s="67">
        <f t="shared" si="21"/>
        <v>8.2540188982079191E-7</v>
      </c>
      <c r="J84" s="67">
        <f t="shared" si="22"/>
        <v>4.0595303489364406E-7</v>
      </c>
      <c r="K84" s="100">
        <f t="shared" si="6"/>
        <v>2.7063535659576267E-7</v>
      </c>
      <c r="O84" s="96">
        <f>Amnt_Deposited!B79</f>
        <v>2065</v>
      </c>
      <c r="P84" s="99">
        <f>Amnt_Deposited!C79</f>
        <v>0</v>
      </c>
      <c r="Q84" s="284">
        <f>MCF!R83</f>
        <v>0.8</v>
      </c>
      <c r="R84" s="67">
        <f t="shared" si="23"/>
        <v>0</v>
      </c>
      <c r="S84" s="67">
        <f t="shared" si="7"/>
        <v>0</v>
      </c>
      <c r="T84" s="67">
        <f t="shared" si="8"/>
        <v>0</v>
      </c>
      <c r="U84" s="67">
        <f t="shared" si="9"/>
        <v>5.5223141602639949E-7</v>
      </c>
      <c r="V84" s="67">
        <f t="shared" si="10"/>
        <v>2.7160104921519445E-7</v>
      </c>
      <c r="W84" s="100">
        <f t="shared" si="11"/>
        <v>1.8106736614346297E-7</v>
      </c>
    </row>
    <row r="85" spans="2:23">
      <c r="B85" s="96">
        <f>Amnt_Deposited!B80</f>
        <v>2066</v>
      </c>
      <c r="C85" s="99">
        <f>Amnt_Deposited!C80</f>
        <v>0</v>
      </c>
      <c r="D85" s="418">
        <f>Dry_Matter_Content!C72</f>
        <v>0.59</v>
      </c>
      <c r="E85" s="284">
        <f>MCF!R84</f>
        <v>0.8</v>
      </c>
      <c r="F85" s="67">
        <f t="shared" si="18"/>
        <v>0</v>
      </c>
      <c r="G85" s="67">
        <f t="shared" si="19"/>
        <v>0</v>
      </c>
      <c r="H85" s="67">
        <f t="shared" si="20"/>
        <v>0</v>
      </c>
      <c r="I85" s="67">
        <f t="shared" si="21"/>
        <v>5.5328343278257691E-7</v>
      </c>
      <c r="J85" s="67">
        <f t="shared" si="22"/>
        <v>2.72118457038215E-7</v>
      </c>
      <c r="K85" s="100">
        <f t="shared" ref="K85:K99" si="24">J85*CH4_fraction*conv</f>
        <v>1.8141230469214331E-7</v>
      </c>
      <c r="O85" s="96">
        <f>Amnt_Deposited!B80</f>
        <v>2066</v>
      </c>
      <c r="P85" s="99">
        <f>Amnt_Deposited!C80</f>
        <v>0</v>
      </c>
      <c r="Q85" s="284">
        <f>MCF!R84</f>
        <v>0.8</v>
      </c>
      <c r="R85" s="67">
        <f t="shared" si="23"/>
        <v>0</v>
      </c>
      <c r="S85" s="67">
        <f t="shared" ref="S85:S98" si="25">R85*$W$12</f>
        <v>0</v>
      </c>
      <c r="T85" s="67">
        <f t="shared" ref="T85:T98" si="26">R85*(1-$W$12)</f>
        <v>0</v>
      </c>
      <c r="U85" s="67">
        <f t="shared" ref="U85:U98" si="27">S85+U84*$W$10</f>
        <v>3.7017178821314241E-7</v>
      </c>
      <c r="V85" s="67">
        <f t="shared" ref="V85:V98" si="28">U84*(1-$W$10)+T85</f>
        <v>1.8205962781325709E-7</v>
      </c>
      <c r="W85" s="100">
        <f t="shared" ref="W85:W99" si="29">V85*CH4_fraction*conv</f>
        <v>1.2137308520883804E-7</v>
      </c>
    </row>
    <row r="86" spans="2:23">
      <c r="B86" s="96">
        <f>Amnt_Deposited!B81</f>
        <v>2067</v>
      </c>
      <c r="C86" s="99">
        <f>Amnt_Deposited!C81</f>
        <v>0</v>
      </c>
      <c r="D86" s="418">
        <f>Dry_Matter_Content!C73</f>
        <v>0.59</v>
      </c>
      <c r="E86" s="284">
        <f>MCF!R85</f>
        <v>0.8</v>
      </c>
      <c r="F86" s="67">
        <f t="shared" si="18"/>
        <v>0</v>
      </c>
      <c r="G86" s="67">
        <f t="shared" si="19"/>
        <v>0</v>
      </c>
      <c r="H86" s="67">
        <f t="shared" si="20"/>
        <v>0</v>
      </c>
      <c r="I86" s="67">
        <f t="shared" si="21"/>
        <v>3.7087697613357353E-7</v>
      </c>
      <c r="J86" s="67">
        <f t="shared" si="22"/>
        <v>1.8240645664900341E-7</v>
      </c>
      <c r="K86" s="100">
        <f t="shared" si="24"/>
        <v>1.2160430443266893E-7</v>
      </c>
      <c r="O86" s="96">
        <f>Amnt_Deposited!B81</f>
        <v>2067</v>
      </c>
      <c r="P86" s="99">
        <f>Amnt_Deposited!C81</f>
        <v>0</v>
      </c>
      <c r="Q86" s="284">
        <f>MCF!R85</f>
        <v>0.8</v>
      </c>
      <c r="R86" s="67">
        <f t="shared" si="23"/>
        <v>0</v>
      </c>
      <c r="S86" s="67">
        <f t="shared" si="25"/>
        <v>0</v>
      </c>
      <c r="T86" s="67">
        <f t="shared" si="26"/>
        <v>0</v>
      </c>
      <c r="U86" s="67">
        <f t="shared" si="27"/>
        <v>2.4813357011612855E-7</v>
      </c>
      <c r="V86" s="67">
        <f t="shared" si="28"/>
        <v>1.2203821809701385E-7</v>
      </c>
      <c r="W86" s="100">
        <f t="shared" si="29"/>
        <v>8.1358812064675903E-8</v>
      </c>
    </row>
    <row r="87" spans="2:23">
      <c r="B87" s="96">
        <f>Amnt_Deposited!B82</f>
        <v>2068</v>
      </c>
      <c r="C87" s="99">
        <f>Amnt_Deposited!C82</f>
        <v>0</v>
      </c>
      <c r="D87" s="418">
        <f>Dry_Matter_Content!C74</f>
        <v>0.59</v>
      </c>
      <c r="E87" s="284">
        <f>MCF!R86</f>
        <v>0.8</v>
      </c>
      <c r="F87" s="67">
        <f t="shared" si="18"/>
        <v>0</v>
      </c>
      <c r="G87" s="67">
        <f t="shared" si="19"/>
        <v>0</v>
      </c>
      <c r="H87" s="67">
        <f t="shared" si="20"/>
        <v>0</v>
      </c>
      <c r="I87" s="67">
        <f t="shared" si="21"/>
        <v>2.486062717154157E-7</v>
      </c>
      <c r="J87" s="67">
        <f t="shared" si="22"/>
        <v>1.2227070441815781E-7</v>
      </c>
      <c r="K87" s="100">
        <f t="shared" si="24"/>
        <v>8.1513802945438529E-8</v>
      </c>
      <c r="O87" s="96">
        <f>Amnt_Deposited!B82</f>
        <v>2068</v>
      </c>
      <c r="P87" s="99">
        <f>Amnt_Deposited!C82</f>
        <v>0</v>
      </c>
      <c r="Q87" s="284">
        <f>MCF!R86</f>
        <v>0.8</v>
      </c>
      <c r="R87" s="67">
        <f t="shared" si="23"/>
        <v>0</v>
      </c>
      <c r="S87" s="67">
        <f t="shared" si="25"/>
        <v>0</v>
      </c>
      <c r="T87" s="67">
        <f t="shared" si="26"/>
        <v>0</v>
      </c>
      <c r="U87" s="67">
        <f t="shared" si="27"/>
        <v>1.6632890614323082E-7</v>
      </c>
      <c r="V87" s="67">
        <f t="shared" si="28"/>
        <v>8.1804663972897721E-8</v>
      </c>
      <c r="W87" s="100">
        <f t="shared" si="29"/>
        <v>5.4536442648598481E-8</v>
      </c>
    </row>
    <row r="88" spans="2:23">
      <c r="B88" s="96">
        <f>Amnt_Deposited!B83</f>
        <v>2069</v>
      </c>
      <c r="C88" s="99">
        <f>Amnt_Deposited!C83</f>
        <v>0</v>
      </c>
      <c r="D88" s="418">
        <f>Dry_Matter_Content!C75</f>
        <v>0.59</v>
      </c>
      <c r="E88" s="284">
        <f>MCF!R87</f>
        <v>0.8</v>
      </c>
      <c r="F88" s="67">
        <f t="shared" si="18"/>
        <v>0</v>
      </c>
      <c r="G88" s="67">
        <f t="shared" si="19"/>
        <v>0</v>
      </c>
      <c r="H88" s="67">
        <f t="shared" si="20"/>
        <v>0</v>
      </c>
      <c r="I88" s="67">
        <f t="shared" si="21"/>
        <v>1.666457675010261E-7</v>
      </c>
      <c r="J88" s="67">
        <f t="shared" si="22"/>
        <v>8.1960504214389587E-8</v>
      </c>
      <c r="K88" s="100">
        <f t="shared" si="24"/>
        <v>5.4640336142926387E-8</v>
      </c>
      <c r="O88" s="96">
        <f>Amnt_Deposited!B83</f>
        <v>2069</v>
      </c>
      <c r="P88" s="99">
        <f>Amnt_Deposited!C83</f>
        <v>0</v>
      </c>
      <c r="Q88" s="284">
        <f>MCF!R87</f>
        <v>0.8</v>
      </c>
      <c r="R88" s="67">
        <f t="shared" si="23"/>
        <v>0</v>
      </c>
      <c r="S88" s="67">
        <f t="shared" si="25"/>
        <v>0</v>
      </c>
      <c r="T88" s="67">
        <f t="shared" si="26"/>
        <v>0</v>
      </c>
      <c r="U88" s="67">
        <f t="shared" si="27"/>
        <v>1.1149360002298802E-7</v>
      </c>
      <c r="V88" s="67">
        <f t="shared" si="28"/>
        <v>5.4835306120242805E-8</v>
      </c>
      <c r="W88" s="100">
        <f t="shared" si="29"/>
        <v>3.6556870746828532E-8</v>
      </c>
    </row>
    <row r="89" spans="2:23">
      <c r="B89" s="96">
        <f>Amnt_Deposited!B84</f>
        <v>2070</v>
      </c>
      <c r="C89" s="99">
        <f>Amnt_Deposited!C84</f>
        <v>0</v>
      </c>
      <c r="D89" s="418">
        <f>Dry_Matter_Content!C76</f>
        <v>0.59</v>
      </c>
      <c r="E89" s="284">
        <f>MCF!R88</f>
        <v>0.8</v>
      </c>
      <c r="F89" s="67">
        <f t="shared" si="18"/>
        <v>0</v>
      </c>
      <c r="G89" s="67">
        <f t="shared" si="19"/>
        <v>0</v>
      </c>
      <c r="H89" s="67">
        <f t="shared" si="20"/>
        <v>0</v>
      </c>
      <c r="I89" s="67">
        <f t="shared" si="21"/>
        <v>1.1170599854293226E-7</v>
      </c>
      <c r="J89" s="67">
        <f t="shared" si="22"/>
        <v>5.4939768958093836E-8</v>
      </c>
      <c r="K89" s="100">
        <f t="shared" si="24"/>
        <v>3.6626512638729219E-8</v>
      </c>
      <c r="O89" s="96">
        <f>Amnt_Deposited!B84</f>
        <v>2070</v>
      </c>
      <c r="P89" s="99">
        <f>Amnt_Deposited!C84</f>
        <v>0</v>
      </c>
      <c r="Q89" s="284">
        <f>MCF!R88</f>
        <v>0.8</v>
      </c>
      <c r="R89" s="67">
        <f t="shared" si="23"/>
        <v>0</v>
      </c>
      <c r="S89" s="67">
        <f t="shared" si="25"/>
        <v>0</v>
      </c>
      <c r="T89" s="67">
        <f t="shared" si="26"/>
        <v>0</v>
      </c>
      <c r="U89" s="67">
        <f t="shared" si="27"/>
        <v>7.4736395100088489E-8</v>
      </c>
      <c r="V89" s="67">
        <f t="shared" si="28"/>
        <v>3.6757204922899533E-8</v>
      </c>
      <c r="W89" s="100">
        <f t="shared" si="29"/>
        <v>2.4504803281933021E-8</v>
      </c>
    </row>
    <row r="90" spans="2:23">
      <c r="B90" s="96">
        <f>Amnt_Deposited!B85</f>
        <v>2071</v>
      </c>
      <c r="C90" s="99">
        <f>Amnt_Deposited!C85</f>
        <v>0</v>
      </c>
      <c r="D90" s="418">
        <f>Dry_Matter_Content!C77</f>
        <v>0.59</v>
      </c>
      <c r="E90" s="284">
        <f>MCF!R89</f>
        <v>0.8</v>
      </c>
      <c r="F90" s="67">
        <f t="shared" si="18"/>
        <v>0</v>
      </c>
      <c r="G90" s="67">
        <f t="shared" si="19"/>
        <v>0</v>
      </c>
      <c r="H90" s="67">
        <f t="shared" si="20"/>
        <v>0</v>
      </c>
      <c r="I90" s="67">
        <f t="shared" si="21"/>
        <v>7.487877008575542E-8</v>
      </c>
      <c r="J90" s="67">
        <f t="shared" si="22"/>
        <v>3.6827228457176851E-8</v>
      </c>
      <c r="K90" s="100">
        <f t="shared" si="24"/>
        <v>2.4551485638117901E-8</v>
      </c>
      <c r="O90" s="96">
        <f>Amnt_Deposited!B85</f>
        <v>2071</v>
      </c>
      <c r="P90" s="99">
        <f>Amnt_Deposited!C85</f>
        <v>0</v>
      </c>
      <c r="Q90" s="284">
        <f>MCF!R89</f>
        <v>0.8</v>
      </c>
      <c r="R90" s="67">
        <f t="shared" si="23"/>
        <v>0</v>
      </c>
      <c r="S90" s="67">
        <f t="shared" si="25"/>
        <v>0</v>
      </c>
      <c r="T90" s="67">
        <f t="shared" si="26"/>
        <v>0</v>
      </c>
      <c r="U90" s="67">
        <f t="shared" si="27"/>
        <v>5.0097303804029047E-8</v>
      </c>
      <c r="V90" s="67">
        <f t="shared" si="28"/>
        <v>2.4639091296059445E-8</v>
      </c>
      <c r="W90" s="100">
        <f t="shared" si="29"/>
        <v>1.6426060864039629E-8</v>
      </c>
    </row>
    <row r="91" spans="2:23">
      <c r="B91" s="96">
        <f>Amnt_Deposited!B86</f>
        <v>2072</v>
      </c>
      <c r="C91" s="99">
        <f>Amnt_Deposited!C86</f>
        <v>0</v>
      </c>
      <c r="D91" s="418">
        <f>Dry_Matter_Content!C78</f>
        <v>0.59</v>
      </c>
      <c r="E91" s="284">
        <f>MCF!R90</f>
        <v>0.8</v>
      </c>
      <c r="F91" s="67">
        <f t="shared" si="18"/>
        <v>0</v>
      </c>
      <c r="G91" s="67">
        <f t="shared" si="19"/>
        <v>0</v>
      </c>
      <c r="H91" s="67">
        <f t="shared" si="20"/>
        <v>0</v>
      </c>
      <c r="I91" s="67">
        <f t="shared" si="21"/>
        <v>5.0192740610975626E-8</v>
      </c>
      <c r="J91" s="67">
        <f t="shared" si="22"/>
        <v>2.4686029474779794E-8</v>
      </c>
      <c r="K91" s="100">
        <f t="shared" si="24"/>
        <v>1.6457352983186528E-8</v>
      </c>
      <c r="O91" s="96">
        <f>Amnt_Deposited!B86</f>
        <v>2072</v>
      </c>
      <c r="P91" s="99">
        <f>Amnt_Deposited!C86</f>
        <v>0</v>
      </c>
      <c r="Q91" s="284">
        <f>MCF!R90</f>
        <v>0.8</v>
      </c>
      <c r="R91" s="67">
        <f t="shared" si="23"/>
        <v>0</v>
      </c>
      <c r="S91" s="67">
        <f t="shared" si="25"/>
        <v>0</v>
      </c>
      <c r="T91" s="67">
        <f t="shared" si="26"/>
        <v>0</v>
      </c>
      <c r="U91" s="67">
        <f t="shared" si="27"/>
        <v>3.3581226992178158E-8</v>
      </c>
      <c r="V91" s="67">
        <f t="shared" si="28"/>
        <v>1.6516076811850886E-8</v>
      </c>
      <c r="W91" s="100">
        <f t="shared" si="29"/>
        <v>1.1010717874567256E-8</v>
      </c>
    </row>
    <row r="92" spans="2:23">
      <c r="B92" s="96">
        <f>Amnt_Deposited!B87</f>
        <v>2073</v>
      </c>
      <c r="C92" s="99">
        <f>Amnt_Deposited!C87</f>
        <v>0</v>
      </c>
      <c r="D92" s="418">
        <f>Dry_Matter_Content!C79</f>
        <v>0.59</v>
      </c>
      <c r="E92" s="284">
        <f>MCF!R91</f>
        <v>0.8</v>
      </c>
      <c r="F92" s="67">
        <f t="shared" si="18"/>
        <v>0</v>
      </c>
      <c r="G92" s="67">
        <f t="shared" si="19"/>
        <v>0</v>
      </c>
      <c r="H92" s="67">
        <f t="shared" si="20"/>
        <v>0</v>
      </c>
      <c r="I92" s="67">
        <f t="shared" si="21"/>
        <v>3.3645200197004086E-8</v>
      </c>
      <c r="J92" s="67">
        <f t="shared" si="22"/>
        <v>1.654754041397154E-8</v>
      </c>
      <c r="K92" s="100">
        <f t="shared" si="24"/>
        <v>1.1031693609314359E-8</v>
      </c>
      <c r="O92" s="96">
        <f>Amnt_Deposited!B87</f>
        <v>2073</v>
      </c>
      <c r="P92" s="99">
        <f>Amnt_Deposited!C87</f>
        <v>0</v>
      </c>
      <c r="Q92" s="284">
        <f>MCF!R91</f>
        <v>0.8</v>
      </c>
      <c r="R92" s="67">
        <f t="shared" si="23"/>
        <v>0</v>
      </c>
      <c r="S92" s="67">
        <f t="shared" si="25"/>
        <v>0</v>
      </c>
      <c r="T92" s="67">
        <f t="shared" si="26"/>
        <v>0</v>
      </c>
      <c r="U92" s="67">
        <f t="shared" si="27"/>
        <v>2.2510169623330115E-8</v>
      </c>
      <c r="V92" s="67">
        <f t="shared" si="28"/>
        <v>1.1071057368848041E-8</v>
      </c>
      <c r="W92" s="100">
        <f t="shared" si="29"/>
        <v>7.3807049125653602E-9</v>
      </c>
    </row>
    <row r="93" spans="2:23">
      <c r="B93" s="96">
        <f>Amnt_Deposited!B88</f>
        <v>2074</v>
      </c>
      <c r="C93" s="99">
        <f>Amnt_Deposited!C88</f>
        <v>0</v>
      </c>
      <c r="D93" s="418">
        <f>Dry_Matter_Content!C80</f>
        <v>0.59</v>
      </c>
      <c r="E93" s="284">
        <f>MCF!R92</f>
        <v>0.8</v>
      </c>
      <c r="F93" s="67">
        <f t="shared" si="18"/>
        <v>0</v>
      </c>
      <c r="G93" s="67">
        <f t="shared" si="19"/>
        <v>0</v>
      </c>
      <c r="H93" s="67">
        <f t="shared" si="20"/>
        <v>0</v>
      </c>
      <c r="I93" s="67">
        <f t="shared" si="21"/>
        <v>2.2553052144934081E-8</v>
      </c>
      <c r="J93" s="67">
        <f t="shared" si="22"/>
        <v>1.1092148052070006E-8</v>
      </c>
      <c r="K93" s="100">
        <f t="shared" si="24"/>
        <v>7.3947653680466704E-9</v>
      </c>
      <c r="O93" s="96">
        <f>Amnt_Deposited!B88</f>
        <v>2074</v>
      </c>
      <c r="P93" s="99">
        <f>Amnt_Deposited!C88</f>
        <v>0</v>
      </c>
      <c r="Q93" s="284">
        <f>MCF!R92</f>
        <v>0.8</v>
      </c>
      <c r="R93" s="67">
        <f t="shared" si="23"/>
        <v>0</v>
      </c>
      <c r="S93" s="67">
        <f t="shared" si="25"/>
        <v>0</v>
      </c>
      <c r="T93" s="67">
        <f t="shared" si="26"/>
        <v>0</v>
      </c>
      <c r="U93" s="67">
        <f t="shared" si="27"/>
        <v>1.5089017938180693E-8</v>
      </c>
      <c r="V93" s="67">
        <f t="shared" si="28"/>
        <v>7.4211516851494224E-9</v>
      </c>
      <c r="W93" s="100">
        <f t="shared" si="29"/>
        <v>4.9474344567662811E-9</v>
      </c>
    </row>
    <row r="94" spans="2:23">
      <c r="B94" s="96">
        <f>Amnt_Deposited!B89</f>
        <v>2075</v>
      </c>
      <c r="C94" s="99">
        <f>Amnt_Deposited!C89</f>
        <v>0</v>
      </c>
      <c r="D94" s="418">
        <f>Dry_Matter_Content!C81</f>
        <v>0.59</v>
      </c>
      <c r="E94" s="284">
        <f>MCF!R93</f>
        <v>0.8</v>
      </c>
      <c r="F94" s="67">
        <f t="shared" si="18"/>
        <v>0</v>
      </c>
      <c r="G94" s="67">
        <f t="shared" si="19"/>
        <v>0</v>
      </c>
      <c r="H94" s="67">
        <f t="shared" si="20"/>
        <v>0</v>
      </c>
      <c r="I94" s="67">
        <f t="shared" si="21"/>
        <v>1.5117762952036386E-8</v>
      </c>
      <c r="J94" s="67">
        <f t="shared" si="22"/>
        <v>7.4352891928976937E-9</v>
      </c>
      <c r="K94" s="100">
        <f t="shared" si="24"/>
        <v>4.9568594619317958E-9</v>
      </c>
      <c r="O94" s="96">
        <f>Amnt_Deposited!B89</f>
        <v>2075</v>
      </c>
      <c r="P94" s="99">
        <f>Amnt_Deposited!C89</f>
        <v>0</v>
      </c>
      <c r="Q94" s="284">
        <f>MCF!R93</f>
        <v>0.8</v>
      </c>
      <c r="R94" s="67">
        <f t="shared" si="23"/>
        <v>0</v>
      </c>
      <c r="S94" s="67">
        <f t="shared" si="25"/>
        <v>0</v>
      </c>
      <c r="T94" s="67">
        <f t="shared" si="26"/>
        <v>0</v>
      </c>
      <c r="U94" s="67">
        <f t="shared" si="27"/>
        <v>1.011447119895387E-8</v>
      </c>
      <c r="V94" s="67">
        <f t="shared" si="28"/>
        <v>4.974546739226823E-9</v>
      </c>
      <c r="W94" s="100">
        <f t="shared" si="29"/>
        <v>3.316364492817882E-9</v>
      </c>
    </row>
    <row r="95" spans="2:23">
      <c r="B95" s="96">
        <f>Amnt_Deposited!B90</f>
        <v>2076</v>
      </c>
      <c r="C95" s="99">
        <f>Amnt_Deposited!C90</f>
        <v>0</v>
      </c>
      <c r="D95" s="418">
        <f>Dry_Matter_Content!C82</f>
        <v>0.59</v>
      </c>
      <c r="E95" s="284">
        <f>MCF!R94</f>
        <v>0.8</v>
      </c>
      <c r="F95" s="67">
        <f t="shared" si="18"/>
        <v>0</v>
      </c>
      <c r="G95" s="67">
        <f t="shared" si="19"/>
        <v>0</v>
      </c>
      <c r="H95" s="67">
        <f t="shared" si="20"/>
        <v>0</v>
      </c>
      <c r="I95" s="67">
        <f t="shared" si="21"/>
        <v>1.0133739557964913E-8</v>
      </c>
      <c r="J95" s="67">
        <f t="shared" si="22"/>
        <v>4.9840233940714735E-9</v>
      </c>
      <c r="K95" s="100">
        <f t="shared" si="24"/>
        <v>3.3226822627143155E-9</v>
      </c>
      <c r="O95" s="96">
        <f>Amnt_Deposited!B90</f>
        <v>2076</v>
      </c>
      <c r="P95" s="99">
        <f>Amnt_Deposited!C90</f>
        <v>0</v>
      </c>
      <c r="Q95" s="284">
        <f>MCF!R94</f>
        <v>0.8</v>
      </c>
      <c r="R95" s="67">
        <f t="shared" si="23"/>
        <v>0</v>
      </c>
      <c r="S95" s="67">
        <f t="shared" si="25"/>
        <v>0</v>
      </c>
      <c r="T95" s="67">
        <f t="shared" si="26"/>
        <v>0</v>
      </c>
      <c r="U95" s="67">
        <f t="shared" si="27"/>
        <v>6.7799327997089063E-9</v>
      </c>
      <c r="V95" s="67">
        <f t="shared" si="28"/>
        <v>3.3345383992449639E-9</v>
      </c>
      <c r="W95" s="100">
        <f t="shared" si="29"/>
        <v>2.2230255994966426E-9</v>
      </c>
    </row>
    <row r="96" spans="2:23">
      <c r="B96" s="96">
        <f>Amnt_Deposited!B91</f>
        <v>2077</v>
      </c>
      <c r="C96" s="99">
        <f>Amnt_Deposited!C91</f>
        <v>0</v>
      </c>
      <c r="D96" s="418">
        <f>Dry_Matter_Content!C83</f>
        <v>0.59</v>
      </c>
      <c r="E96" s="284">
        <f>MCF!R95</f>
        <v>0.8</v>
      </c>
      <c r="F96" s="67">
        <f t="shared" si="18"/>
        <v>0</v>
      </c>
      <c r="G96" s="67">
        <f t="shared" si="19"/>
        <v>0</v>
      </c>
      <c r="H96" s="67">
        <f t="shared" si="20"/>
        <v>0</v>
      </c>
      <c r="I96" s="67">
        <f t="shared" si="21"/>
        <v>6.7928487670082195E-9</v>
      </c>
      <c r="J96" s="67">
        <f t="shared" si="22"/>
        <v>3.3408907909566931E-9</v>
      </c>
      <c r="K96" s="100">
        <f t="shared" si="24"/>
        <v>2.2272605273044621E-9</v>
      </c>
      <c r="O96" s="96">
        <f>Amnt_Deposited!B91</f>
        <v>2077</v>
      </c>
      <c r="P96" s="99">
        <f>Amnt_Deposited!C91</f>
        <v>0</v>
      </c>
      <c r="Q96" s="284">
        <f>MCF!R95</f>
        <v>0.8</v>
      </c>
      <c r="R96" s="67">
        <f t="shared" si="23"/>
        <v>0</v>
      </c>
      <c r="S96" s="67">
        <f t="shared" si="25"/>
        <v>0</v>
      </c>
      <c r="T96" s="67">
        <f t="shared" si="26"/>
        <v>0</v>
      </c>
      <c r="U96" s="67">
        <f t="shared" si="27"/>
        <v>4.5447248664194147E-9</v>
      </c>
      <c r="V96" s="67">
        <f t="shared" si="28"/>
        <v>2.2352079332894912E-9</v>
      </c>
      <c r="W96" s="100">
        <f t="shared" si="29"/>
        <v>1.490138622192994E-9</v>
      </c>
    </row>
    <row r="97" spans="2:23">
      <c r="B97" s="96">
        <f>Amnt_Deposited!B92</f>
        <v>2078</v>
      </c>
      <c r="C97" s="99">
        <f>Amnt_Deposited!C92</f>
        <v>0</v>
      </c>
      <c r="D97" s="418">
        <f>Dry_Matter_Content!C84</f>
        <v>0.59</v>
      </c>
      <c r="E97" s="284">
        <f>MCF!R96</f>
        <v>0.8</v>
      </c>
      <c r="F97" s="67">
        <f t="shared" si="18"/>
        <v>0</v>
      </c>
      <c r="G97" s="67">
        <f t="shared" si="19"/>
        <v>0</v>
      </c>
      <c r="H97" s="67">
        <f t="shared" si="20"/>
        <v>0</v>
      </c>
      <c r="I97" s="67">
        <f t="shared" si="21"/>
        <v>4.5533826982140855E-9</v>
      </c>
      <c r="J97" s="67">
        <f t="shared" si="22"/>
        <v>2.239466068794134E-9</v>
      </c>
      <c r="K97" s="100">
        <f t="shared" si="24"/>
        <v>1.4929773791960893E-9</v>
      </c>
      <c r="O97" s="96">
        <f>Amnt_Deposited!B92</f>
        <v>2078</v>
      </c>
      <c r="P97" s="99">
        <f>Amnt_Deposited!C92</f>
        <v>0</v>
      </c>
      <c r="Q97" s="284">
        <f>MCF!R96</f>
        <v>0.8</v>
      </c>
      <c r="R97" s="67">
        <f t="shared" si="23"/>
        <v>0</v>
      </c>
      <c r="S97" s="67">
        <f t="shared" si="25"/>
        <v>0</v>
      </c>
      <c r="T97" s="67">
        <f t="shared" si="26"/>
        <v>0</v>
      </c>
      <c r="U97" s="67">
        <f t="shared" si="27"/>
        <v>3.0464201816775768E-9</v>
      </c>
      <c r="V97" s="67">
        <f t="shared" si="28"/>
        <v>1.4983046847418379E-9</v>
      </c>
      <c r="W97" s="100">
        <f t="shared" si="29"/>
        <v>9.9886978982789182E-10</v>
      </c>
    </row>
    <row r="98" spans="2:23">
      <c r="B98" s="96">
        <f>Amnt_Deposited!B93</f>
        <v>2079</v>
      </c>
      <c r="C98" s="99">
        <f>Amnt_Deposited!C93</f>
        <v>0</v>
      </c>
      <c r="D98" s="418">
        <f>Dry_Matter_Content!C85</f>
        <v>0.59</v>
      </c>
      <c r="E98" s="284">
        <f>MCF!R97</f>
        <v>0.8</v>
      </c>
      <c r="F98" s="67">
        <f t="shared" si="18"/>
        <v>0</v>
      </c>
      <c r="G98" s="67">
        <f t="shared" si="19"/>
        <v>0</v>
      </c>
      <c r="H98" s="67">
        <f t="shared" si="20"/>
        <v>0</v>
      </c>
      <c r="I98" s="67">
        <f t="shared" si="21"/>
        <v>3.0522236998847493E-9</v>
      </c>
      <c r="J98" s="67">
        <f t="shared" si="22"/>
        <v>1.5011589983293362E-9</v>
      </c>
      <c r="K98" s="100">
        <f t="shared" si="24"/>
        <v>1.0007726655528907E-9</v>
      </c>
      <c r="O98" s="96">
        <f>Amnt_Deposited!B93</f>
        <v>2079</v>
      </c>
      <c r="P98" s="99">
        <f>Amnt_Deposited!C93</f>
        <v>0</v>
      </c>
      <c r="Q98" s="284">
        <f>MCF!R97</f>
        <v>0.8</v>
      </c>
      <c r="R98" s="67">
        <f t="shared" si="23"/>
        <v>0</v>
      </c>
      <c r="S98" s="67">
        <f t="shared" si="25"/>
        <v>0</v>
      </c>
      <c r="T98" s="67">
        <f t="shared" si="26"/>
        <v>0</v>
      </c>
      <c r="U98" s="67">
        <f t="shared" si="27"/>
        <v>2.0420765164260138E-9</v>
      </c>
      <c r="V98" s="67">
        <f t="shared" si="28"/>
        <v>1.0043436652515627E-9</v>
      </c>
      <c r="W98" s="100">
        <f t="shared" si="29"/>
        <v>6.6956244350104176E-10</v>
      </c>
    </row>
    <row r="99" spans="2:23" ht="13.5" thickBot="1">
      <c r="B99" s="97">
        <f>Amnt_Deposited!B94</f>
        <v>2080</v>
      </c>
      <c r="C99" s="101">
        <f>Amnt_Deposited!C94</f>
        <v>0</v>
      </c>
      <c r="D99" s="419">
        <f>Dry_Matter_Content!C86</f>
        <v>0.59</v>
      </c>
      <c r="E99" s="285">
        <f>MCF!R98</f>
        <v>0.8</v>
      </c>
      <c r="F99" s="68">
        <f t="shared" si="18"/>
        <v>0</v>
      </c>
      <c r="G99" s="68">
        <f t="shared" si="19"/>
        <v>0</v>
      </c>
      <c r="H99" s="68">
        <f t="shared" si="20"/>
        <v>0</v>
      </c>
      <c r="I99" s="68">
        <f t="shared" si="21"/>
        <v>2.0459667310178145E-9</v>
      </c>
      <c r="J99" s="68">
        <f t="shared" si="22"/>
        <v>1.0062569688669348E-9</v>
      </c>
      <c r="K99" s="102">
        <f t="shared" si="24"/>
        <v>6.7083797924462314E-10</v>
      </c>
      <c r="O99" s="97">
        <f>Amnt_Deposited!B94</f>
        <v>2080</v>
      </c>
      <c r="P99" s="101">
        <f>Amnt_Deposited!C94</f>
        <v>0</v>
      </c>
      <c r="Q99" s="285">
        <f>MCF!R98</f>
        <v>0.8</v>
      </c>
      <c r="R99" s="68">
        <f t="shared" si="23"/>
        <v>0</v>
      </c>
      <c r="S99" s="68">
        <f>R99*$W$12</f>
        <v>0</v>
      </c>
      <c r="T99" s="68">
        <f>R99*(1-$W$12)</f>
        <v>0</v>
      </c>
      <c r="U99" s="68">
        <f>S99+U98*$W$10</f>
        <v>1.3688448244989836E-9</v>
      </c>
      <c r="V99" s="68">
        <f>U98*(1-$W$10)+T99</f>
        <v>6.7323169192703029E-10</v>
      </c>
      <c r="W99" s="102">
        <f t="shared" si="29"/>
        <v>4.4882112795135349E-10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0.44</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Dry_Matter_Content!D6</f>
        <v>0.44</v>
      </c>
      <c r="E19" s="283">
        <f>MCF!R18</f>
        <v>0.8</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Amnt_Deposited!D14</f>
        <v>0</v>
      </c>
      <c r="Q19" s="283">
        <f>MCF!R18</f>
        <v>0.8</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Dry_Matter_Content!D7</f>
        <v>0.44</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Amnt_Deposited!D15</f>
        <v>0</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0.88858882846800002</v>
      </c>
      <c r="D21" s="418">
        <f>Dry_Matter_Content!D8</f>
        <v>0.44</v>
      </c>
      <c r="E21" s="284">
        <f>MCF!R20</f>
        <v>0.8</v>
      </c>
      <c r="F21" s="67">
        <f t="shared" si="0"/>
        <v>6.8812318876561918E-2</v>
      </c>
      <c r="G21" s="67">
        <f t="shared" si="1"/>
        <v>6.8812318876561918E-2</v>
      </c>
      <c r="H21" s="67">
        <f t="shared" si="2"/>
        <v>0</v>
      </c>
      <c r="I21" s="67">
        <f t="shared" si="3"/>
        <v>6.8812318876561918E-2</v>
      </c>
      <c r="J21" s="67">
        <f t="shared" si="4"/>
        <v>0</v>
      </c>
      <c r="K21" s="100">
        <f t="shared" ref="K21:K84" si="6">J21*CH4_fraction*conv</f>
        <v>0</v>
      </c>
      <c r="O21" s="96">
        <f>Amnt_Deposited!B16</f>
        <v>2002</v>
      </c>
      <c r="P21" s="99">
        <f>Amnt_Deposited!D16</f>
        <v>0.88858882846800002</v>
      </c>
      <c r="Q21" s="284">
        <f>MCF!R20</f>
        <v>0.8</v>
      </c>
      <c r="R21" s="67">
        <f t="shared" si="5"/>
        <v>0.14217421255488003</v>
      </c>
      <c r="S21" s="67">
        <f t="shared" ref="S21:S84" si="7">R21*$W$12</f>
        <v>0.14217421255488003</v>
      </c>
      <c r="T21" s="67">
        <f t="shared" ref="T21:T84" si="8">R21*(1-$W$12)</f>
        <v>0</v>
      </c>
      <c r="U21" s="67">
        <f t="shared" ref="U21:U84" si="9">S21+U20*$W$10</f>
        <v>0.14217421255488003</v>
      </c>
      <c r="V21" s="67">
        <f t="shared" ref="V21:V84" si="10">U20*(1-$W$10)+T21</f>
        <v>0</v>
      </c>
      <c r="W21" s="100">
        <f t="shared" ref="W21:W84" si="11">V21*CH4_fraction*conv</f>
        <v>0</v>
      </c>
    </row>
    <row r="22" spans="2:23">
      <c r="B22" s="96">
        <f>Amnt_Deposited!B17</f>
        <v>2003</v>
      </c>
      <c r="C22" s="99">
        <f>Amnt_Deposited!D17</f>
        <v>0.90382500608400007</v>
      </c>
      <c r="D22" s="418">
        <f>Dry_Matter_Content!D9</f>
        <v>0.44</v>
      </c>
      <c r="E22" s="284">
        <f>MCF!R21</f>
        <v>0.8</v>
      </c>
      <c r="F22" s="67">
        <f t="shared" si="0"/>
        <v>6.999220847114497E-2</v>
      </c>
      <c r="G22" s="67">
        <f t="shared" si="1"/>
        <v>6.999220847114497E-2</v>
      </c>
      <c r="H22" s="67">
        <f t="shared" si="2"/>
        <v>0</v>
      </c>
      <c r="I22" s="67">
        <f t="shared" si="3"/>
        <v>0.13415238932504872</v>
      </c>
      <c r="J22" s="67">
        <f t="shared" si="4"/>
        <v>4.6521380226581602E-3</v>
      </c>
      <c r="K22" s="100">
        <f t="shared" si="6"/>
        <v>3.1014253484387732E-3</v>
      </c>
      <c r="N22" s="258"/>
      <c r="O22" s="96">
        <f>Amnt_Deposited!B17</f>
        <v>2003</v>
      </c>
      <c r="P22" s="99">
        <f>Amnt_Deposited!D17</f>
        <v>0.90382500608400007</v>
      </c>
      <c r="Q22" s="284">
        <f>MCF!R21</f>
        <v>0.8</v>
      </c>
      <c r="R22" s="67">
        <f t="shared" si="5"/>
        <v>0.14461200097344004</v>
      </c>
      <c r="S22" s="67">
        <f t="shared" si="7"/>
        <v>0.14461200097344004</v>
      </c>
      <c r="T22" s="67">
        <f t="shared" si="8"/>
        <v>0</v>
      </c>
      <c r="U22" s="67">
        <f t="shared" si="9"/>
        <v>0.27717435810960489</v>
      </c>
      <c r="V22" s="67">
        <f t="shared" si="10"/>
        <v>9.6118554187152091E-3</v>
      </c>
      <c r="W22" s="100">
        <f t="shared" si="11"/>
        <v>6.4079036124768058E-3</v>
      </c>
    </row>
    <row r="23" spans="2:23">
      <c r="B23" s="96">
        <f>Amnt_Deposited!B18</f>
        <v>2004</v>
      </c>
      <c r="C23" s="99">
        <f>Amnt_Deposited!D18</f>
        <v>0.94008647264400003</v>
      </c>
      <c r="D23" s="418">
        <f>Dry_Matter_Content!D10</f>
        <v>0.44</v>
      </c>
      <c r="E23" s="284">
        <f>MCF!R22</f>
        <v>0.8</v>
      </c>
      <c r="F23" s="67">
        <f t="shared" si="0"/>
        <v>7.2800296441551365E-2</v>
      </c>
      <c r="G23" s="67">
        <f t="shared" si="1"/>
        <v>7.2800296441551365E-2</v>
      </c>
      <c r="H23" s="67">
        <f t="shared" si="2"/>
        <v>0</v>
      </c>
      <c r="I23" s="67">
        <f t="shared" si="3"/>
        <v>0.1978831551738435</v>
      </c>
      <c r="J23" s="67">
        <f t="shared" si="4"/>
        <v>9.0695305927565861E-3</v>
      </c>
      <c r="K23" s="100">
        <f t="shared" si="6"/>
        <v>6.0463537285043905E-3</v>
      </c>
      <c r="N23" s="258"/>
      <c r="O23" s="96">
        <f>Amnt_Deposited!B18</f>
        <v>2004</v>
      </c>
      <c r="P23" s="99">
        <f>Amnt_Deposited!D18</f>
        <v>0.94008647264400003</v>
      </c>
      <c r="Q23" s="284">
        <f>MCF!R22</f>
        <v>0.8</v>
      </c>
      <c r="R23" s="67">
        <f t="shared" si="5"/>
        <v>0.15041383562304</v>
      </c>
      <c r="S23" s="67">
        <f t="shared" si="7"/>
        <v>0.15041383562304</v>
      </c>
      <c r="T23" s="67">
        <f t="shared" si="8"/>
        <v>0</v>
      </c>
      <c r="U23" s="67">
        <f t="shared" si="9"/>
        <v>0.40884949416083377</v>
      </c>
      <c r="V23" s="67">
        <f t="shared" si="10"/>
        <v>1.8738699571811134E-2</v>
      </c>
      <c r="W23" s="100">
        <f t="shared" si="11"/>
        <v>1.2492466381207422E-2</v>
      </c>
    </row>
    <row r="24" spans="2:23">
      <c r="B24" s="96">
        <f>Amnt_Deposited!B19</f>
        <v>2005</v>
      </c>
      <c r="C24" s="99">
        <f>Amnt_Deposited!D19</f>
        <v>0.97388279564400015</v>
      </c>
      <c r="D24" s="418">
        <f>Dry_Matter_Content!D11</f>
        <v>0.44</v>
      </c>
      <c r="E24" s="284">
        <f>MCF!R23</f>
        <v>0.8</v>
      </c>
      <c r="F24" s="67">
        <f t="shared" si="0"/>
        <v>7.5417483694671383E-2</v>
      </c>
      <c r="G24" s="67">
        <f t="shared" si="1"/>
        <v>7.5417483694671383E-2</v>
      </c>
      <c r="H24" s="67">
        <f t="shared" si="2"/>
        <v>0</v>
      </c>
      <c r="I24" s="67">
        <f t="shared" si="3"/>
        <v>0.2599225146422528</v>
      </c>
      <c r="J24" s="67">
        <f t="shared" si="4"/>
        <v>1.3378124226262047E-2</v>
      </c>
      <c r="K24" s="100">
        <f t="shared" si="6"/>
        <v>8.918749484174697E-3</v>
      </c>
      <c r="N24" s="258"/>
      <c r="O24" s="96">
        <f>Amnt_Deposited!B19</f>
        <v>2005</v>
      </c>
      <c r="P24" s="99">
        <f>Amnt_Deposited!D19</f>
        <v>0.97388279564400015</v>
      </c>
      <c r="Q24" s="284">
        <f>MCF!R23</f>
        <v>0.8</v>
      </c>
      <c r="R24" s="67">
        <f t="shared" si="5"/>
        <v>0.15582124730304003</v>
      </c>
      <c r="S24" s="67">
        <f t="shared" si="7"/>
        <v>0.15582124730304003</v>
      </c>
      <c r="T24" s="67">
        <f t="shared" si="8"/>
        <v>0</v>
      </c>
      <c r="U24" s="67">
        <f t="shared" si="9"/>
        <v>0.53702998893027454</v>
      </c>
      <c r="V24" s="67">
        <f t="shared" si="10"/>
        <v>2.7640752533599277E-2</v>
      </c>
      <c r="W24" s="100">
        <f t="shared" si="11"/>
        <v>1.842716835573285E-2</v>
      </c>
    </row>
    <row r="25" spans="2:23">
      <c r="B25" s="96">
        <f>Amnt_Deposited!B20</f>
        <v>2006</v>
      </c>
      <c r="C25" s="99">
        <f>Amnt_Deposited!D20</f>
        <v>0.98452267333200005</v>
      </c>
      <c r="D25" s="418">
        <f>Dry_Matter_Content!D12</f>
        <v>0.44</v>
      </c>
      <c r="E25" s="284">
        <f>MCF!R24</f>
        <v>0.8</v>
      </c>
      <c r="F25" s="67">
        <f t="shared" si="0"/>
        <v>7.6241435822830092E-2</v>
      </c>
      <c r="G25" s="67">
        <f t="shared" si="1"/>
        <v>7.6241435822830092E-2</v>
      </c>
      <c r="H25" s="67">
        <f t="shared" si="2"/>
        <v>0</v>
      </c>
      <c r="I25" s="67">
        <f t="shared" si="3"/>
        <v>0.31859158212967997</v>
      </c>
      <c r="J25" s="67">
        <f t="shared" si="4"/>
        <v>1.7572368335402939E-2</v>
      </c>
      <c r="K25" s="100">
        <f t="shared" si="6"/>
        <v>1.1714912223601959E-2</v>
      </c>
      <c r="N25" s="258"/>
      <c r="O25" s="96">
        <f>Amnt_Deposited!B20</f>
        <v>2006</v>
      </c>
      <c r="P25" s="99">
        <f>Amnt_Deposited!D20</f>
        <v>0.98452267333200005</v>
      </c>
      <c r="Q25" s="284">
        <f>MCF!R24</f>
        <v>0.8</v>
      </c>
      <c r="R25" s="67">
        <f t="shared" si="5"/>
        <v>0.15752362773312001</v>
      </c>
      <c r="S25" s="67">
        <f t="shared" si="7"/>
        <v>0.15752362773312001</v>
      </c>
      <c r="T25" s="67">
        <f t="shared" si="8"/>
        <v>0</v>
      </c>
      <c r="U25" s="67">
        <f t="shared" si="9"/>
        <v>0.65824707051586784</v>
      </c>
      <c r="V25" s="67">
        <f t="shared" si="10"/>
        <v>3.6306546147526743E-2</v>
      </c>
      <c r="W25" s="100">
        <f t="shared" si="11"/>
        <v>2.420436409835116E-2</v>
      </c>
    </row>
    <row r="26" spans="2:23">
      <c r="B26" s="96">
        <f>Amnt_Deposited!B21</f>
        <v>2007</v>
      </c>
      <c r="C26" s="99">
        <f>Amnt_Deposited!D21</f>
        <v>0.99485242005599994</v>
      </c>
      <c r="D26" s="418">
        <f>Dry_Matter_Content!D13</f>
        <v>0.44</v>
      </c>
      <c r="E26" s="284">
        <f>MCF!R25</f>
        <v>0.8</v>
      </c>
      <c r="F26" s="67">
        <f t="shared" si="0"/>
        <v>7.7041371409136639E-2</v>
      </c>
      <c r="G26" s="67">
        <f t="shared" si="1"/>
        <v>7.7041371409136639E-2</v>
      </c>
      <c r="H26" s="67">
        <f t="shared" si="2"/>
        <v>0</v>
      </c>
      <c r="I26" s="67">
        <f t="shared" si="3"/>
        <v>0.37409419366090857</v>
      </c>
      <c r="J26" s="67">
        <f t="shared" si="4"/>
        <v>2.1538759877908015E-2</v>
      </c>
      <c r="K26" s="100">
        <f t="shared" si="6"/>
        <v>1.4359173251938676E-2</v>
      </c>
      <c r="N26" s="258"/>
      <c r="O26" s="96">
        <f>Amnt_Deposited!B21</f>
        <v>2007</v>
      </c>
      <c r="P26" s="99">
        <f>Amnt_Deposited!D21</f>
        <v>0.99485242005599994</v>
      </c>
      <c r="Q26" s="284">
        <f>MCF!R25</f>
        <v>0.8</v>
      </c>
      <c r="R26" s="67">
        <f t="shared" si="5"/>
        <v>0.15917638720895999</v>
      </c>
      <c r="S26" s="67">
        <f t="shared" si="7"/>
        <v>0.15917638720895999</v>
      </c>
      <c r="T26" s="67">
        <f t="shared" si="8"/>
        <v>0</v>
      </c>
      <c r="U26" s="67">
        <f t="shared" si="9"/>
        <v>0.77292188772915005</v>
      </c>
      <c r="V26" s="67">
        <f t="shared" si="10"/>
        <v>4.4501569995677726E-2</v>
      </c>
      <c r="W26" s="100">
        <f t="shared" si="11"/>
        <v>2.9667713330451817E-2</v>
      </c>
    </row>
    <row r="27" spans="2:23">
      <c r="B27" s="96">
        <f>Amnt_Deposited!B22</f>
        <v>2008</v>
      </c>
      <c r="C27" s="99">
        <f>Amnt_Deposited!D22</f>
        <v>1.0047766109039999</v>
      </c>
      <c r="D27" s="418">
        <f>Dry_Matter_Content!D14</f>
        <v>0.44</v>
      </c>
      <c r="E27" s="284">
        <f>MCF!R26</f>
        <v>0.8</v>
      </c>
      <c r="F27" s="67">
        <f t="shared" si="0"/>
        <v>7.7809900748405755E-2</v>
      </c>
      <c r="G27" s="67">
        <f t="shared" si="1"/>
        <v>7.7809900748405755E-2</v>
      </c>
      <c r="H27" s="67">
        <f t="shared" si="2"/>
        <v>0</v>
      </c>
      <c r="I27" s="67">
        <f t="shared" si="3"/>
        <v>0.42661301498053589</v>
      </c>
      <c r="J27" s="67">
        <f t="shared" si="4"/>
        <v>2.5291079428778448E-2</v>
      </c>
      <c r="K27" s="100">
        <f t="shared" si="6"/>
        <v>1.686071961918563E-2</v>
      </c>
      <c r="N27" s="258"/>
      <c r="O27" s="96">
        <f>Amnt_Deposited!B22</f>
        <v>2008</v>
      </c>
      <c r="P27" s="99">
        <f>Amnt_Deposited!D22</f>
        <v>1.0047766109039999</v>
      </c>
      <c r="Q27" s="284">
        <f>MCF!R26</f>
        <v>0.8</v>
      </c>
      <c r="R27" s="67">
        <f t="shared" si="5"/>
        <v>0.16076425774464001</v>
      </c>
      <c r="S27" s="67">
        <f t="shared" si="7"/>
        <v>0.16076425774464001</v>
      </c>
      <c r="T27" s="67">
        <f t="shared" si="8"/>
        <v>0</v>
      </c>
      <c r="U27" s="67">
        <f t="shared" si="9"/>
        <v>0.88143184913333872</v>
      </c>
      <c r="V27" s="67">
        <f t="shared" si="10"/>
        <v>5.2254296340451346E-2</v>
      </c>
      <c r="W27" s="100">
        <f t="shared" si="11"/>
        <v>3.4836197560300895E-2</v>
      </c>
    </row>
    <row r="28" spans="2:23">
      <c r="B28" s="96">
        <f>Amnt_Deposited!B23</f>
        <v>2009</v>
      </c>
      <c r="C28" s="99">
        <f>Amnt_Deposited!D23</f>
        <v>1.014144156432</v>
      </c>
      <c r="D28" s="418">
        <f>Dry_Matter_Content!D15</f>
        <v>0.44</v>
      </c>
      <c r="E28" s="284">
        <f>MCF!R27</f>
        <v>0.8</v>
      </c>
      <c r="F28" s="67">
        <f t="shared" si="0"/>
        <v>7.8535323474094088E-2</v>
      </c>
      <c r="G28" s="67">
        <f t="shared" si="1"/>
        <v>7.8535323474094088E-2</v>
      </c>
      <c r="H28" s="67">
        <f t="shared" si="2"/>
        <v>0</v>
      </c>
      <c r="I28" s="67">
        <f t="shared" si="3"/>
        <v>0.47630666213338946</v>
      </c>
      <c r="J28" s="67">
        <f t="shared" si="4"/>
        <v>2.8841676321240496E-2</v>
      </c>
      <c r="K28" s="100">
        <f t="shared" si="6"/>
        <v>1.922778421416033E-2</v>
      </c>
      <c r="N28" s="258"/>
      <c r="O28" s="96">
        <f>Amnt_Deposited!B23</f>
        <v>2009</v>
      </c>
      <c r="P28" s="99">
        <f>Amnt_Deposited!D23</f>
        <v>1.014144156432</v>
      </c>
      <c r="Q28" s="284">
        <f>MCF!R27</f>
        <v>0.8</v>
      </c>
      <c r="R28" s="67">
        <f t="shared" si="5"/>
        <v>0.16226306502912002</v>
      </c>
      <c r="S28" s="67">
        <f t="shared" si="7"/>
        <v>0.16226306502912002</v>
      </c>
      <c r="T28" s="67">
        <f t="shared" si="8"/>
        <v>0</v>
      </c>
      <c r="U28" s="67">
        <f t="shared" si="9"/>
        <v>0.98410467382931721</v>
      </c>
      <c r="V28" s="67">
        <f t="shared" si="10"/>
        <v>5.9590240333141531E-2</v>
      </c>
      <c r="W28" s="100">
        <f t="shared" si="11"/>
        <v>3.9726826888761016E-2</v>
      </c>
    </row>
    <row r="29" spans="2:23">
      <c r="B29" s="96">
        <f>Amnt_Deposited!B24</f>
        <v>2010</v>
      </c>
      <c r="C29" s="99">
        <f>Amnt_Deposited!D24</f>
        <v>1.1365266060720001</v>
      </c>
      <c r="D29" s="418">
        <f>Dry_Matter_Content!D16</f>
        <v>0.44</v>
      </c>
      <c r="E29" s="284">
        <f>MCF!R28</f>
        <v>0.8</v>
      </c>
      <c r="F29" s="67">
        <f t="shared" si="0"/>
        <v>8.8012620374215686E-2</v>
      </c>
      <c r="G29" s="67">
        <f t="shared" si="1"/>
        <v>8.8012620374215686E-2</v>
      </c>
      <c r="H29" s="67">
        <f t="shared" si="2"/>
        <v>0</v>
      </c>
      <c r="I29" s="67">
        <f t="shared" si="3"/>
        <v>0.53211800852741853</v>
      </c>
      <c r="J29" s="67">
        <f t="shared" si="4"/>
        <v>3.2201273980186573E-2</v>
      </c>
      <c r="K29" s="100">
        <f t="shared" si="6"/>
        <v>2.1467515986791048E-2</v>
      </c>
      <c r="O29" s="96">
        <f>Amnt_Deposited!B24</f>
        <v>2010</v>
      </c>
      <c r="P29" s="99">
        <f>Amnt_Deposited!D24</f>
        <v>1.1365266060720001</v>
      </c>
      <c r="Q29" s="284">
        <f>MCF!R28</f>
        <v>0.8</v>
      </c>
      <c r="R29" s="67">
        <f t="shared" si="5"/>
        <v>0.18184425697152004</v>
      </c>
      <c r="S29" s="67">
        <f t="shared" si="7"/>
        <v>0.18184425697152004</v>
      </c>
      <c r="T29" s="67">
        <f t="shared" si="8"/>
        <v>0</v>
      </c>
      <c r="U29" s="67">
        <f t="shared" si="9"/>
        <v>1.0994173729905343</v>
      </c>
      <c r="V29" s="67">
        <f t="shared" si="10"/>
        <v>6.6531557810302858E-2</v>
      </c>
      <c r="W29" s="100">
        <f t="shared" si="11"/>
        <v>4.4354371873535234E-2</v>
      </c>
    </row>
    <row r="30" spans="2:23">
      <c r="B30" s="96">
        <f>Amnt_Deposited!B25</f>
        <v>2011</v>
      </c>
      <c r="C30" s="99">
        <f>Amnt_Deposited!D25</f>
        <v>1.0552983184800002</v>
      </c>
      <c r="D30" s="418">
        <f>Dry_Matter_Content!D17</f>
        <v>0.44</v>
      </c>
      <c r="E30" s="284">
        <f>MCF!R29</f>
        <v>0.8</v>
      </c>
      <c r="F30" s="67">
        <f t="shared" si="0"/>
        <v>8.1722301783091214E-2</v>
      </c>
      <c r="G30" s="67">
        <f t="shared" si="1"/>
        <v>8.1722301783091214E-2</v>
      </c>
      <c r="H30" s="67">
        <f t="shared" si="2"/>
        <v>0</v>
      </c>
      <c r="I30" s="67">
        <f t="shared" si="3"/>
        <v>0.577865844394717</v>
      </c>
      <c r="J30" s="67">
        <f t="shared" si="4"/>
        <v>3.5974465915792807E-2</v>
      </c>
      <c r="K30" s="100">
        <f t="shared" si="6"/>
        <v>2.3982977277195203E-2</v>
      </c>
      <c r="O30" s="96">
        <f>Amnt_Deposited!B25</f>
        <v>2011</v>
      </c>
      <c r="P30" s="99">
        <f>Amnt_Deposited!D25</f>
        <v>1.0552983184800002</v>
      </c>
      <c r="Q30" s="284">
        <f>MCF!R29</f>
        <v>0.8</v>
      </c>
      <c r="R30" s="67">
        <f t="shared" si="5"/>
        <v>0.16884773095680006</v>
      </c>
      <c r="S30" s="67">
        <f t="shared" si="7"/>
        <v>0.16884773095680006</v>
      </c>
      <c r="T30" s="67">
        <f t="shared" si="8"/>
        <v>0</v>
      </c>
      <c r="U30" s="67">
        <f t="shared" si="9"/>
        <v>1.193937695030407</v>
      </c>
      <c r="V30" s="67">
        <f t="shared" si="10"/>
        <v>7.4327408916927309E-2</v>
      </c>
      <c r="W30" s="100">
        <f t="shared" si="11"/>
        <v>4.9551605944618202E-2</v>
      </c>
    </row>
    <row r="31" spans="2:23">
      <c r="B31" s="96">
        <f>Amnt_Deposited!B26</f>
        <v>2012</v>
      </c>
      <c r="C31" s="99">
        <f>Amnt_Deposited!D26</f>
        <v>1.0701614714400001</v>
      </c>
      <c r="D31" s="418">
        <f>Dry_Matter_Content!D18</f>
        <v>0.44</v>
      </c>
      <c r="E31" s="284">
        <f>MCF!R30</f>
        <v>0.8</v>
      </c>
      <c r="F31" s="67">
        <f t="shared" si="0"/>
        <v>8.2873304348313609E-2</v>
      </c>
      <c r="G31" s="67">
        <f t="shared" si="1"/>
        <v>8.2873304348313609E-2</v>
      </c>
      <c r="H31" s="67">
        <f t="shared" si="2"/>
        <v>0</v>
      </c>
      <c r="I31" s="67">
        <f t="shared" si="3"/>
        <v>0.62167184639668016</v>
      </c>
      <c r="J31" s="67">
        <f t="shared" si="4"/>
        <v>3.9067302346350509E-2</v>
      </c>
      <c r="K31" s="100">
        <f t="shared" si="6"/>
        <v>2.6044868230900339E-2</v>
      </c>
      <c r="O31" s="96">
        <f>Amnt_Deposited!B26</f>
        <v>2012</v>
      </c>
      <c r="P31" s="99">
        <f>Amnt_Deposited!D26</f>
        <v>1.0701614714400001</v>
      </c>
      <c r="Q31" s="284">
        <f>MCF!R30</f>
        <v>0.8</v>
      </c>
      <c r="R31" s="67">
        <f t="shared" si="5"/>
        <v>0.17122583543040004</v>
      </c>
      <c r="S31" s="67">
        <f t="shared" si="7"/>
        <v>0.17122583543040004</v>
      </c>
      <c r="T31" s="67">
        <f t="shared" si="8"/>
        <v>0</v>
      </c>
      <c r="U31" s="67">
        <f t="shared" si="9"/>
        <v>1.2844459636295045</v>
      </c>
      <c r="V31" s="67">
        <f t="shared" si="10"/>
        <v>8.0717566831302712E-2</v>
      </c>
      <c r="W31" s="100">
        <f t="shared" si="11"/>
        <v>5.3811711220868474E-2</v>
      </c>
    </row>
    <row r="32" spans="2:23">
      <c r="B32" s="96">
        <f>Amnt_Deposited!B27</f>
        <v>2013</v>
      </c>
      <c r="C32" s="99">
        <f>Amnt_Deposited!D27</f>
        <v>1.0858559778000001</v>
      </c>
      <c r="D32" s="418">
        <f>Dry_Matter_Content!D19</f>
        <v>0.44</v>
      </c>
      <c r="E32" s="284">
        <f>MCF!R31</f>
        <v>0.8</v>
      </c>
      <c r="F32" s="67">
        <f t="shared" si="0"/>
        <v>8.4088686920832018E-2</v>
      </c>
      <c r="G32" s="67">
        <f t="shared" si="1"/>
        <v>8.4088686920832018E-2</v>
      </c>
      <c r="H32" s="67">
        <f t="shared" si="2"/>
        <v>0</v>
      </c>
      <c r="I32" s="67">
        <f t="shared" si="3"/>
        <v>0.66373167451061654</v>
      </c>
      <c r="J32" s="67">
        <f t="shared" si="4"/>
        <v>4.2028858806895622E-2</v>
      </c>
      <c r="K32" s="100">
        <f t="shared" si="6"/>
        <v>2.801923920459708E-2</v>
      </c>
      <c r="O32" s="96">
        <f>Amnt_Deposited!B27</f>
        <v>2013</v>
      </c>
      <c r="P32" s="99">
        <f>Amnt_Deposited!D27</f>
        <v>1.0858559778000001</v>
      </c>
      <c r="Q32" s="284">
        <f>MCF!R31</f>
        <v>0.8</v>
      </c>
      <c r="R32" s="67">
        <f t="shared" si="5"/>
        <v>0.17373695644800002</v>
      </c>
      <c r="S32" s="67">
        <f t="shared" si="7"/>
        <v>0.17373695644800002</v>
      </c>
      <c r="T32" s="67">
        <f t="shared" si="8"/>
        <v>0</v>
      </c>
      <c r="U32" s="67">
        <f t="shared" si="9"/>
        <v>1.3713464349392903</v>
      </c>
      <c r="V32" s="67">
        <f t="shared" si="10"/>
        <v>8.6836485138214098E-2</v>
      </c>
      <c r="W32" s="100">
        <f t="shared" si="11"/>
        <v>5.7890990092142727E-2</v>
      </c>
    </row>
    <row r="33" spans="2:23">
      <c r="B33" s="96">
        <f>Amnt_Deposited!B28</f>
        <v>2014</v>
      </c>
      <c r="C33" s="99">
        <f>Amnt_Deposited!D28</f>
        <v>1.0996925900400003</v>
      </c>
      <c r="D33" s="418">
        <f>Dry_Matter_Content!D20</f>
        <v>0.44</v>
      </c>
      <c r="E33" s="284">
        <f>MCF!R32</f>
        <v>0.8</v>
      </c>
      <c r="F33" s="67">
        <f t="shared" si="0"/>
        <v>8.5160194172697629E-2</v>
      </c>
      <c r="G33" s="67">
        <f t="shared" si="1"/>
        <v>8.5160194172697629E-2</v>
      </c>
      <c r="H33" s="67">
        <f t="shared" si="2"/>
        <v>0</v>
      </c>
      <c r="I33" s="67">
        <f t="shared" si="3"/>
        <v>0.70401950556222292</v>
      </c>
      <c r="J33" s="67">
        <f t="shared" si="4"/>
        <v>4.487236312109126E-2</v>
      </c>
      <c r="K33" s="100">
        <f t="shared" si="6"/>
        <v>2.9914908747394171E-2</v>
      </c>
      <c r="O33" s="96">
        <f>Amnt_Deposited!B28</f>
        <v>2014</v>
      </c>
      <c r="P33" s="99">
        <f>Amnt_Deposited!D28</f>
        <v>1.0996925900400003</v>
      </c>
      <c r="Q33" s="284">
        <f>MCF!R32</f>
        <v>0.8</v>
      </c>
      <c r="R33" s="67">
        <f t="shared" si="5"/>
        <v>0.17595081440640006</v>
      </c>
      <c r="S33" s="67">
        <f t="shared" si="7"/>
        <v>0.17595081440640006</v>
      </c>
      <c r="T33" s="67">
        <f t="shared" si="8"/>
        <v>0</v>
      </c>
      <c r="U33" s="67">
        <f t="shared" si="9"/>
        <v>1.454585755293849</v>
      </c>
      <c r="V33" s="67">
        <f t="shared" si="10"/>
        <v>9.2711494051841453E-2</v>
      </c>
      <c r="W33" s="100">
        <f t="shared" si="11"/>
        <v>6.1807662701227631E-2</v>
      </c>
    </row>
    <row r="34" spans="2:23">
      <c r="B34" s="96">
        <f>Amnt_Deposited!B29</f>
        <v>2015</v>
      </c>
      <c r="C34" s="99">
        <f>Amnt_Deposited!D29</f>
        <v>1.1149894926000001</v>
      </c>
      <c r="D34" s="418">
        <f>Dry_Matter_Content!D21</f>
        <v>0.44</v>
      </c>
      <c r="E34" s="284">
        <f>MCF!R33</f>
        <v>0.8</v>
      </c>
      <c r="F34" s="67">
        <f t="shared" si="0"/>
        <v>8.6344786306944019E-2</v>
      </c>
      <c r="G34" s="67">
        <f t="shared" si="1"/>
        <v>8.6344786306944019E-2</v>
      </c>
      <c r="H34" s="67">
        <f t="shared" si="2"/>
        <v>0</v>
      </c>
      <c r="I34" s="67">
        <f t="shared" si="3"/>
        <v>0.74276822238640205</v>
      </c>
      <c r="J34" s="67">
        <f t="shared" si="4"/>
        <v>4.7596069482764895E-2</v>
      </c>
      <c r="K34" s="100">
        <f t="shared" si="6"/>
        <v>3.1730712988509928E-2</v>
      </c>
      <c r="O34" s="96">
        <f>Amnt_Deposited!B29</f>
        <v>2015</v>
      </c>
      <c r="P34" s="99">
        <f>Amnt_Deposited!D29</f>
        <v>1.1149894926000001</v>
      </c>
      <c r="Q34" s="284">
        <f>MCF!R33</f>
        <v>0.8</v>
      </c>
      <c r="R34" s="67">
        <f t="shared" si="5"/>
        <v>0.17839831881600005</v>
      </c>
      <c r="S34" s="67">
        <f t="shared" si="7"/>
        <v>0.17839831881600005</v>
      </c>
      <c r="T34" s="67">
        <f t="shared" si="8"/>
        <v>0</v>
      </c>
      <c r="U34" s="67">
        <f t="shared" si="9"/>
        <v>1.5346450875752109</v>
      </c>
      <c r="V34" s="67">
        <f t="shared" si="10"/>
        <v>9.8338986534638212E-2</v>
      </c>
      <c r="W34" s="100">
        <f t="shared" si="11"/>
        <v>6.5559324356425475E-2</v>
      </c>
    </row>
    <row r="35" spans="2:23">
      <c r="B35" s="96">
        <f>Amnt_Deposited!B30</f>
        <v>2016</v>
      </c>
      <c r="C35" s="99">
        <f>Amnt_Deposited!D30</f>
        <v>1.1277561891600001</v>
      </c>
      <c r="D35" s="418">
        <f>Dry_Matter_Content!D22</f>
        <v>0.44</v>
      </c>
      <c r="E35" s="284">
        <f>MCF!R34</f>
        <v>0.8</v>
      </c>
      <c r="F35" s="67">
        <f t="shared" si="0"/>
        <v>8.7333439288550418E-2</v>
      </c>
      <c r="G35" s="67">
        <f t="shared" si="1"/>
        <v>8.7333439288550418E-2</v>
      </c>
      <c r="H35" s="67">
        <f t="shared" si="2"/>
        <v>0</v>
      </c>
      <c r="I35" s="67">
        <f t="shared" si="3"/>
        <v>0.77988593946415874</v>
      </c>
      <c r="J35" s="67">
        <f t="shared" si="4"/>
        <v>5.0215722210793762E-2</v>
      </c>
      <c r="K35" s="100">
        <f t="shared" si="6"/>
        <v>3.347714814052917E-2</v>
      </c>
      <c r="O35" s="96">
        <f>Amnt_Deposited!B30</f>
        <v>2016</v>
      </c>
      <c r="P35" s="99">
        <f>Amnt_Deposited!D30</f>
        <v>1.1277561891600001</v>
      </c>
      <c r="Q35" s="284">
        <f>MCF!R34</f>
        <v>0.8</v>
      </c>
      <c r="R35" s="67">
        <f t="shared" si="5"/>
        <v>0.18044099026560004</v>
      </c>
      <c r="S35" s="67">
        <f t="shared" si="7"/>
        <v>0.18044099026560004</v>
      </c>
      <c r="T35" s="67">
        <f t="shared" si="8"/>
        <v>0</v>
      </c>
      <c r="U35" s="67">
        <f t="shared" si="9"/>
        <v>1.6113345856697496</v>
      </c>
      <c r="V35" s="67">
        <f t="shared" si="10"/>
        <v>0.10375149217106149</v>
      </c>
      <c r="W35" s="100">
        <f t="shared" si="11"/>
        <v>6.9167661447374323E-2</v>
      </c>
    </row>
    <row r="36" spans="2:23">
      <c r="B36" s="96">
        <f>Amnt_Deposited!B31</f>
        <v>2017</v>
      </c>
      <c r="C36" s="99">
        <f>Amnt_Deposited!D31</f>
        <v>1.144114960477421</v>
      </c>
      <c r="D36" s="418">
        <f>Dry_Matter_Content!D23</f>
        <v>0.44</v>
      </c>
      <c r="E36" s="284">
        <f>MCF!R35</f>
        <v>0.8</v>
      </c>
      <c r="F36" s="67">
        <f t="shared" si="0"/>
        <v>8.8600262539371477E-2</v>
      </c>
      <c r="G36" s="67">
        <f t="shared" si="1"/>
        <v>8.8600262539371477E-2</v>
      </c>
      <c r="H36" s="67">
        <f t="shared" si="2"/>
        <v>0</v>
      </c>
      <c r="I36" s="67">
        <f t="shared" si="3"/>
        <v>0.81576109272729758</v>
      </c>
      <c r="J36" s="67">
        <f t="shared" si="4"/>
        <v>5.272510927623264E-2</v>
      </c>
      <c r="K36" s="100">
        <f t="shared" si="6"/>
        <v>3.5150072850821758E-2</v>
      </c>
      <c r="O36" s="96">
        <f>Amnt_Deposited!B31</f>
        <v>2017</v>
      </c>
      <c r="P36" s="99">
        <f>Amnt_Deposited!D31</f>
        <v>1.144114960477421</v>
      </c>
      <c r="Q36" s="284">
        <f>MCF!R35</f>
        <v>0.8</v>
      </c>
      <c r="R36" s="67">
        <f t="shared" si="5"/>
        <v>0.18305839367638738</v>
      </c>
      <c r="S36" s="67">
        <f t="shared" si="7"/>
        <v>0.18305839367638738</v>
      </c>
      <c r="T36" s="67">
        <f t="shared" si="8"/>
        <v>0</v>
      </c>
      <c r="U36" s="67">
        <f t="shared" si="9"/>
        <v>1.6854568031555737</v>
      </c>
      <c r="V36" s="67">
        <f t="shared" si="10"/>
        <v>0.10893617619056331</v>
      </c>
      <c r="W36" s="100">
        <f t="shared" si="11"/>
        <v>7.2624117460375531E-2</v>
      </c>
    </row>
    <row r="37" spans="2:23">
      <c r="B37" s="96">
        <f>Amnt_Deposited!B32</f>
        <v>2018</v>
      </c>
      <c r="C37" s="99">
        <f>Amnt_Deposited!D32</f>
        <v>1.140620891041856</v>
      </c>
      <c r="D37" s="418">
        <f>Dry_Matter_Content!D24</f>
        <v>0.44</v>
      </c>
      <c r="E37" s="284">
        <f>MCF!R36</f>
        <v>0.8</v>
      </c>
      <c r="F37" s="67">
        <f t="shared" si="0"/>
        <v>8.8329681802281332E-2</v>
      </c>
      <c r="G37" s="67">
        <f t="shared" si="1"/>
        <v>8.8329681802281332E-2</v>
      </c>
      <c r="H37" s="67">
        <f t="shared" si="2"/>
        <v>0</v>
      </c>
      <c r="I37" s="67">
        <f t="shared" si="3"/>
        <v>0.84894028318093673</v>
      </c>
      <c r="J37" s="67">
        <f t="shared" si="4"/>
        <v>5.5150491348642111E-2</v>
      </c>
      <c r="K37" s="100">
        <f t="shared" si="6"/>
        <v>3.6766994232428074E-2</v>
      </c>
      <c r="O37" s="96">
        <f>Amnt_Deposited!B32</f>
        <v>2018</v>
      </c>
      <c r="P37" s="99">
        <f>Amnt_Deposited!D32</f>
        <v>1.140620891041856</v>
      </c>
      <c r="Q37" s="284">
        <f>MCF!R36</f>
        <v>0.8</v>
      </c>
      <c r="R37" s="67">
        <f t="shared" si="5"/>
        <v>0.18249934256669698</v>
      </c>
      <c r="S37" s="67">
        <f t="shared" si="7"/>
        <v>0.18249934256669698</v>
      </c>
      <c r="T37" s="67">
        <f t="shared" si="8"/>
        <v>0</v>
      </c>
      <c r="U37" s="67">
        <f t="shared" si="9"/>
        <v>1.7540088495473902</v>
      </c>
      <c r="V37" s="67">
        <f t="shared" si="10"/>
        <v>0.11394729617488041</v>
      </c>
      <c r="W37" s="100">
        <f t="shared" si="11"/>
        <v>7.5964864116586928E-2</v>
      </c>
    </row>
    <row r="38" spans="2:23">
      <c r="B38" s="96">
        <f>Amnt_Deposited!B33</f>
        <v>2019</v>
      </c>
      <c r="C38" s="99">
        <f>Amnt_Deposited!D33</f>
        <v>1.1366450668332111</v>
      </c>
      <c r="D38" s="418">
        <f>Dry_Matter_Content!D25</f>
        <v>0.44</v>
      </c>
      <c r="E38" s="284">
        <f>MCF!R37</f>
        <v>0.8</v>
      </c>
      <c r="F38" s="67">
        <f t="shared" si="0"/>
        <v>8.8021793975563881E-2</v>
      </c>
      <c r="G38" s="67">
        <f t="shared" si="1"/>
        <v>8.8021793975563881E-2</v>
      </c>
      <c r="H38" s="67">
        <f t="shared" si="2"/>
        <v>0</v>
      </c>
      <c r="I38" s="67">
        <f t="shared" si="3"/>
        <v>0.87956846748267492</v>
      </c>
      <c r="J38" s="67">
        <f t="shared" si="4"/>
        <v>5.7393609673825681E-2</v>
      </c>
      <c r="K38" s="100">
        <f t="shared" si="6"/>
        <v>3.8262406449217121E-2</v>
      </c>
      <c r="O38" s="96">
        <f>Amnt_Deposited!B33</f>
        <v>2019</v>
      </c>
      <c r="P38" s="99">
        <f>Amnt_Deposited!D33</f>
        <v>1.1366450668332111</v>
      </c>
      <c r="Q38" s="284">
        <f>MCF!R37</f>
        <v>0.8</v>
      </c>
      <c r="R38" s="67">
        <f t="shared" si="5"/>
        <v>0.18186321069331379</v>
      </c>
      <c r="S38" s="67">
        <f t="shared" si="7"/>
        <v>0.18186321069331379</v>
      </c>
      <c r="T38" s="67">
        <f t="shared" si="8"/>
        <v>0</v>
      </c>
      <c r="U38" s="67">
        <f t="shared" si="9"/>
        <v>1.8172902220716427</v>
      </c>
      <c r="V38" s="67">
        <f t="shared" si="10"/>
        <v>0.11858183816906134</v>
      </c>
      <c r="W38" s="100">
        <f t="shared" si="11"/>
        <v>7.9054558779374229E-2</v>
      </c>
    </row>
    <row r="39" spans="2:23">
      <c r="B39" s="96">
        <f>Amnt_Deposited!B34</f>
        <v>2020</v>
      </c>
      <c r="C39" s="99">
        <f>Amnt_Deposited!D34</f>
        <v>1.1322123985593759</v>
      </c>
      <c r="D39" s="418">
        <f>Dry_Matter_Content!D26</f>
        <v>0.44</v>
      </c>
      <c r="E39" s="284">
        <f>MCF!R38</f>
        <v>0.8</v>
      </c>
      <c r="F39" s="67">
        <f t="shared" si="0"/>
        <v>8.7678528144438078E-2</v>
      </c>
      <c r="G39" s="67">
        <f t="shared" si="1"/>
        <v>8.7678528144438078E-2</v>
      </c>
      <c r="H39" s="67">
        <f t="shared" si="2"/>
        <v>0</v>
      </c>
      <c r="I39" s="67">
        <f t="shared" si="3"/>
        <v>0.90778273140943022</v>
      </c>
      <c r="J39" s="67">
        <f t="shared" si="4"/>
        <v>5.9464264217682798E-2</v>
      </c>
      <c r="K39" s="100">
        <f t="shared" si="6"/>
        <v>3.964284281178853E-2</v>
      </c>
      <c r="O39" s="96">
        <f>Amnt_Deposited!B34</f>
        <v>2020</v>
      </c>
      <c r="P39" s="99">
        <f>Amnt_Deposited!D34</f>
        <v>1.1322123985593759</v>
      </c>
      <c r="Q39" s="284">
        <f>MCF!R38</f>
        <v>0.8</v>
      </c>
      <c r="R39" s="67">
        <f t="shared" si="5"/>
        <v>0.18115398376950018</v>
      </c>
      <c r="S39" s="67">
        <f t="shared" si="7"/>
        <v>0.18115398376950018</v>
      </c>
      <c r="T39" s="67">
        <f t="shared" si="8"/>
        <v>0</v>
      </c>
      <c r="U39" s="67">
        <f t="shared" si="9"/>
        <v>1.8755841558046082</v>
      </c>
      <c r="V39" s="67">
        <f t="shared" si="10"/>
        <v>0.12286005003653473</v>
      </c>
      <c r="W39" s="100">
        <f t="shared" si="11"/>
        <v>8.1906700024356488E-2</v>
      </c>
    </row>
    <row r="40" spans="2:23">
      <c r="B40" s="96">
        <f>Amnt_Deposited!B35</f>
        <v>2021</v>
      </c>
      <c r="C40" s="99">
        <f>Amnt_Deposited!D35</f>
        <v>1.1273468840637182</v>
      </c>
      <c r="D40" s="418">
        <f>Dry_Matter_Content!D27</f>
        <v>0.44</v>
      </c>
      <c r="E40" s="284">
        <f>MCF!R39</f>
        <v>0.8</v>
      </c>
      <c r="F40" s="67">
        <f t="shared" si="0"/>
        <v>8.7301742701894336E-2</v>
      </c>
      <c r="G40" s="67">
        <f t="shared" si="1"/>
        <v>8.7301742701894336E-2</v>
      </c>
      <c r="H40" s="67">
        <f t="shared" si="2"/>
        <v>0</v>
      </c>
      <c r="I40" s="67">
        <f t="shared" si="3"/>
        <v>0.93371275128538844</v>
      </c>
      <c r="J40" s="67">
        <f t="shared" si="4"/>
        <v>6.1371722825936129E-2</v>
      </c>
      <c r="K40" s="100">
        <f t="shared" si="6"/>
        <v>4.0914481883957417E-2</v>
      </c>
      <c r="O40" s="96">
        <f>Amnt_Deposited!B35</f>
        <v>2021</v>
      </c>
      <c r="P40" s="99">
        <f>Amnt_Deposited!D35</f>
        <v>1.1273468840637182</v>
      </c>
      <c r="Q40" s="284">
        <f>MCF!R39</f>
        <v>0.8</v>
      </c>
      <c r="R40" s="67">
        <f t="shared" si="5"/>
        <v>0.18037550145019493</v>
      </c>
      <c r="S40" s="67">
        <f t="shared" si="7"/>
        <v>0.18037550145019493</v>
      </c>
      <c r="T40" s="67">
        <f t="shared" si="8"/>
        <v>0</v>
      </c>
      <c r="U40" s="67">
        <f t="shared" si="9"/>
        <v>1.9291585770359267</v>
      </c>
      <c r="V40" s="67">
        <f t="shared" si="10"/>
        <v>0.12680108021887632</v>
      </c>
      <c r="W40" s="100">
        <f t="shared" si="11"/>
        <v>8.4534053479250873E-2</v>
      </c>
    </row>
    <row r="41" spans="2:23">
      <c r="B41" s="96">
        <f>Amnt_Deposited!B36</f>
        <v>2022</v>
      </c>
      <c r="C41" s="99">
        <f>Amnt_Deposited!D36</f>
        <v>1.1220716376670139</v>
      </c>
      <c r="D41" s="418">
        <f>Dry_Matter_Content!D28</f>
        <v>0.44</v>
      </c>
      <c r="E41" s="284">
        <f>MCF!R40</f>
        <v>0.8</v>
      </c>
      <c r="F41" s="67">
        <f t="shared" si="0"/>
        <v>8.6893227620933558E-2</v>
      </c>
      <c r="G41" s="67">
        <f t="shared" si="1"/>
        <v>8.6893227620933558E-2</v>
      </c>
      <c r="H41" s="67">
        <f t="shared" si="2"/>
        <v>0</v>
      </c>
      <c r="I41" s="67">
        <f t="shared" si="3"/>
        <v>0.95748122648680944</v>
      </c>
      <c r="J41" s="67">
        <f t="shared" si="4"/>
        <v>6.31247524195125E-2</v>
      </c>
      <c r="K41" s="100">
        <f t="shared" si="6"/>
        <v>4.2083168279674996E-2</v>
      </c>
      <c r="O41" s="96">
        <f>Amnt_Deposited!B36</f>
        <v>2022</v>
      </c>
      <c r="P41" s="99">
        <f>Amnt_Deposited!D36</f>
        <v>1.1220716376670139</v>
      </c>
      <c r="Q41" s="284">
        <f>MCF!R40</f>
        <v>0.8</v>
      </c>
      <c r="R41" s="67">
        <f t="shared" si="5"/>
        <v>0.17953146202672224</v>
      </c>
      <c r="S41" s="67">
        <f t="shared" si="7"/>
        <v>0.17953146202672224</v>
      </c>
      <c r="T41" s="67">
        <f t="shared" si="8"/>
        <v>0</v>
      </c>
      <c r="U41" s="67">
        <f t="shared" si="9"/>
        <v>1.9782669968735735</v>
      </c>
      <c r="V41" s="67">
        <f t="shared" si="10"/>
        <v>0.13042304218907544</v>
      </c>
      <c r="W41" s="100">
        <f t="shared" si="11"/>
        <v>8.6948694792716955E-2</v>
      </c>
    </row>
    <row r="42" spans="2:23">
      <c r="B42" s="96">
        <f>Amnt_Deposited!B37</f>
        <v>2023</v>
      </c>
      <c r="C42" s="99">
        <f>Amnt_Deposited!D37</f>
        <v>1.1164089186297834</v>
      </c>
      <c r="D42" s="418">
        <f>Dry_Matter_Content!D29</f>
        <v>0.44</v>
      </c>
      <c r="E42" s="284">
        <f>MCF!R41</f>
        <v>0.8</v>
      </c>
      <c r="F42" s="67">
        <f t="shared" si="0"/>
        <v>8.6454706658690428E-2</v>
      </c>
      <c r="G42" s="67">
        <f t="shared" si="1"/>
        <v>8.6454706658690428E-2</v>
      </c>
      <c r="H42" s="67">
        <f t="shared" si="2"/>
        <v>0</v>
      </c>
      <c r="I42" s="67">
        <f t="shared" si="3"/>
        <v>0.97920428491095901</v>
      </c>
      <c r="J42" s="67">
        <f t="shared" si="4"/>
        <v>6.4731648234540765E-2</v>
      </c>
      <c r="K42" s="100">
        <f t="shared" si="6"/>
        <v>4.3154432156360507E-2</v>
      </c>
      <c r="O42" s="96">
        <f>Amnt_Deposited!B37</f>
        <v>2023</v>
      </c>
      <c r="P42" s="99">
        <f>Amnt_Deposited!D37</f>
        <v>1.1164089186297834</v>
      </c>
      <c r="Q42" s="284">
        <f>MCF!R41</f>
        <v>0.8</v>
      </c>
      <c r="R42" s="67">
        <f t="shared" si="5"/>
        <v>0.17862542698076536</v>
      </c>
      <c r="S42" s="67">
        <f t="shared" si="7"/>
        <v>0.17862542698076536</v>
      </c>
      <c r="T42" s="67">
        <f t="shared" si="8"/>
        <v>0</v>
      </c>
      <c r="U42" s="67">
        <f t="shared" si="9"/>
        <v>2.0231493489895853</v>
      </c>
      <c r="V42" s="67">
        <f t="shared" si="10"/>
        <v>0.13374307486475367</v>
      </c>
      <c r="W42" s="100">
        <f t="shared" si="11"/>
        <v>8.9162049909835783E-2</v>
      </c>
    </row>
    <row r="43" spans="2:23">
      <c r="B43" s="96">
        <f>Amnt_Deposited!B38</f>
        <v>2024</v>
      </c>
      <c r="C43" s="99">
        <f>Amnt_Deposited!D38</f>
        <v>1.1103801587602855</v>
      </c>
      <c r="D43" s="418">
        <f>Dry_Matter_Content!D30</f>
        <v>0.44</v>
      </c>
      <c r="E43" s="284">
        <f>MCF!R42</f>
        <v>0.8</v>
      </c>
      <c r="F43" s="67">
        <f t="shared" si="0"/>
        <v>8.598783949439652E-2</v>
      </c>
      <c r="G43" s="67">
        <f t="shared" si="1"/>
        <v>8.598783949439652E-2</v>
      </c>
      <c r="H43" s="67">
        <f t="shared" si="2"/>
        <v>0</v>
      </c>
      <c r="I43" s="67">
        <f t="shared" si="3"/>
        <v>0.99899186317079802</v>
      </c>
      <c r="J43" s="67">
        <f t="shared" si="4"/>
        <v>6.6200261234557439E-2</v>
      </c>
      <c r="K43" s="100">
        <f t="shared" si="6"/>
        <v>4.413350748970496E-2</v>
      </c>
      <c r="O43" s="96">
        <f>Amnt_Deposited!B38</f>
        <v>2024</v>
      </c>
      <c r="P43" s="99">
        <f>Amnt_Deposited!D38</f>
        <v>1.1103801587602855</v>
      </c>
      <c r="Q43" s="284">
        <f>MCF!R42</f>
        <v>0.8</v>
      </c>
      <c r="R43" s="67">
        <f t="shared" si="5"/>
        <v>0.17766082540164571</v>
      </c>
      <c r="S43" s="67">
        <f t="shared" si="7"/>
        <v>0.17766082540164571</v>
      </c>
      <c r="T43" s="67">
        <f t="shared" si="8"/>
        <v>0</v>
      </c>
      <c r="U43" s="67">
        <f t="shared" si="9"/>
        <v>2.0640327751462775</v>
      </c>
      <c r="V43" s="67">
        <f t="shared" si="10"/>
        <v>0.13677739924495341</v>
      </c>
      <c r="W43" s="100">
        <f t="shared" si="11"/>
        <v>9.1184932829968937E-2</v>
      </c>
    </row>
    <row r="44" spans="2:23">
      <c r="B44" s="96">
        <f>Amnt_Deposited!B39</f>
        <v>2025</v>
      </c>
      <c r="C44" s="99">
        <f>Amnt_Deposited!D39</f>
        <v>1.1040059891927068</v>
      </c>
      <c r="D44" s="418">
        <f>Dry_Matter_Content!D31</f>
        <v>0.44</v>
      </c>
      <c r="E44" s="284">
        <f>MCF!R43</f>
        <v>0.8</v>
      </c>
      <c r="F44" s="67">
        <f t="shared" si="0"/>
        <v>8.5494223803083219E-2</v>
      </c>
      <c r="G44" s="67">
        <f t="shared" si="1"/>
        <v>8.5494223803083219E-2</v>
      </c>
      <c r="H44" s="67">
        <f t="shared" si="2"/>
        <v>0</v>
      </c>
      <c r="I44" s="67">
        <f t="shared" si="3"/>
        <v>1.016948063159864</v>
      </c>
      <c r="J44" s="67">
        <f t="shared" si="4"/>
        <v>6.7538023814017245E-2</v>
      </c>
      <c r="K44" s="100">
        <f t="shared" si="6"/>
        <v>4.5025349209344825E-2</v>
      </c>
      <c r="O44" s="96">
        <f>Amnt_Deposited!B39</f>
        <v>2025</v>
      </c>
      <c r="P44" s="99">
        <f>Amnt_Deposited!D39</f>
        <v>1.1040059891927068</v>
      </c>
      <c r="Q44" s="284">
        <f>MCF!R43</f>
        <v>0.8</v>
      </c>
      <c r="R44" s="67">
        <f t="shared" si="5"/>
        <v>0.17664095827083309</v>
      </c>
      <c r="S44" s="67">
        <f t="shared" si="7"/>
        <v>0.17664095827083309</v>
      </c>
      <c r="T44" s="67">
        <f t="shared" si="8"/>
        <v>0</v>
      </c>
      <c r="U44" s="67">
        <f t="shared" si="9"/>
        <v>2.1011323619005462</v>
      </c>
      <c r="V44" s="67">
        <f t="shared" si="10"/>
        <v>0.13954137151656459</v>
      </c>
      <c r="W44" s="100">
        <f t="shared" si="11"/>
        <v>9.3027581011043053E-2</v>
      </c>
    </row>
    <row r="45" spans="2:23">
      <c r="B45" s="96">
        <f>Amnt_Deposited!B40</f>
        <v>2026</v>
      </c>
      <c r="C45" s="99">
        <f>Amnt_Deposited!D40</f>
        <v>1.0973062663594169</v>
      </c>
      <c r="D45" s="418">
        <f>Dry_Matter_Content!D32</f>
        <v>0.44</v>
      </c>
      <c r="E45" s="284">
        <f>MCF!R44</f>
        <v>0.8</v>
      </c>
      <c r="F45" s="67">
        <f t="shared" si="0"/>
        <v>8.4975397266873254E-2</v>
      </c>
      <c r="G45" s="67">
        <f t="shared" si="1"/>
        <v>8.4975397266873254E-2</v>
      </c>
      <c r="H45" s="67">
        <f t="shared" si="2"/>
        <v>0</v>
      </c>
      <c r="I45" s="67">
        <f t="shared" si="3"/>
        <v>1.0331714865224544</v>
      </c>
      <c r="J45" s="67">
        <f t="shared" si="4"/>
        <v>6.8751973904282851E-2</v>
      </c>
      <c r="K45" s="100">
        <f t="shared" si="6"/>
        <v>4.5834649269521896E-2</v>
      </c>
      <c r="O45" s="96">
        <f>Amnt_Deposited!B40</f>
        <v>2026</v>
      </c>
      <c r="P45" s="99">
        <f>Amnt_Deposited!D40</f>
        <v>1.0973062663594169</v>
      </c>
      <c r="Q45" s="284">
        <f>MCF!R44</f>
        <v>0.8</v>
      </c>
      <c r="R45" s="67">
        <f t="shared" si="5"/>
        <v>0.17556900261750671</v>
      </c>
      <c r="S45" s="67">
        <f t="shared" si="7"/>
        <v>0.17556900261750671</v>
      </c>
      <c r="T45" s="67">
        <f t="shared" si="8"/>
        <v>0</v>
      </c>
      <c r="U45" s="67">
        <f t="shared" si="9"/>
        <v>2.1346518316579641</v>
      </c>
      <c r="V45" s="67">
        <f t="shared" si="10"/>
        <v>0.14204953286008859</v>
      </c>
      <c r="W45" s="100">
        <f t="shared" si="11"/>
        <v>9.4699688573392393E-2</v>
      </c>
    </row>
    <row r="46" spans="2:23">
      <c r="B46" s="96">
        <f>Amnt_Deposited!B41</f>
        <v>2027</v>
      </c>
      <c r="C46" s="99">
        <f>Amnt_Deposited!D41</f>
        <v>1.0903000971804728</v>
      </c>
      <c r="D46" s="418">
        <f>Dry_Matter_Content!D33</f>
        <v>0.44</v>
      </c>
      <c r="E46" s="284">
        <f>MCF!R45</f>
        <v>0.8</v>
      </c>
      <c r="F46" s="67">
        <f t="shared" si="0"/>
        <v>8.4432839525655834E-2</v>
      </c>
      <c r="G46" s="67">
        <f t="shared" si="1"/>
        <v>8.4432839525655834E-2</v>
      </c>
      <c r="H46" s="67">
        <f t="shared" si="2"/>
        <v>0</v>
      </c>
      <c r="I46" s="67">
        <f t="shared" si="3"/>
        <v>1.0477555484622341</v>
      </c>
      <c r="J46" s="67">
        <f t="shared" si="4"/>
        <v>6.9848777585876182E-2</v>
      </c>
      <c r="K46" s="100">
        <f t="shared" si="6"/>
        <v>4.6565851723917452E-2</v>
      </c>
      <c r="O46" s="96">
        <f>Amnt_Deposited!B41</f>
        <v>2027</v>
      </c>
      <c r="P46" s="99">
        <f>Amnt_Deposited!D41</f>
        <v>1.0903000971804728</v>
      </c>
      <c r="Q46" s="284">
        <f>MCF!R45</f>
        <v>0.8</v>
      </c>
      <c r="R46" s="67">
        <f t="shared" si="5"/>
        <v>0.17444801554887568</v>
      </c>
      <c r="S46" s="67">
        <f t="shared" si="7"/>
        <v>0.17444801554887568</v>
      </c>
      <c r="T46" s="67">
        <f t="shared" si="8"/>
        <v>0</v>
      </c>
      <c r="U46" s="67">
        <f t="shared" si="9"/>
        <v>2.1647841910376742</v>
      </c>
      <c r="V46" s="67">
        <f t="shared" si="10"/>
        <v>0.14431565616916572</v>
      </c>
      <c r="W46" s="100">
        <f t="shared" si="11"/>
        <v>9.6210437446110478E-2</v>
      </c>
    </row>
    <row r="47" spans="2:23">
      <c r="B47" s="96">
        <f>Amnt_Deposited!B42</f>
        <v>2028</v>
      </c>
      <c r="C47" s="99">
        <f>Amnt_Deposited!D42</f>
        <v>1.08300586349293</v>
      </c>
      <c r="D47" s="418">
        <f>Dry_Matter_Content!D34</f>
        <v>0.44</v>
      </c>
      <c r="E47" s="284">
        <f>MCF!R46</f>
        <v>0.8</v>
      </c>
      <c r="F47" s="67">
        <f t="shared" si="0"/>
        <v>8.3867974068892515E-2</v>
      </c>
      <c r="G47" s="67">
        <f t="shared" si="1"/>
        <v>8.3867974068892515E-2</v>
      </c>
      <c r="H47" s="67">
        <f t="shared" si="2"/>
        <v>0</v>
      </c>
      <c r="I47" s="67">
        <f t="shared" si="3"/>
        <v>1.0607887722272469</v>
      </c>
      <c r="J47" s="67">
        <f t="shared" si="4"/>
        <v>7.0834750303879743E-2</v>
      </c>
      <c r="K47" s="100">
        <f t="shared" si="6"/>
        <v>4.7223166869253159E-2</v>
      </c>
      <c r="O47" s="96">
        <f>Amnt_Deposited!B42</f>
        <v>2028</v>
      </c>
      <c r="P47" s="99">
        <f>Amnt_Deposited!D42</f>
        <v>1.08300586349293</v>
      </c>
      <c r="Q47" s="284">
        <f>MCF!R46</f>
        <v>0.8</v>
      </c>
      <c r="R47" s="67">
        <f t="shared" si="5"/>
        <v>0.17328093815886883</v>
      </c>
      <c r="S47" s="67">
        <f t="shared" si="7"/>
        <v>0.17328093815886883</v>
      </c>
      <c r="T47" s="67">
        <f t="shared" si="8"/>
        <v>0</v>
      </c>
      <c r="U47" s="67">
        <f t="shared" si="9"/>
        <v>2.191712339312494</v>
      </c>
      <c r="V47" s="67">
        <f t="shared" si="10"/>
        <v>0.14635278988404907</v>
      </c>
      <c r="W47" s="100">
        <f t="shared" si="11"/>
        <v>9.7568526589366045E-2</v>
      </c>
    </row>
    <row r="48" spans="2:23">
      <c r="B48" s="96">
        <f>Amnt_Deposited!B43</f>
        <v>2029</v>
      </c>
      <c r="C48" s="99">
        <f>Amnt_Deposited!D43</f>
        <v>1.0754412457418674</v>
      </c>
      <c r="D48" s="418">
        <f>Dry_Matter_Content!D35</f>
        <v>0.44</v>
      </c>
      <c r="E48" s="284">
        <f>MCF!R47</f>
        <v>0.8</v>
      </c>
      <c r="F48" s="67">
        <f t="shared" si="0"/>
        <v>8.3282170070250211E-2</v>
      </c>
      <c r="G48" s="67">
        <f t="shared" si="1"/>
        <v>8.3282170070250211E-2</v>
      </c>
      <c r="H48" s="67">
        <f t="shared" si="2"/>
        <v>0</v>
      </c>
      <c r="I48" s="67">
        <f t="shared" si="3"/>
        <v>1.0723550655205538</v>
      </c>
      <c r="J48" s="67">
        <f t="shared" si="4"/>
        <v>7.1715876776943271E-2</v>
      </c>
      <c r="K48" s="100">
        <f t="shared" si="6"/>
        <v>4.7810584517962176E-2</v>
      </c>
      <c r="O48" s="96">
        <f>Amnt_Deposited!B43</f>
        <v>2029</v>
      </c>
      <c r="P48" s="99">
        <f>Amnt_Deposited!D43</f>
        <v>1.0754412457418674</v>
      </c>
      <c r="Q48" s="284">
        <f>MCF!R47</f>
        <v>0.8</v>
      </c>
      <c r="R48" s="67">
        <f t="shared" si="5"/>
        <v>0.17207059931869881</v>
      </c>
      <c r="S48" s="67">
        <f t="shared" si="7"/>
        <v>0.17207059931869881</v>
      </c>
      <c r="T48" s="67">
        <f t="shared" si="8"/>
        <v>0</v>
      </c>
      <c r="U48" s="67">
        <f t="shared" si="9"/>
        <v>2.2156096395052769</v>
      </c>
      <c r="V48" s="67">
        <f t="shared" si="10"/>
        <v>0.14817329912591587</v>
      </c>
      <c r="W48" s="100">
        <f t="shared" si="11"/>
        <v>9.8782199417277242E-2</v>
      </c>
    </row>
    <row r="49" spans="2:23">
      <c r="B49" s="96">
        <f>Amnt_Deposited!B44</f>
        <v>2030</v>
      </c>
      <c r="C49" s="99">
        <f>Amnt_Deposited!D44</f>
        <v>1.0676690160000002</v>
      </c>
      <c r="D49" s="418">
        <f>Dry_Matter_Content!D36</f>
        <v>0.44</v>
      </c>
      <c r="E49" s="284">
        <f>MCF!R48</f>
        <v>0.8</v>
      </c>
      <c r="F49" s="67">
        <f t="shared" si="0"/>
        <v>8.268028859904003E-2</v>
      </c>
      <c r="G49" s="67">
        <f t="shared" si="1"/>
        <v>8.268028859904003E-2</v>
      </c>
      <c r="H49" s="67">
        <f t="shared" si="2"/>
        <v>0</v>
      </c>
      <c r="I49" s="67">
        <f t="shared" si="3"/>
        <v>1.0825375244352426</v>
      </c>
      <c r="J49" s="67">
        <f t="shared" si="4"/>
        <v>7.24978296843512E-2</v>
      </c>
      <c r="K49" s="100">
        <f t="shared" si="6"/>
        <v>4.8331886456234131E-2</v>
      </c>
      <c r="O49" s="96">
        <f>Amnt_Deposited!B44</f>
        <v>2030</v>
      </c>
      <c r="P49" s="99">
        <f>Amnt_Deposited!D44</f>
        <v>1.0676690160000002</v>
      </c>
      <c r="Q49" s="284">
        <f>MCF!R48</f>
        <v>0.8</v>
      </c>
      <c r="R49" s="67">
        <f t="shared" si="5"/>
        <v>0.17082704256000003</v>
      </c>
      <c r="S49" s="67">
        <f t="shared" si="7"/>
        <v>0.17082704256000003</v>
      </c>
      <c r="T49" s="67">
        <f t="shared" si="8"/>
        <v>0</v>
      </c>
      <c r="U49" s="67">
        <f t="shared" si="9"/>
        <v>2.2366477777587663</v>
      </c>
      <c r="V49" s="67">
        <f t="shared" si="10"/>
        <v>0.14978890430651076</v>
      </c>
      <c r="W49" s="100">
        <f t="shared" si="11"/>
        <v>9.9859269537673837E-2</v>
      </c>
    </row>
    <row r="50" spans="2:23">
      <c r="B50" s="96">
        <f>Amnt_Deposited!B45</f>
        <v>2031</v>
      </c>
      <c r="C50" s="99">
        <f>Amnt_Deposited!D45</f>
        <v>0</v>
      </c>
      <c r="D50" s="418">
        <f>Dry_Matter_Content!D37</f>
        <v>0.44</v>
      </c>
      <c r="E50" s="284">
        <f>MCF!R49</f>
        <v>0.8</v>
      </c>
      <c r="F50" s="67">
        <f t="shared" si="0"/>
        <v>0</v>
      </c>
      <c r="G50" s="67">
        <f t="shared" si="1"/>
        <v>0</v>
      </c>
      <c r="H50" s="67">
        <f t="shared" si="2"/>
        <v>0</v>
      </c>
      <c r="I50" s="67">
        <f t="shared" si="3"/>
        <v>1.0093512975997048</v>
      </c>
      <c r="J50" s="67">
        <f t="shared" si="4"/>
        <v>7.3186226835537938E-2</v>
      </c>
      <c r="K50" s="100">
        <f t="shared" si="6"/>
        <v>4.879081789035862E-2</v>
      </c>
      <c r="O50" s="96">
        <f>Amnt_Deposited!B45</f>
        <v>2031</v>
      </c>
      <c r="P50" s="99">
        <f>Amnt_Deposited!D45</f>
        <v>0</v>
      </c>
      <c r="Q50" s="284">
        <f>MCF!R49</f>
        <v>0.8</v>
      </c>
      <c r="R50" s="67">
        <f t="shared" si="5"/>
        <v>0</v>
      </c>
      <c r="S50" s="67">
        <f t="shared" si="7"/>
        <v>0</v>
      </c>
      <c r="T50" s="67">
        <f t="shared" si="8"/>
        <v>0</v>
      </c>
      <c r="U50" s="67">
        <f t="shared" si="9"/>
        <v>2.0854365652886466</v>
      </c>
      <c r="V50" s="67">
        <f t="shared" si="10"/>
        <v>0.15121121247011973</v>
      </c>
      <c r="W50" s="100">
        <f t="shared" si="11"/>
        <v>0.10080747498007982</v>
      </c>
    </row>
    <row r="51" spans="2:23">
      <c r="B51" s="96">
        <f>Amnt_Deposited!B46</f>
        <v>2032</v>
      </c>
      <c r="C51" s="99">
        <f>Amnt_Deposited!D46</f>
        <v>0</v>
      </c>
      <c r="D51" s="418">
        <f>Dry_Matter_Content!D38</f>
        <v>0.44</v>
      </c>
      <c r="E51" s="284">
        <f>MCF!R50</f>
        <v>0.8</v>
      </c>
      <c r="F51" s="67">
        <f t="shared" ref="F51:F82" si="12">C51*D51*$K$6*DOCF*E51</f>
        <v>0</v>
      </c>
      <c r="G51" s="67">
        <f t="shared" si="1"/>
        <v>0</v>
      </c>
      <c r="H51" s="67">
        <f t="shared" si="2"/>
        <v>0</v>
      </c>
      <c r="I51" s="67">
        <f t="shared" si="3"/>
        <v>0.94111291199601432</v>
      </c>
      <c r="J51" s="67">
        <f t="shared" si="4"/>
        <v>6.8238385603690443E-2</v>
      </c>
      <c r="K51" s="100">
        <f t="shared" si="6"/>
        <v>4.5492257069126962E-2</v>
      </c>
      <c r="O51" s="96">
        <f>Amnt_Deposited!B46</f>
        <v>2032</v>
      </c>
      <c r="P51" s="99">
        <f>Amnt_Deposited!D46</f>
        <v>0</v>
      </c>
      <c r="Q51" s="284">
        <f>MCF!R50</f>
        <v>0.8</v>
      </c>
      <c r="R51" s="67">
        <f t="shared" ref="R51:R82" si="13">P51*$W$6*DOCF*Q51</f>
        <v>0</v>
      </c>
      <c r="S51" s="67">
        <f t="shared" si="7"/>
        <v>0</v>
      </c>
      <c r="T51" s="67">
        <f t="shared" si="8"/>
        <v>0</v>
      </c>
      <c r="U51" s="67">
        <f t="shared" si="9"/>
        <v>1.9444481652810217</v>
      </c>
      <c r="V51" s="67">
        <f t="shared" si="10"/>
        <v>0.14098840000762491</v>
      </c>
      <c r="W51" s="100">
        <f t="shared" si="11"/>
        <v>9.3992266671749938E-2</v>
      </c>
    </row>
    <row r="52" spans="2:23">
      <c r="B52" s="96">
        <f>Amnt_Deposited!B47</f>
        <v>2033</v>
      </c>
      <c r="C52" s="99">
        <f>Amnt_Deposited!D47</f>
        <v>0</v>
      </c>
      <c r="D52" s="418">
        <f>Dry_Matter_Content!D39</f>
        <v>0.44</v>
      </c>
      <c r="E52" s="284">
        <f>MCF!R51</f>
        <v>0.8</v>
      </c>
      <c r="F52" s="67">
        <f t="shared" si="12"/>
        <v>0</v>
      </c>
      <c r="G52" s="67">
        <f t="shared" si="1"/>
        <v>0</v>
      </c>
      <c r="H52" s="67">
        <f t="shared" si="2"/>
        <v>0</v>
      </c>
      <c r="I52" s="67">
        <f t="shared" si="3"/>
        <v>0.87748786297877435</v>
      </c>
      <c r="J52" s="67">
        <f t="shared" si="4"/>
        <v>6.3625049017240004E-2</v>
      </c>
      <c r="K52" s="100">
        <f t="shared" si="6"/>
        <v>4.2416699344826669E-2</v>
      </c>
      <c r="O52" s="96">
        <f>Amnt_Deposited!B47</f>
        <v>2033</v>
      </c>
      <c r="P52" s="99">
        <f>Amnt_Deposited!D47</f>
        <v>0</v>
      </c>
      <c r="Q52" s="284">
        <f>MCF!R51</f>
        <v>0.8</v>
      </c>
      <c r="R52" s="67">
        <f t="shared" si="13"/>
        <v>0</v>
      </c>
      <c r="S52" s="67">
        <f t="shared" si="7"/>
        <v>0</v>
      </c>
      <c r="T52" s="67">
        <f t="shared" si="8"/>
        <v>0</v>
      </c>
      <c r="U52" s="67">
        <f t="shared" si="9"/>
        <v>1.8129914524354844</v>
      </c>
      <c r="V52" s="67">
        <f t="shared" si="10"/>
        <v>0.1314567128455372</v>
      </c>
      <c r="W52" s="100">
        <f t="shared" si="11"/>
        <v>8.7637808563691466E-2</v>
      </c>
    </row>
    <row r="53" spans="2:23">
      <c r="B53" s="96">
        <f>Amnt_Deposited!B48</f>
        <v>2034</v>
      </c>
      <c r="C53" s="99">
        <f>Amnt_Deposited!D48</f>
        <v>0</v>
      </c>
      <c r="D53" s="418">
        <f>Dry_Matter_Content!D40</f>
        <v>0.44</v>
      </c>
      <c r="E53" s="284">
        <f>MCF!R52</f>
        <v>0.8</v>
      </c>
      <c r="F53" s="67">
        <f t="shared" si="12"/>
        <v>0</v>
      </c>
      <c r="G53" s="67">
        <f t="shared" si="1"/>
        <v>0</v>
      </c>
      <c r="H53" s="67">
        <f t="shared" si="2"/>
        <v>0</v>
      </c>
      <c r="I53" s="67">
        <f t="shared" si="3"/>
        <v>0.8181642604838868</v>
      </c>
      <c r="J53" s="67">
        <f t="shared" si="4"/>
        <v>5.9323602494887606E-2</v>
      </c>
      <c r="K53" s="100">
        <f t="shared" si="6"/>
        <v>3.9549068329925066E-2</v>
      </c>
      <c r="O53" s="96">
        <f>Amnt_Deposited!B48</f>
        <v>2034</v>
      </c>
      <c r="P53" s="99">
        <f>Amnt_Deposited!D48</f>
        <v>0</v>
      </c>
      <c r="Q53" s="284">
        <f>MCF!R52</f>
        <v>0.8</v>
      </c>
      <c r="R53" s="67">
        <f t="shared" si="13"/>
        <v>0</v>
      </c>
      <c r="S53" s="67">
        <f t="shared" si="7"/>
        <v>0</v>
      </c>
      <c r="T53" s="67">
        <f t="shared" si="8"/>
        <v>0</v>
      </c>
      <c r="U53" s="67">
        <f t="shared" si="9"/>
        <v>1.6904220257931546</v>
      </c>
      <c r="V53" s="67">
        <f t="shared" si="10"/>
        <v>0.12256942664232978</v>
      </c>
      <c r="W53" s="100">
        <f t="shared" si="11"/>
        <v>8.1712951094886521E-2</v>
      </c>
    </row>
    <row r="54" spans="2:23">
      <c r="B54" s="96">
        <f>Amnt_Deposited!B49</f>
        <v>2035</v>
      </c>
      <c r="C54" s="99">
        <f>Amnt_Deposited!D49</f>
        <v>0</v>
      </c>
      <c r="D54" s="418">
        <f>Dry_Matter_Content!D41</f>
        <v>0.44</v>
      </c>
      <c r="E54" s="284">
        <f>MCF!R53</f>
        <v>0.8</v>
      </c>
      <c r="F54" s="67">
        <f t="shared" si="12"/>
        <v>0</v>
      </c>
      <c r="G54" s="67">
        <f t="shared" si="1"/>
        <v>0</v>
      </c>
      <c r="H54" s="67">
        <f t="shared" si="2"/>
        <v>0</v>
      </c>
      <c r="I54" s="67">
        <f t="shared" si="3"/>
        <v>0.76285130014309654</v>
      </c>
      <c r="J54" s="67">
        <f t="shared" si="4"/>
        <v>5.53129603407903E-2</v>
      </c>
      <c r="K54" s="100">
        <f t="shared" si="6"/>
        <v>3.6875306893860198E-2</v>
      </c>
      <c r="O54" s="96">
        <f>Amnt_Deposited!B49</f>
        <v>2035</v>
      </c>
      <c r="P54" s="99">
        <f>Amnt_Deposited!D49</f>
        <v>0</v>
      </c>
      <c r="Q54" s="284">
        <f>MCF!R53</f>
        <v>0.8</v>
      </c>
      <c r="R54" s="67">
        <f t="shared" si="13"/>
        <v>0</v>
      </c>
      <c r="S54" s="67">
        <f t="shared" si="7"/>
        <v>0</v>
      </c>
      <c r="T54" s="67">
        <f t="shared" si="8"/>
        <v>0</v>
      </c>
      <c r="U54" s="67">
        <f t="shared" si="9"/>
        <v>1.5761390498824308</v>
      </c>
      <c r="V54" s="67">
        <f t="shared" si="10"/>
        <v>0.11428297591072377</v>
      </c>
      <c r="W54" s="100">
        <f t="shared" si="11"/>
        <v>7.6188650607149175E-2</v>
      </c>
    </row>
    <row r="55" spans="2:23">
      <c r="B55" s="96">
        <f>Amnt_Deposited!B50</f>
        <v>2036</v>
      </c>
      <c r="C55" s="99">
        <f>Amnt_Deposited!D50</f>
        <v>0</v>
      </c>
      <c r="D55" s="418">
        <f>Dry_Matter_Content!D42</f>
        <v>0.44</v>
      </c>
      <c r="E55" s="284">
        <f>MCF!R54</f>
        <v>0.8</v>
      </c>
      <c r="F55" s="67">
        <f t="shared" si="12"/>
        <v>0</v>
      </c>
      <c r="G55" s="67">
        <f t="shared" si="1"/>
        <v>0</v>
      </c>
      <c r="H55" s="67">
        <f t="shared" si="2"/>
        <v>0</v>
      </c>
      <c r="I55" s="67">
        <f t="shared" si="3"/>
        <v>0.7112778377606408</v>
      </c>
      <c r="J55" s="67">
        <f t="shared" si="4"/>
        <v>5.1573462382455693E-2</v>
      </c>
      <c r="K55" s="100">
        <f t="shared" si="6"/>
        <v>3.4382308254970462E-2</v>
      </c>
      <c r="O55" s="96">
        <f>Amnt_Deposited!B50</f>
        <v>2036</v>
      </c>
      <c r="P55" s="99">
        <f>Amnt_Deposited!D50</f>
        <v>0</v>
      </c>
      <c r="Q55" s="284">
        <f>MCF!R54</f>
        <v>0.8</v>
      </c>
      <c r="R55" s="67">
        <f t="shared" si="13"/>
        <v>0</v>
      </c>
      <c r="S55" s="67">
        <f t="shared" si="7"/>
        <v>0</v>
      </c>
      <c r="T55" s="67">
        <f t="shared" si="8"/>
        <v>0</v>
      </c>
      <c r="U55" s="67">
        <f t="shared" si="9"/>
        <v>1.4695823094228115</v>
      </c>
      <c r="V55" s="67">
        <f t="shared" si="10"/>
        <v>0.1065567404596192</v>
      </c>
      <c r="W55" s="100">
        <f t="shared" si="11"/>
        <v>7.1037826973079463E-2</v>
      </c>
    </row>
    <row r="56" spans="2:23">
      <c r="B56" s="96">
        <f>Amnt_Deposited!B51</f>
        <v>2037</v>
      </c>
      <c r="C56" s="99">
        <f>Amnt_Deposited!D51</f>
        <v>0</v>
      </c>
      <c r="D56" s="418">
        <f>Dry_Matter_Content!D43</f>
        <v>0.44</v>
      </c>
      <c r="E56" s="284">
        <f>MCF!R55</f>
        <v>0.8</v>
      </c>
      <c r="F56" s="67">
        <f t="shared" si="12"/>
        <v>0</v>
      </c>
      <c r="G56" s="67">
        <f t="shared" si="1"/>
        <v>0</v>
      </c>
      <c r="H56" s="67">
        <f t="shared" si="2"/>
        <v>0</v>
      </c>
      <c r="I56" s="67">
        <f t="shared" si="3"/>
        <v>0.66319106016408724</v>
      </c>
      <c r="J56" s="67">
        <f t="shared" si="4"/>
        <v>4.8086777596553588E-2</v>
      </c>
      <c r="K56" s="100">
        <f t="shared" si="6"/>
        <v>3.2057851731035723E-2</v>
      </c>
      <c r="O56" s="96">
        <f>Amnt_Deposited!B51</f>
        <v>2037</v>
      </c>
      <c r="P56" s="99">
        <f>Amnt_Deposited!D51</f>
        <v>0</v>
      </c>
      <c r="Q56" s="284">
        <f>MCF!R55</f>
        <v>0.8</v>
      </c>
      <c r="R56" s="67">
        <f t="shared" si="13"/>
        <v>0</v>
      </c>
      <c r="S56" s="67">
        <f t="shared" si="7"/>
        <v>0</v>
      </c>
      <c r="T56" s="67">
        <f t="shared" si="8"/>
        <v>0</v>
      </c>
      <c r="U56" s="67">
        <f t="shared" si="9"/>
        <v>1.3702294631489405</v>
      </c>
      <c r="V56" s="67">
        <f t="shared" si="10"/>
        <v>9.9352846273871046E-2</v>
      </c>
      <c r="W56" s="100">
        <f t="shared" si="11"/>
        <v>6.6235230849247359E-2</v>
      </c>
    </row>
    <row r="57" spans="2:23">
      <c r="B57" s="96">
        <f>Amnt_Deposited!B52</f>
        <v>2038</v>
      </c>
      <c r="C57" s="99">
        <f>Amnt_Deposited!D52</f>
        <v>0</v>
      </c>
      <c r="D57" s="418">
        <f>Dry_Matter_Content!D44</f>
        <v>0.44</v>
      </c>
      <c r="E57" s="284">
        <f>MCF!R56</f>
        <v>0.8</v>
      </c>
      <c r="F57" s="67">
        <f t="shared" si="12"/>
        <v>0</v>
      </c>
      <c r="G57" s="67">
        <f t="shared" si="1"/>
        <v>0</v>
      </c>
      <c r="H57" s="67">
        <f t="shared" si="2"/>
        <v>0</v>
      </c>
      <c r="I57" s="67">
        <f t="shared" si="3"/>
        <v>0.61835524591386881</v>
      </c>
      <c r="J57" s="67">
        <f t="shared" si="4"/>
        <v>4.4835814250218375E-2</v>
      </c>
      <c r="K57" s="100">
        <f t="shared" si="6"/>
        <v>2.9890542833478917E-2</v>
      </c>
      <c r="O57" s="96">
        <f>Amnt_Deposited!B52</f>
        <v>2038</v>
      </c>
      <c r="P57" s="99">
        <f>Amnt_Deposited!D52</f>
        <v>0</v>
      </c>
      <c r="Q57" s="284">
        <f>MCF!R56</f>
        <v>0.8</v>
      </c>
      <c r="R57" s="67">
        <f t="shared" si="13"/>
        <v>0</v>
      </c>
      <c r="S57" s="67">
        <f t="shared" si="7"/>
        <v>0</v>
      </c>
      <c r="T57" s="67">
        <f t="shared" si="8"/>
        <v>0</v>
      </c>
      <c r="U57" s="67">
        <f t="shared" si="9"/>
        <v>1.2775934832931173</v>
      </c>
      <c r="V57" s="67">
        <f t="shared" si="10"/>
        <v>9.2635979855823086E-2</v>
      </c>
      <c r="W57" s="100">
        <f t="shared" si="11"/>
        <v>6.1757319903882057E-2</v>
      </c>
    </row>
    <row r="58" spans="2:23">
      <c r="B58" s="96">
        <f>Amnt_Deposited!B53</f>
        <v>2039</v>
      </c>
      <c r="C58" s="99">
        <f>Amnt_Deposited!D53</f>
        <v>0</v>
      </c>
      <c r="D58" s="418">
        <f>Dry_Matter_Content!D45</f>
        <v>0.44</v>
      </c>
      <c r="E58" s="284">
        <f>MCF!R57</f>
        <v>0.8</v>
      </c>
      <c r="F58" s="67">
        <f t="shared" si="12"/>
        <v>0</v>
      </c>
      <c r="G58" s="67">
        <f t="shared" si="1"/>
        <v>0</v>
      </c>
      <c r="H58" s="67">
        <f t="shared" si="2"/>
        <v>0</v>
      </c>
      <c r="I58" s="67">
        <f t="shared" si="3"/>
        <v>0.57655060979651418</v>
      </c>
      <c r="J58" s="67">
        <f t="shared" si="4"/>
        <v>4.180463611735466E-2</v>
      </c>
      <c r="K58" s="100">
        <f t="shared" si="6"/>
        <v>2.7869757411569773E-2</v>
      </c>
      <c r="O58" s="96">
        <f>Amnt_Deposited!B53</f>
        <v>2039</v>
      </c>
      <c r="P58" s="99">
        <f>Amnt_Deposited!D53</f>
        <v>0</v>
      </c>
      <c r="Q58" s="284">
        <f>MCF!R57</f>
        <v>0.8</v>
      </c>
      <c r="R58" s="67">
        <f t="shared" si="13"/>
        <v>0</v>
      </c>
      <c r="S58" s="67">
        <f t="shared" si="7"/>
        <v>0</v>
      </c>
      <c r="T58" s="67">
        <f t="shared" si="8"/>
        <v>0</v>
      </c>
      <c r="U58" s="67">
        <f t="shared" si="9"/>
        <v>1.191220268174616</v>
      </c>
      <c r="V58" s="67">
        <f t="shared" si="10"/>
        <v>8.6373215118501351E-2</v>
      </c>
      <c r="W58" s="100">
        <f t="shared" si="11"/>
        <v>5.7582143412334232E-2</v>
      </c>
    </row>
    <row r="59" spans="2:23">
      <c r="B59" s="96">
        <f>Amnt_Deposited!B54</f>
        <v>2040</v>
      </c>
      <c r="C59" s="99">
        <f>Amnt_Deposited!D54</f>
        <v>0</v>
      </c>
      <c r="D59" s="418">
        <f>Dry_Matter_Content!D46</f>
        <v>0.44</v>
      </c>
      <c r="E59" s="284">
        <f>MCF!R58</f>
        <v>0.8</v>
      </c>
      <c r="F59" s="67">
        <f t="shared" si="12"/>
        <v>0</v>
      </c>
      <c r="G59" s="67">
        <f t="shared" si="1"/>
        <v>0</v>
      </c>
      <c r="H59" s="67">
        <f t="shared" si="2"/>
        <v>0</v>
      </c>
      <c r="I59" s="67">
        <f t="shared" si="3"/>
        <v>0.53757222543727567</v>
      </c>
      <c r="J59" s="67">
        <f t="shared" si="4"/>
        <v>3.8978384359238484E-2</v>
      </c>
      <c r="K59" s="100">
        <f t="shared" si="6"/>
        <v>2.5985589572825655E-2</v>
      </c>
      <c r="O59" s="96">
        <f>Amnt_Deposited!B54</f>
        <v>2040</v>
      </c>
      <c r="P59" s="99">
        <f>Amnt_Deposited!D54</f>
        <v>0</v>
      </c>
      <c r="Q59" s="284">
        <f>MCF!R58</f>
        <v>0.8</v>
      </c>
      <c r="R59" s="67">
        <f t="shared" si="13"/>
        <v>0</v>
      </c>
      <c r="S59" s="67">
        <f t="shared" si="7"/>
        <v>0</v>
      </c>
      <c r="T59" s="67">
        <f t="shared" si="8"/>
        <v>0</v>
      </c>
      <c r="U59" s="67">
        <f t="shared" si="9"/>
        <v>1.1106864161927184</v>
      </c>
      <c r="V59" s="67">
        <f t="shared" si="10"/>
        <v>8.0533851981897678E-2</v>
      </c>
      <c r="W59" s="100">
        <f t="shared" si="11"/>
        <v>5.3689234654598447E-2</v>
      </c>
    </row>
    <row r="60" spans="2:23">
      <c r="B60" s="96">
        <f>Amnt_Deposited!B55</f>
        <v>2041</v>
      </c>
      <c r="C60" s="99">
        <f>Amnt_Deposited!D55</f>
        <v>0</v>
      </c>
      <c r="D60" s="418">
        <f>Dry_Matter_Content!D47</f>
        <v>0.44</v>
      </c>
      <c r="E60" s="284">
        <f>MCF!R59</f>
        <v>0.8</v>
      </c>
      <c r="F60" s="67">
        <f t="shared" si="12"/>
        <v>0</v>
      </c>
      <c r="G60" s="67">
        <f t="shared" si="1"/>
        <v>0</v>
      </c>
      <c r="H60" s="67">
        <f t="shared" si="2"/>
        <v>0</v>
      </c>
      <c r="I60" s="67">
        <f t="shared" si="3"/>
        <v>0.501229020750803</v>
      </c>
      <c r="J60" s="67">
        <f t="shared" si="4"/>
        <v>3.6343204686472633E-2</v>
      </c>
      <c r="K60" s="100">
        <f t="shared" si="6"/>
        <v>2.4228803124315086E-2</v>
      </c>
      <c r="O60" s="96">
        <f>Amnt_Deposited!B55</f>
        <v>2041</v>
      </c>
      <c r="P60" s="99">
        <f>Amnt_Deposited!D55</f>
        <v>0</v>
      </c>
      <c r="Q60" s="284">
        <f>MCF!R59</f>
        <v>0.8</v>
      </c>
      <c r="R60" s="67">
        <f t="shared" si="13"/>
        <v>0</v>
      </c>
      <c r="S60" s="67">
        <f t="shared" si="7"/>
        <v>0</v>
      </c>
      <c r="T60" s="67">
        <f t="shared" si="8"/>
        <v>0</v>
      </c>
      <c r="U60" s="67">
        <f t="shared" si="9"/>
        <v>1.0355971503115766</v>
      </c>
      <c r="V60" s="67">
        <f t="shared" si="10"/>
        <v>7.5089265881141801E-2</v>
      </c>
      <c r="W60" s="100">
        <f t="shared" si="11"/>
        <v>5.0059510587427865E-2</v>
      </c>
    </row>
    <row r="61" spans="2:23">
      <c r="B61" s="96">
        <f>Amnt_Deposited!B56</f>
        <v>2042</v>
      </c>
      <c r="C61" s="99">
        <f>Amnt_Deposited!D56</f>
        <v>0</v>
      </c>
      <c r="D61" s="418">
        <f>Dry_Matter_Content!D48</f>
        <v>0.44</v>
      </c>
      <c r="E61" s="284">
        <f>MCF!R60</f>
        <v>0.8</v>
      </c>
      <c r="F61" s="67">
        <f t="shared" si="12"/>
        <v>0</v>
      </c>
      <c r="G61" s="67">
        <f t="shared" si="1"/>
        <v>0</v>
      </c>
      <c r="H61" s="67">
        <f t="shared" si="2"/>
        <v>0</v>
      </c>
      <c r="I61" s="67">
        <f t="shared" si="3"/>
        <v>0.46734284130555903</v>
      </c>
      <c r="J61" s="67">
        <f t="shared" si="4"/>
        <v>3.3886179445243976E-2</v>
      </c>
      <c r="K61" s="100">
        <f t="shared" si="6"/>
        <v>2.2590786296829316E-2</v>
      </c>
      <c r="O61" s="96">
        <f>Amnt_Deposited!B56</f>
        <v>2042</v>
      </c>
      <c r="P61" s="99">
        <f>Amnt_Deposited!D56</f>
        <v>0</v>
      </c>
      <c r="Q61" s="284">
        <f>MCF!R60</f>
        <v>0.8</v>
      </c>
      <c r="R61" s="67">
        <f t="shared" si="13"/>
        <v>0</v>
      </c>
      <c r="S61" s="67">
        <f t="shared" si="7"/>
        <v>0</v>
      </c>
      <c r="T61" s="67">
        <f t="shared" si="8"/>
        <v>0</v>
      </c>
      <c r="U61" s="67">
        <f t="shared" si="9"/>
        <v>0.96558438286272541</v>
      </c>
      <c r="V61" s="67">
        <f t="shared" si="10"/>
        <v>7.001276744885121E-2</v>
      </c>
      <c r="W61" s="100">
        <f t="shared" si="11"/>
        <v>4.6675178299234135E-2</v>
      </c>
    </row>
    <row r="62" spans="2:23">
      <c r="B62" s="96">
        <f>Amnt_Deposited!B57</f>
        <v>2043</v>
      </c>
      <c r="C62" s="99">
        <f>Amnt_Deposited!D57</f>
        <v>0</v>
      </c>
      <c r="D62" s="418">
        <f>Dry_Matter_Content!D49</f>
        <v>0.44</v>
      </c>
      <c r="E62" s="284">
        <f>MCF!R61</f>
        <v>0.8</v>
      </c>
      <c r="F62" s="67">
        <f t="shared" si="12"/>
        <v>0</v>
      </c>
      <c r="G62" s="67">
        <f t="shared" si="1"/>
        <v>0</v>
      </c>
      <c r="H62" s="67">
        <f t="shared" si="2"/>
        <v>0</v>
      </c>
      <c r="I62" s="67">
        <f t="shared" si="3"/>
        <v>0.43574757701058958</v>
      </c>
      <c r="J62" s="67">
        <f t="shared" si="4"/>
        <v>3.1595264294969463E-2</v>
      </c>
      <c r="K62" s="100">
        <f t="shared" si="6"/>
        <v>2.1063509529979641E-2</v>
      </c>
      <c r="O62" s="96">
        <f>Amnt_Deposited!B57</f>
        <v>2043</v>
      </c>
      <c r="P62" s="99">
        <f>Amnt_Deposited!D57</f>
        <v>0</v>
      </c>
      <c r="Q62" s="284">
        <f>MCF!R61</f>
        <v>0.8</v>
      </c>
      <c r="R62" s="67">
        <f t="shared" si="13"/>
        <v>0</v>
      </c>
      <c r="S62" s="67">
        <f t="shared" si="7"/>
        <v>0</v>
      </c>
      <c r="T62" s="67">
        <f t="shared" si="8"/>
        <v>0</v>
      </c>
      <c r="U62" s="67">
        <f t="shared" si="9"/>
        <v>0.90030491117890421</v>
      </c>
      <c r="V62" s="67">
        <f t="shared" si="10"/>
        <v>6.5279471683821214E-2</v>
      </c>
      <c r="W62" s="100">
        <f t="shared" si="11"/>
        <v>4.351964778921414E-2</v>
      </c>
    </row>
    <row r="63" spans="2:23">
      <c r="B63" s="96">
        <f>Amnt_Deposited!B58</f>
        <v>2044</v>
      </c>
      <c r="C63" s="99">
        <f>Amnt_Deposited!D58</f>
        <v>0</v>
      </c>
      <c r="D63" s="418">
        <f>Dry_Matter_Content!D50</f>
        <v>0.44</v>
      </c>
      <c r="E63" s="284">
        <f>MCF!R62</f>
        <v>0.8</v>
      </c>
      <c r="F63" s="67">
        <f t="shared" si="12"/>
        <v>0</v>
      </c>
      <c r="G63" s="67">
        <f t="shared" si="1"/>
        <v>0</v>
      </c>
      <c r="H63" s="67">
        <f t="shared" si="2"/>
        <v>0</v>
      </c>
      <c r="I63" s="67">
        <f t="shared" si="3"/>
        <v>0.40628834784366497</v>
      </c>
      <c r="J63" s="67">
        <f t="shared" si="4"/>
        <v>2.9459229166924592E-2</v>
      </c>
      <c r="K63" s="100">
        <f t="shared" si="6"/>
        <v>1.963948611128306E-2</v>
      </c>
      <c r="O63" s="96">
        <f>Amnt_Deposited!B58</f>
        <v>2044</v>
      </c>
      <c r="P63" s="99">
        <f>Amnt_Deposited!D58</f>
        <v>0</v>
      </c>
      <c r="Q63" s="284">
        <f>MCF!R62</f>
        <v>0.8</v>
      </c>
      <c r="R63" s="67">
        <f t="shared" si="13"/>
        <v>0</v>
      </c>
      <c r="S63" s="67">
        <f t="shared" si="7"/>
        <v>0</v>
      </c>
      <c r="T63" s="67">
        <f t="shared" si="8"/>
        <v>0</v>
      </c>
      <c r="U63" s="67">
        <f t="shared" si="9"/>
        <v>0.839438735214184</v>
      </c>
      <c r="V63" s="67">
        <f t="shared" si="10"/>
        <v>6.0866175964720243E-2</v>
      </c>
      <c r="W63" s="100">
        <f t="shared" si="11"/>
        <v>4.0577450643146828E-2</v>
      </c>
    </row>
    <row r="64" spans="2:23">
      <c r="B64" s="96">
        <f>Amnt_Deposited!B59</f>
        <v>2045</v>
      </c>
      <c r="C64" s="99">
        <f>Amnt_Deposited!D59</f>
        <v>0</v>
      </c>
      <c r="D64" s="418">
        <f>Dry_Matter_Content!D51</f>
        <v>0.44</v>
      </c>
      <c r="E64" s="284">
        <f>MCF!R63</f>
        <v>0.8</v>
      </c>
      <c r="F64" s="67">
        <f t="shared" si="12"/>
        <v>0</v>
      </c>
      <c r="G64" s="67">
        <f t="shared" si="1"/>
        <v>0</v>
      </c>
      <c r="H64" s="67">
        <f t="shared" si="2"/>
        <v>0</v>
      </c>
      <c r="I64" s="67">
        <f t="shared" si="3"/>
        <v>0.37882074462923143</v>
      </c>
      <c r="J64" s="67">
        <f t="shared" si="4"/>
        <v>2.7467603214433547E-2</v>
      </c>
      <c r="K64" s="100">
        <f t="shared" si="6"/>
        <v>1.8311735476289032E-2</v>
      </c>
      <c r="O64" s="96">
        <f>Amnt_Deposited!B59</f>
        <v>2045</v>
      </c>
      <c r="P64" s="99">
        <f>Amnt_Deposited!D59</f>
        <v>0</v>
      </c>
      <c r="Q64" s="284">
        <f>MCF!R63</f>
        <v>0.8</v>
      </c>
      <c r="R64" s="67">
        <f t="shared" si="13"/>
        <v>0</v>
      </c>
      <c r="S64" s="67">
        <f t="shared" si="7"/>
        <v>0</v>
      </c>
      <c r="T64" s="67">
        <f t="shared" si="8"/>
        <v>0</v>
      </c>
      <c r="U64" s="67">
        <f t="shared" si="9"/>
        <v>0.78268748890337092</v>
      </c>
      <c r="V64" s="67">
        <f t="shared" si="10"/>
        <v>5.6751246310813123E-2</v>
      </c>
      <c r="W64" s="100">
        <f t="shared" si="11"/>
        <v>3.7834164207208747E-2</v>
      </c>
    </row>
    <row r="65" spans="2:23">
      <c r="B65" s="96">
        <f>Amnt_Deposited!B60</f>
        <v>2046</v>
      </c>
      <c r="C65" s="99">
        <f>Amnt_Deposited!D60</f>
        <v>0</v>
      </c>
      <c r="D65" s="418">
        <f>Dry_Matter_Content!D52</f>
        <v>0.44</v>
      </c>
      <c r="E65" s="284">
        <f>MCF!R64</f>
        <v>0.8</v>
      </c>
      <c r="F65" s="67">
        <f t="shared" si="12"/>
        <v>0</v>
      </c>
      <c r="G65" s="67">
        <f t="shared" si="1"/>
        <v>0</v>
      </c>
      <c r="H65" s="67">
        <f t="shared" si="2"/>
        <v>0</v>
      </c>
      <c r="I65" s="67">
        <f t="shared" si="3"/>
        <v>0.35321012114446482</v>
      </c>
      <c r="J65" s="67">
        <f t="shared" si="4"/>
        <v>2.5610623484766597E-2</v>
      </c>
      <c r="K65" s="100">
        <f t="shared" si="6"/>
        <v>1.7073748989844397E-2</v>
      </c>
      <c r="O65" s="96">
        <f>Amnt_Deposited!B60</f>
        <v>2046</v>
      </c>
      <c r="P65" s="99">
        <f>Amnt_Deposited!D60</f>
        <v>0</v>
      </c>
      <c r="Q65" s="284">
        <f>MCF!R64</f>
        <v>0.8</v>
      </c>
      <c r="R65" s="67">
        <f t="shared" si="13"/>
        <v>0</v>
      </c>
      <c r="S65" s="67">
        <f t="shared" si="7"/>
        <v>0</v>
      </c>
      <c r="T65" s="67">
        <f t="shared" si="8"/>
        <v>0</v>
      </c>
      <c r="U65" s="67">
        <f t="shared" si="9"/>
        <v>0.72977297757120851</v>
      </c>
      <c r="V65" s="67">
        <f t="shared" si="10"/>
        <v>5.2914511332162406E-2</v>
      </c>
      <c r="W65" s="100">
        <f t="shared" si="11"/>
        <v>3.5276340888108271E-2</v>
      </c>
    </row>
    <row r="66" spans="2:23">
      <c r="B66" s="96">
        <f>Amnt_Deposited!B61</f>
        <v>2047</v>
      </c>
      <c r="C66" s="99">
        <f>Amnt_Deposited!D61</f>
        <v>0</v>
      </c>
      <c r="D66" s="418">
        <f>Dry_Matter_Content!D53</f>
        <v>0.44</v>
      </c>
      <c r="E66" s="284">
        <f>MCF!R65</f>
        <v>0.8</v>
      </c>
      <c r="F66" s="67">
        <f t="shared" si="12"/>
        <v>0</v>
      </c>
      <c r="G66" s="67">
        <f t="shared" si="1"/>
        <v>0</v>
      </c>
      <c r="H66" s="67">
        <f t="shared" si="2"/>
        <v>0</v>
      </c>
      <c r="I66" s="67">
        <f t="shared" si="3"/>
        <v>0.32933093408333031</v>
      </c>
      <c r="J66" s="67">
        <f t="shared" si="4"/>
        <v>2.3879187061134517E-2</v>
      </c>
      <c r="K66" s="100">
        <f t="shared" si="6"/>
        <v>1.5919458040756344E-2</v>
      </c>
      <c r="O66" s="96">
        <f>Amnt_Deposited!B61</f>
        <v>2047</v>
      </c>
      <c r="P66" s="99">
        <f>Amnt_Deposited!D61</f>
        <v>0</v>
      </c>
      <c r="Q66" s="284">
        <f>MCF!R65</f>
        <v>0.8</v>
      </c>
      <c r="R66" s="67">
        <f t="shared" si="13"/>
        <v>0</v>
      </c>
      <c r="S66" s="67">
        <f t="shared" si="7"/>
        <v>0</v>
      </c>
      <c r="T66" s="67">
        <f t="shared" si="8"/>
        <v>0</v>
      </c>
      <c r="U66" s="67">
        <f t="shared" si="9"/>
        <v>0.68043581422175703</v>
      </c>
      <c r="V66" s="67">
        <f t="shared" si="10"/>
        <v>4.9337163349451492E-2</v>
      </c>
      <c r="W66" s="100">
        <f t="shared" si="11"/>
        <v>3.2891442232967659E-2</v>
      </c>
    </row>
    <row r="67" spans="2:23">
      <c r="B67" s="96">
        <f>Amnt_Deposited!B62</f>
        <v>2048</v>
      </c>
      <c r="C67" s="99">
        <f>Amnt_Deposited!D62</f>
        <v>0</v>
      </c>
      <c r="D67" s="418">
        <f>Dry_Matter_Content!D54</f>
        <v>0.44</v>
      </c>
      <c r="E67" s="284">
        <f>MCF!R66</f>
        <v>0.8</v>
      </c>
      <c r="F67" s="67">
        <f t="shared" si="12"/>
        <v>0</v>
      </c>
      <c r="G67" s="67">
        <f t="shared" si="1"/>
        <v>0</v>
      </c>
      <c r="H67" s="67">
        <f t="shared" si="2"/>
        <v>0</v>
      </c>
      <c r="I67" s="67">
        <f t="shared" si="3"/>
        <v>0.30706612764315039</v>
      </c>
      <c r="J67" s="67">
        <f t="shared" si="4"/>
        <v>2.2264806440179908E-2</v>
      </c>
      <c r="K67" s="100">
        <f t="shared" si="6"/>
        <v>1.4843204293453271E-2</v>
      </c>
      <c r="O67" s="96">
        <f>Amnt_Deposited!B62</f>
        <v>2048</v>
      </c>
      <c r="P67" s="99">
        <f>Amnt_Deposited!D62</f>
        <v>0</v>
      </c>
      <c r="Q67" s="284">
        <f>MCF!R66</f>
        <v>0.8</v>
      </c>
      <c r="R67" s="67">
        <f t="shared" si="13"/>
        <v>0</v>
      </c>
      <c r="S67" s="67">
        <f t="shared" si="7"/>
        <v>0</v>
      </c>
      <c r="T67" s="67">
        <f t="shared" si="8"/>
        <v>0</v>
      </c>
      <c r="U67" s="67">
        <f t="shared" si="9"/>
        <v>0.63443414802303821</v>
      </c>
      <c r="V67" s="67">
        <f t="shared" si="10"/>
        <v>4.600166619871883E-2</v>
      </c>
      <c r="W67" s="100">
        <f t="shared" si="11"/>
        <v>3.0667777465812552E-2</v>
      </c>
    </row>
    <row r="68" spans="2:23">
      <c r="B68" s="96">
        <f>Amnt_Deposited!B63</f>
        <v>2049</v>
      </c>
      <c r="C68" s="99">
        <f>Amnt_Deposited!D63</f>
        <v>0</v>
      </c>
      <c r="D68" s="418">
        <f>Dry_Matter_Content!D55</f>
        <v>0.44</v>
      </c>
      <c r="E68" s="284">
        <f>MCF!R67</f>
        <v>0.8</v>
      </c>
      <c r="F68" s="67">
        <f t="shared" si="12"/>
        <v>0</v>
      </c>
      <c r="G68" s="67">
        <f t="shared" si="1"/>
        <v>0</v>
      </c>
      <c r="H68" s="67">
        <f t="shared" si="2"/>
        <v>0</v>
      </c>
      <c r="I68" s="67">
        <f t="shared" si="3"/>
        <v>0.28630655971692448</v>
      </c>
      <c r="J68" s="67">
        <f t="shared" si="4"/>
        <v>2.0759567926225901E-2</v>
      </c>
      <c r="K68" s="100">
        <f t="shared" si="6"/>
        <v>1.3839711950817266E-2</v>
      </c>
      <c r="O68" s="96">
        <f>Amnt_Deposited!B63</f>
        <v>2049</v>
      </c>
      <c r="P68" s="99">
        <f>Amnt_Deposited!D63</f>
        <v>0</v>
      </c>
      <c r="Q68" s="284">
        <f>MCF!R67</f>
        <v>0.8</v>
      </c>
      <c r="R68" s="67">
        <f t="shared" si="13"/>
        <v>0</v>
      </c>
      <c r="S68" s="67">
        <f t="shared" si="7"/>
        <v>0</v>
      </c>
      <c r="T68" s="67">
        <f t="shared" si="8"/>
        <v>0</v>
      </c>
      <c r="U68" s="67">
        <f t="shared" si="9"/>
        <v>0.59154247875397648</v>
      </c>
      <c r="V68" s="67">
        <f t="shared" si="10"/>
        <v>4.2891669269061794E-2</v>
      </c>
      <c r="W68" s="100">
        <f t="shared" si="11"/>
        <v>2.8594446179374528E-2</v>
      </c>
    </row>
    <row r="69" spans="2:23">
      <c r="B69" s="96">
        <f>Amnt_Deposited!B64</f>
        <v>2050</v>
      </c>
      <c r="C69" s="99">
        <f>Amnt_Deposited!D64</f>
        <v>0</v>
      </c>
      <c r="D69" s="418">
        <f>Dry_Matter_Content!D56</f>
        <v>0.44</v>
      </c>
      <c r="E69" s="284">
        <f>MCF!R68</f>
        <v>0.8</v>
      </c>
      <c r="F69" s="67">
        <f t="shared" si="12"/>
        <v>0</v>
      </c>
      <c r="G69" s="67">
        <f t="shared" si="1"/>
        <v>0</v>
      </c>
      <c r="H69" s="67">
        <f t="shared" si="2"/>
        <v>0</v>
      </c>
      <c r="I69" s="67">
        <f t="shared" si="3"/>
        <v>0.2669504668785937</v>
      </c>
      <c r="J69" s="67">
        <f t="shared" si="4"/>
        <v>1.9356092838330771E-2</v>
      </c>
      <c r="K69" s="100">
        <f t="shared" si="6"/>
        <v>1.2904061892220514E-2</v>
      </c>
      <c r="O69" s="96">
        <f>Amnt_Deposited!B64</f>
        <v>2050</v>
      </c>
      <c r="P69" s="99">
        <f>Amnt_Deposited!D64</f>
        <v>0</v>
      </c>
      <c r="Q69" s="284">
        <f>MCF!R68</f>
        <v>0.8</v>
      </c>
      <c r="R69" s="67">
        <f t="shared" si="13"/>
        <v>0</v>
      </c>
      <c r="S69" s="67">
        <f t="shared" si="7"/>
        <v>0</v>
      </c>
      <c r="T69" s="67">
        <f t="shared" si="8"/>
        <v>0</v>
      </c>
      <c r="U69" s="67">
        <f t="shared" si="9"/>
        <v>0.55155055140205334</v>
      </c>
      <c r="V69" s="67">
        <f t="shared" si="10"/>
        <v>3.9991927351923098E-2</v>
      </c>
      <c r="W69" s="100">
        <f t="shared" si="11"/>
        <v>2.6661284901282063E-2</v>
      </c>
    </row>
    <row r="70" spans="2:23">
      <c r="B70" s="96">
        <f>Amnt_Deposited!B65</f>
        <v>2051</v>
      </c>
      <c r="C70" s="99">
        <f>Amnt_Deposited!D65</f>
        <v>0</v>
      </c>
      <c r="D70" s="418">
        <f>Dry_Matter_Content!D57</f>
        <v>0.44</v>
      </c>
      <c r="E70" s="284">
        <f>MCF!R69</f>
        <v>0.8</v>
      </c>
      <c r="F70" s="67">
        <f t="shared" si="12"/>
        <v>0</v>
      </c>
      <c r="G70" s="67">
        <f t="shared" si="1"/>
        <v>0</v>
      </c>
      <c r="H70" s="67">
        <f t="shared" si="2"/>
        <v>0</v>
      </c>
      <c r="I70" s="67">
        <f t="shared" si="3"/>
        <v>0.2489029655386083</v>
      </c>
      <c r="J70" s="67">
        <f t="shared" si="4"/>
        <v>1.8047501339985395E-2</v>
      </c>
      <c r="K70" s="100">
        <f t="shared" si="6"/>
        <v>1.2031667559990262E-2</v>
      </c>
      <c r="O70" s="96">
        <f>Amnt_Deposited!B65</f>
        <v>2051</v>
      </c>
      <c r="P70" s="99">
        <f>Amnt_Deposited!D65</f>
        <v>0</v>
      </c>
      <c r="Q70" s="284">
        <f>MCF!R69</f>
        <v>0.8</v>
      </c>
      <c r="R70" s="67">
        <f t="shared" si="13"/>
        <v>0</v>
      </c>
      <c r="S70" s="67">
        <f t="shared" si="7"/>
        <v>0</v>
      </c>
      <c r="T70" s="67">
        <f t="shared" si="8"/>
        <v>0</v>
      </c>
      <c r="U70" s="67">
        <f t="shared" si="9"/>
        <v>0.51426232549299256</v>
      </c>
      <c r="V70" s="67">
        <f t="shared" si="10"/>
        <v>3.7288225909060752E-2</v>
      </c>
      <c r="W70" s="100">
        <f t="shared" si="11"/>
        <v>2.4858817272707168E-2</v>
      </c>
    </row>
    <row r="71" spans="2:23">
      <c r="B71" s="96">
        <f>Amnt_Deposited!B66</f>
        <v>2052</v>
      </c>
      <c r="C71" s="99">
        <f>Amnt_Deposited!D66</f>
        <v>0</v>
      </c>
      <c r="D71" s="418">
        <f>Dry_Matter_Content!D58</f>
        <v>0.44</v>
      </c>
      <c r="E71" s="284">
        <f>MCF!R70</f>
        <v>0.8</v>
      </c>
      <c r="F71" s="67">
        <f t="shared" si="12"/>
        <v>0</v>
      </c>
      <c r="G71" s="67">
        <f t="shared" si="1"/>
        <v>0</v>
      </c>
      <c r="H71" s="67">
        <f t="shared" si="2"/>
        <v>0</v>
      </c>
      <c r="I71" s="67">
        <f t="shared" si="3"/>
        <v>0.23207558682446161</v>
      </c>
      <c r="J71" s="67">
        <f t="shared" si="4"/>
        <v>1.6827378714146704E-2</v>
      </c>
      <c r="K71" s="100">
        <f t="shared" si="6"/>
        <v>1.1218252476097802E-2</v>
      </c>
      <c r="O71" s="96">
        <f>Amnt_Deposited!B66</f>
        <v>2052</v>
      </c>
      <c r="P71" s="99">
        <f>Amnt_Deposited!D66</f>
        <v>0</v>
      </c>
      <c r="Q71" s="284">
        <f>MCF!R70</f>
        <v>0.8</v>
      </c>
      <c r="R71" s="67">
        <f t="shared" si="13"/>
        <v>0</v>
      </c>
      <c r="S71" s="67">
        <f t="shared" si="7"/>
        <v>0</v>
      </c>
      <c r="T71" s="67">
        <f t="shared" si="8"/>
        <v>0</v>
      </c>
      <c r="U71" s="67">
        <f t="shared" si="9"/>
        <v>0.47949501410012746</v>
      </c>
      <c r="V71" s="67">
        <f t="shared" si="10"/>
        <v>3.4767311392865104E-2</v>
      </c>
      <c r="W71" s="100">
        <f t="shared" si="11"/>
        <v>2.3178207595243402E-2</v>
      </c>
    </row>
    <row r="72" spans="2:23">
      <c r="B72" s="96">
        <f>Amnt_Deposited!B67</f>
        <v>2053</v>
      </c>
      <c r="C72" s="99">
        <f>Amnt_Deposited!D67</f>
        <v>0</v>
      </c>
      <c r="D72" s="418">
        <f>Dry_Matter_Content!D59</f>
        <v>0.44</v>
      </c>
      <c r="E72" s="284">
        <f>MCF!R71</f>
        <v>0.8</v>
      </c>
      <c r="F72" s="67">
        <f t="shared" si="12"/>
        <v>0</v>
      </c>
      <c r="G72" s="67">
        <f t="shared" si="1"/>
        <v>0</v>
      </c>
      <c r="H72" s="67">
        <f t="shared" si="2"/>
        <v>0</v>
      </c>
      <c r="I72" s="67">
        <f t="shared" si="3"/>
        <v>0.21638584290617432</v>
      </c>
      <c r="J72" s="67">
        <f t="shared" si="4"/>
        <v>1.5689743918287289E-2</v>
      </c>
      <c r="K72" s="100">
        <f t="shared" si="6"/>
        <v>1.0459829278858192E-2</v>
      </c>
      <c r="O72" s="96">
        <f>Amnt_Deposited!B67</f>
        <v>2053</v>
      </c>
      <c r="P72" s="99">
        <f>Amnt_Deposited!D67</f>
        <v>0</v>
      </c>
      <c r="Q72" s="284">
        <f>MCF!R71</f>
        <v>0.8</v>
      </c>
      <c r="R72" s="67">
        <f t="shared" si="13"/>
        <v>0</v>
      </c>
      <c r="S72" s="67">
        <f t="shared" si="7"/>
        <v>0</v>
      </c>
      <c r="T72" s="67">
        <f t="shared" si="8"/>
        <v>0</v>
      </c>
      <c r="U72" s="67">
        <f t="shared" si="9"/>
        <v>0.44707818782267439</v>
      </c>
      <c r="V72" s="67">
        <f t="shared" si="10"/>
        <v>3.2416826277453091E-2</v>
      </c>
      <c r="W72" s="100">
        <f t="shared" si="11"/>
        <v>2.161121751830206E-2</v>
      </c>
    </row>
    <row r="73" spans="2:23">
      <c r="B73" s="96">
        <f>Amnt_Deposited!B68</f>
        <v>2054</v>
      </c>
      <c r="C73" s="99">
        <f>Amnt_Deposited!D68</f>
        <v>0</v>
      </c>
      <c r="D73" s="418">
        <f>Dry_Matter_Content!D60</f>
        <v>0.44</v>
      </c>
      <c r="E73" s="284">
        <f>MCF!R72</f>
        <v>0.8</v>
      </c>
      <c r="F73" s="67">
        <f t="shared" si="12"/>
        <v>0</v>
      </c>
      <c r="G73" s="67">
        <f t="shared" si="1"/>
        <v>0</v>
      </c>
      <c r="H73" s="67">
        <f t="shared" si="2"/>
        <v>0</v>
      </c>
      <c r="I73" s="67">
        <f t="shared" si="3"/>
        <v>0.20175682264085631</v>
      </c>
      <c r="J73" s="67">
        <f t="shared" si="4"/>
        <v>1.4629020265318007E-2</v>
      </c>
      <c r="K73" s="100">
        <f t="shared" si="6"/>
        <v>9.7526801768786711E-3</v>
      </c>
      <c r="O73" s="96">
        <f>Amnt_Deposited!B68</f>
        <v>2054</v>
      </c>
      <c r="P73" s="99">
        <f>Amnt_Deposited!D68</f>
        <v>0</v>
      </c>
      <c r="Q73" s="284">
        <f>MCF!R72</f>
        <v>0.8</v>
      </c>
      <c r="R73" s="67">
        <f t="shared" si="13"/>
        <v>0</v>
      </c>
      <c r="S73" s="67">
        <f t="shared" si="7"/>
        <v>0</v>
      </c>
      <c r="T73" s="67">
        <f t="shared" si="8"/>
        <v>0</v>
      </c>
      <c r="U73" s="67">
        <f t="shared" si="9"/>
        <v>0.41685293934061241</v>
      </c>
      <c r="V73" s="67">
        <f t="shared" si="10"/>
        <v>3.0225248482062008E-2</v>
      </c>
      <c r="W73" s="100">
        <f t="shared" si="11"/>
        <v>2.0150165654708004E-2</v>
      </c>
    </row>
    <row r="74" spans="2:23">
      <c r="B74" s="96">
        <f>Amnt_Deposited!B69</f>
        <v>2055</v>
      </c>
      <c r="C74" s="99">
        <f>Amnt_Deposited!D69</f>
        <v>0</v>
      </c>
      <c r="D74" s="418">
        <f>Dry_Matter_Content!D61</f>
        <v>0.44</v>
      </c>
      <c r="E74" s="284">
        <f>MCF!R73</f>
        <v>0.8</v>
      </c>
      <c r="F74" s="67">
        <f t="shared" si="12"/>
        <v>0</v>
      </c>
      <c r="G74" s="67">
        <f t="shared" si="1"/>
        <v>0</v>
      </c>
      <c r="H74" s="67">
        <f t="shared" si="2"/>
        <v>0</v>
      </c>
      <c r="I74" s="67">
        <f t="shared" si="3"/>
        <v>0.18811681455419493</v>
      </c>
      <c r="J74" s="67">
        <f t="shared" si="4"/>
        <v>1.3640008086661385E-2</v>
      </c>
      <c r="K74" s="100">
        <f t="shared" si="6"/>
        <v>9.0933387244409233E-3</v>
      </c>
      <c r="O74" s="96">
        <f>Amnt_Deposited!B69</f>
        <v>2055</v>
      </c>
      <c r="P74" s="99">
        <f>Amnt_Deposited!D69</f>
        <v>0</v>
      </c>
      <c r="Q74" s="284">
        <f>MCF!R73</f>
        <v>0.8</v>
      </c>
      <c r="R74" s="67">
        <f t="shared" si="13"/>
        <v>0</v>
      </c>
      <c r="S74" s="67">
        <f t="shared" si="7"/>
        <v>0</v>
      </c>
      <c r="T74" s="67">
        <f t="shared" si="8"/>
        <v>0</v>
      </c>
      <c r="U74" s="67">
        <f t="shared" si="9"/>
        <v>0.38867110445081615</v>
      </c>
      <c r="V74" s="67">
        <f t="shared" si="10"/>
        <v>2.8181834889796264E-2</v>
      </c>
      <c r="W74" s="100">
        <f t="shared" si="11"/>
        <v>1.878788992653084E-2</v>
      </c>
    </row>
    <row r="75" spans="2:23">
      <c r="B75" s="96">
        <f>Amnt_Deposited!B70</f>
        <v>2056</v>
      </c>
      <c r="C75" s="99">
        <f>Amnt_Deposited!D70</f>
        <v>0</v>
      </c>
      <c r="D75" s="418">
        <f>Dry_Matter_Content!D62</f>
        <v>0.44</v>
      </c>
      <c r="E75" s="284">
        <f>MCF!R74</f>
        <v>0.8</v>
      </c>
      <c r="F75" s="67">
        <f t="shared" si="12"/>
        <v>0</v>
      </c>
      <c r="G75" s="67">
        <f t="shared" si="1"/>
        <v>0</v>
      </c>
      <c r="H75" s="67">
        <f t="shared" si="2"/>
        <v>0</v>
      </c>
      <c r="I75" s="67">
        <f t="shared" si="3"/>
        <v>0.17539895531072469</v>
      </c>
      <c r="J75" s="67">
        <f t="shared" si="4"/>
        <v>1.2717859243470233E-2</v>
      </c>
      <c r="K75" s="100">
        <f t="shared" si="6"/>
        <v>8.4785728289801555E-3</v>
      </c>
      <c r="O75" s="96">
        <f>Amnt_Deposited!B70</f>
        <v>2056</v>
      </c>
      <c r="P75" s="99">
        <f>Amnt_Deposited!D70</f>
        <v>0</v>
      </c>
      <c r="Q75" s="284">
        <f>MCF!R74</f>
        <v>0.8</v>
      </c>
      <c r="R75" s="67">
        <f t="shared" si="13"/>
        <v>0</v>
      </c>
      <c r="S75" s="67">
        <f t="shared" si="7"/>
        <v>0</v>
      </c>
      <c r="T75" s="67">
        <f t="shared" si="8"/>
        <v>0</v>
      </c>
      <c r="U75" s="67">
        <f t="shared" si="9"/>
        <v>0.36239453576596031</v>
      </c>
      <c r="V75" s="67">
        <f t="shared" si="10"/>
        <v>2.6276568684855867E-2</v>
      </c>
      <c r="W75" s="100">
        <f t="shared" si="11"/>
        <v>1.7517712456570578E-2</v>
      </c>
    </row>
    <row r="76" spans="2:23">
      <c r="B76" s="96">
        <f>Amnt_Deposited!B71</f>
        <v>2057</v>
      </c>
      <c r="C76" s="99">
        <f>Amnt_Deposited!D71</f>
        <v>0</v>
      </c>
      <c r="D76" s="418">
        <f>Dry_Matter_Content!D63</f>
        <v>0.44</v>
      </c>
      <c r="E76" s="284">
        <f>MCF!R75</f>
        <v>0.8</v>
      </c>
      <c r="F76" s="67">
        <f t="shared" si="12"/>
        <v>0</v>
      </c>
      <c r="G76" s="67">
        <f t="shared" si="1"/>
        <v>0</v>
      </c>
      <c r="H76" s="67">
        <f t="shared" si="2"/>
        <v>0</v>
      </c>
      <c r="I76" s="67">
        <f t="shared" si="3"/>
        <v>0.1635409019496793</v>
      </c>
      <c r="J76" s="67">
        <f t="shared" si="4"/>
        <v>1.1858053361045383E-2</v>
      </c>
      <c r="K76" s="100">
        <f t="shared" si="6"/>
        <v>7.9053689073635882E-3</v>
      </c>
      <c r="O76" s="96">
        <f>Amnt_Deposited!B71</f>
        <v>2057</v>
      </c>
      <c r="P76" s="99">
        <f>Amnt_Deposited!D71</f>
        <v>0</v>
      </c>
      <c r="Q76" s="284">
        <f>MCF!R75</f>
        <v>0.8</v>
      </c>
      <c r="R76" s="67">
        <f t="shared" si="13"/>
        <v>0</v>
      </c>
      <c r="S76" s="67">
        <f t="shared" si="7"/>
        <v>0</v>
      </c>
      <c r="T76" s="67">
        <f t="shared" si="8"/>
        <v>0</v>
      </c>
      <c r="U76" s="67">
        <f t="shared" si="9"/>
        <v>0.33789442551586651</v>
      </c>
      <c r="V76" s="67">
        <f t="shared" si="10"/>
        <v>2.4500110250093781E-2</v>
      </c>
      <c r="W76" s="100">
        <f t="shared" si="11"/>
        <v>1.6333406833395854E-2</v>
      </c>
    </row>
    <row r="77" spans="2:23">
      <c r="B77" s="96">
        <f>Amnt_Deposited!B72</f>
        <v>2058</v>
      </c>
      <c r="C77" s="99">
        <f>Amnt_Deposited!D72</f>
        <v>0</v>
      </c>
      <c r="D77" s="418">
        <f>Dry_Matter_Content!D64</f>
        <v>0.44</v>
      </c>
      <c r="E77" s="284">
        <f>MCF!R76</f>
        <v>0.8</v>
      </c>
      <c r="F77" s="67">
        <f t="shared" si="12"/>
        <v>0</v>
      </c>
      <c r="G77" s="67">
        <f t="shared" si="1"/>
        <v>0</v>
      </c>
      <c r="H77" s="67">
        <f t="shared" si="2"/>
        <v>0</v>
      </c>
      <c r="I77" s="67">
        <f t="shared" si="3"/>
        <v>0.15248452627972561</v>
      </c>
      <c r="J77" s="67">
        <f t="shared" si="4"/>
        <v>1.1056375669953674E-2</v>
      </c>
      <c r="K77" s="100">
        <f t="shared" si="6"/>
        <v>7.3709171133024493E-3</v>
      </c>
      <c r="O77" s="96">
        <f>Amnt_Deposited!B72</f>
        <v>2058</v>
      </c>
      <c r="P77" s="99">
        <f>Amnt_Deposited!D72</f>
        <v>0</v>
      </c>
      <c r="Q77" s="284">
        <f>MCF!R76</f>
        <v>0.8</v>
      </c>
      <c r="R77" s="67">
        <f t="shared" si="13"/>
        <v>0</v>
      </c>
      <c r="S77" s="67">
        <f t="shared" si="7"/>
        <v>0</v>
      </c>
      <c r="T77" s="67">
        <f t="shared" si="8"/>
        <v>0</v>
      </c>
      <c r="U77" s="67">
        <f t="shared" si="9"/>
        <v>0.31505067413166471</v>
      </c>
      <c r="V77" s="67">
        <f t="shared" si="10"/>
        <v>2.2843751384201819E-2</v>
      </c>
      <c r="W77" s="100">
        <f t="shared" si="11"/>
        <v>1.5229167589467879E-2</v>
      </c>
    </row>
    <row r="78" spans="2:23">
      <c r="B78" s="96">
        <f>Amnt_Deposited!B73</f>
        <v>2059</v>
      </c>
      <c r="C78" s="99">
        <f>Amnt_Deposited!D73</f>
        <v>0</v>
      </c>
      <c r="D78" s="418">
        <f>Dry_Matter_Content!D65</f>
        <v>0.44</v>
      </c>
      <c r="E78" s="284">
        <f>MCF!R77</f>
        <v>0.8</v>
      </c>
      <c r="F78" s="67">
        <f t="shared" si="12"/>
        <v>0</v>
      </c>
      <c r="G78" s="67">
        <f t="shared" si="1"/>
        <v>0</v>
      </c>
      <c r="H78" s="67">
        <f t="shared" si="2"/>
        <v>0</v>
      </c>
      <c r="I78" s="67">
        <f t="shared" si="3"/>
        <v>0.14217562993450231</v>
      </c>
      <c r="J78" s="67">
        <f t="shared" si="4"/>
        <v>1.0308896345223292E-2</v>
      </c>
      <c r="K78" s="100">
        <f t="shared" si="6"/>
        <v>6.8725975634821943E-3</v>
      </c>
      <c r="O78" s="96">
        <f>Amnt_Deposited!B73</f>
        <v>2059</v>
      </c>
      <c r="P78" s="99">
        <f>Amnt_Deposited!D73</f>
        <v>0</v>
      </c>
      <c r="Q78" s="284">
        <f>MCF!R77</f>
        <v>0.8</v>
      </c>
      <c r="R78" s="67">
        <f t="shared" si="13"/>
        <v>0</v>
      </c>
      <c r="S78" s="67">
        <f t="shared" si="7"/>
        <v>0</v>
      </c>
      <c r="T78" s="67">
        <f t="shared" si="8"/>
        <v>0</v>
      </c>
      <c r="U78" s="67">
        <f t="shared" si="9"/>
        <v>0.29375130151756701</v>
      </c>
      <c r="V78" s="67">
        <f t="shared" si="10"/>
        <v>2.1299372614097728E-2</v>
      </c>
      <c r="W78" s="100">
        <f t="shared" si="11"/>
        <v>1.4199581742731818E-2</v>
      </c>
    </row>
    <row r="79" spans="2:23">
      <c r="B79" s="96">
        <f>Amnt_Deposited!B74</f>
        <v>2060</v>
      </c>
      <c r="C79" s="99">
        <f>Amnt_Deposited!D74</f>
        <v>0</v>
      </c>
      <c r="D79" s="418">
        <f>Dry_Matter_Content!D66</f>
        <v>0.44</v>
      </c>
      <c r="E79" s="284">
        <f>MCF!R78</f>
        <v>0.8</v>
      </c>
      <c r="F79" s="67">
        <f t="shared" si="12"/>
        <v>0</v>
      </c>
      <c r="G79" s="67">
        <f t="shared" si="1"/>
        <v>0</v>
      </c>
      <c r="H79" s="67">
        <f t="shared" si="2"/>
        <v>0</v>
      </c>
      <c r="I79" s="67">
        <f t="shared" si="3"/>
        <v>0.13256367869216509</v>
      </c>
      <c r="J79" s="67">
        <f t="shared" si="4"/>
        <v>9.6119512423372151E-3</v>
      </c>
      <c r="K79" s="100">
        <f t="shared" si="6"/>
        <v>6.4079674948914764E-3</v>
      </c>
      <c r="O79" s="96">
        <f>Amnt_Deposited!B74</f>
        <v>2060</v>
      </c>
      <c r="P79" s="99">
        <f>Amnt_Deposited!D74</f>
        <v>0</v>
      </c>
      <c r="Q79" s="284">
        <f>MCF!R78</f>
        <v>0.8</v>
      </c>
      <c r="R79" s="67">
        <f t="shared" si="13"/>
        <v>0</v>
      </c>
      <c r="S79" s="67">
        <f t="shared" si="7"/>
        <v>0</v>
      </c>
      <c r="T79" s="67">
        <f t="shared" si="8"/>
        <v>0</v>
      </c>
      <c r="U79" s="67">
        <f t="shared" si="9"/>
        <v>0.27389189812430831</v>
      </c>
      <c r="V79" s="67">
        <f t="shared" si="10"/>
        <v>1.9859403393258725E-2</v>
      </c>
      <c r="W79" s="100">
        <f t="shared" si="11"/>
        <v>1.3239602262172483E-2</v>
      </c>
    </row>
    <row r="80" spans="2:23">
      <c r="B80" s="96">
        <f>Amnt_Deposited!B75</f>
        <v>2061</v>
      </c>
      <c r="C80" s="99">
        <f>Amnt_Deposited!D75</f>
        <v>0</v>
      </c>
      <c r="D80" s="418">
        <f>Dry_Matter_Content!D67</f>
        <v>0.44</v>
      </c>
      <c r="E80" s="284">
        <f>MCF!R79</f>
        <v>0.8</v>
      </c>
      <c r="F80" s="67">
        <f t="shared" si="12"/>
        <v>0</v>
      </c>
      <c r="G80" s="67">
        <f t="shared" si="1"/>
        <v>0</v>
      </c>
      <c r="H80" s="67">
        <f t="shared" si="2"/>
        <v>0</v>
      </c>
      <c r="I80" s="67">
        <f t="shared" si="3"/>
        <v>0.12360155475657257</v>
      </c>
      <c r="J80" s="67">
        <f t="shared" si="4"/>
        <v>8.9621239355925208E-3</v>
      </c>
      <c r="K80" s="100">
        <f t="shared" si="6"/>
        <v>5.9747492903950133E-3</v>
      </c>
      <c r="O80" s="96">
        <f>Amnt_Deposited!B75</f>
        <v>2061</v>
      </c>
      <c r="P80" s="99">
        <f>Amnt_Deposited!D75</f>
        <v>0</v>
      </c>
      <c r="Q80" s="284">
        <f>MCF!R79</f>
        <v>0.8</v>
      </c>
      <c r="R80" s="67">
        <f t="shared" si="13"/>
        <v>0</v>
      </c>
      <c r="S80" s="67">
        <f t="shared" si="7"/>
        <v>0</v>
      </c>
      <c r="T80" s="67">
        <f t="shared" si="8"/>
        <v>0</v>
      </c>
      <c r="U80" s="67">
        <f t="shared" si="9"/>
        <v>0.25537511313341466</v>
      </c>
      <c r="V80" s="67">
        <f t="shared" si="10"/>
        <v>1.8516784990893657E-2</v>
      </c>
      <c r="W80" s="100">
        <f t="shared" si="11"/>
        <v>1.2344523327262437E-2</v>
      </c>
    </row>
    <row r="81" spans="2:23">
      <c r="B81" s="96">
        <f>Amnt_Deposited!B76</f>
        <v>2062</v>
      </c>
      <c r="C81" s="99">
        <f>Amnt_Deposited!D76</f>
        <v>0</v>
      </c>
      <c r="D81" s="418">
        <f>Dry_Matter_Content!D68</f>
        <v>0.44</v>
      </c>
      <c r="E81" s="284">
        <f>MCF!R80</f>
        <v>0.8</v>
      </c>
      <c r="F81" s="67">
        <f t="shared" si="12"/>
        <v>0</v>
      </c>
      <c r="G81" s="67">
        <f t="shared" si="1"/>
        <v>0</v>
      </c>
      <c r="H81" s="67">
        <f t="shared" si="2"/>
        <v>0</v>
      </c>
      <c r="I81" s="67">
        <f t="shared" si="3"/>
        <v>0.11524532578579492</v>
      </c>
      <c r="J81" s="67">
        <f t="shared" si="4"/>
        <v>8.3562289707776408E-3</v>
      </c>
      <c r="K81" s="100">
        <f t="shared" si="6"/>
        <v>5.57081931385176E-3</v>
      </c>
      <c r="O81" s="96">
        <f>Amnt_Deposited!B76</f>
        <v>2062</v>
      </c>
      <c r="P81" s="99">
        <f>Amnt_Deposited!D76</f>
        <v>0</v>
      </c>
      <c r="Q81" s="284">
        <f>MCF!R80</f>
        <v>0.8</v>
      </c>
      <c r="R81" s="67">
        <f t="shared" si="13"/>
        <v>0</v>
      </c>
      <c r="S81" s="67">
        <f t="shared" si="7"/>
        <v>0</v>
      </c>
      <c r="T81" s="67">
        <f t="shared" si="8"/>
        <v>0</v>
      </c>
      <c r="U81" s="67">
        <f t="shared" si="9"/>
        <v>0.23811017724337818</v>
      </c>
      <c r="V81" s="67">
        <f t="shared" si="10"/>
        <v>1.7264935890036467E-2</v>
      </c>
      <c r="W81" s="100">
        <f t="shared" si="11"/>
        <v>1.1509957260024311E-2</v>
      </c>
    </row>
    <row r="82" spans="2:23">
      <c r="B82" s="96">
        <f>Amnt_Deposited!B77</f>
        <v>2063</v>
      </c>
      <c r="C82" s="99">
        <f>Amnt_Deposited!D77</f>
        <v>0</v>
      </c>
      <c r="D82" s="418">
        <f>Dry_Matter_Content!D69</f>
        <v>0.44</v>
      </c>
      <c r="E82" s="284">
        <f>MCF!R81</f>
        <v>0.8</v>
      </c>
      <c r="F82" s="67">
        <f t="shared" si="12"/>
        <v>0</v>
      </c>
      <c r="G82" s="67">
        <f t="shared" si="1"/>
        <v>0</v>
      </c>
      <c r="H82" s="67">
        <f t="shared" si="2"/>
        <v>0</v>
      </c>
      <c r="I82" s="67">
        <f t="shared" si="3"/>
        <v>0.10745402953572281</v>
      </c>
      <c r="J82" s="67">
        <f t="shared" si="4"/>
        <v>7.7912962500721154E-3</v>
      </c>
      <c r="K82" s="100">
        <f t="shared" si="6"/>
        <v>5.194197500048077E-3</v>
      </c>
      <c r="O82" s="96">
        <f>Amnt_Deposited!B77</f>
        <v>2063</v>
      </c>
      <c r="P82" s="99">
        <f>Amnt_Deposited!D77</f>
        <v>0</v>
      </c>
      <c r="Q82" s="284">
        <f>MCF!R81</f>
        <v>0.8</v>
      </c>
      <c r="R82" s="67">
        <f t="shared" si="13"/>
        <v>0</v>
      </c>
      <c r="S82" s="67">
        <f t="shared" si="7"/>
        <v>0</v>
      </c>
      <c r="T82" s="67">
        <f t="shared" si="8"/>
        <v>0</v>
      </c>
      <c r="U82" s="67">
        <f t="shared" si="9"/>
        <v>0.22201245771843578</v>
      </c>
      <c r="V82" s="67">
        <f t="shared" si="10"/>
        <v>1.6097719524942402E-2</v>
      </c>
      <c r="W82" s="100">
        <f t="shared" si="11"/>
        <v>1.0731813016628268E-2</v>
      </c>
    </row>
    <row r="83" spans="2:23">
      <c r="B83" s="96">
        <f>Amnt_Deposited!B78</f>
        <v>2064</v>
      </c>
      <c r="C83" s="99">
        <f>Amnt_Deposited!D78</f>
        <v>0</v>
      </c>
      <c r="D83" s="418">
        <f>Dry_Matter_Content!D70</f>
        <v>0.44</v>
      </c>
      <c r="E83" s="284">
        <f>MCF!R82</f>
        <v>0.8</v>
      </c>
      <c r="F83" s="67">
        <f t="shared" ref="F83:F99" si="14">C83*D83*$K$6*DOCF*E83</f>
        <v>0</v>
      </c>
      <c r="G83" s="67">
        <f t="shared" ref="G83:G99" si="15">F83*$K$12</f>
        <v>0</v>
      </c>
      <c r="H83" s="67">
        <f t="shared" ref="H83:H99" si="16">F83*(1-$K$12)</f>
        <v>0</v>
      </c>
      <c r="I83" s="67">
        <f t="shared" ref="I83:I99" si="17">G83+I82*$K$10</f>
        <v>0.10018947306309918</v>
      </c>
      <c r="J83" s="67">
        <f t="shared" ref="J83:J99" si="18">I82*(1-$K$10)+H83</f>
        <v>7.2645564726236296E-3</v>
      </c>
      <c r="K83" s="100">
        <f t="shared" si="6"/>
        <v>4.8430376484157531E-3</v>
      </c>
      <c r="O83" s="96">
        <f>Amnt_Deposited!B78</f>
        <v>2064</v>
      </c>
      <c r="P83" s="99">
        <f>Amnt_Deposited!D78</f>
        <v>0</v>
      </c>
      <c r="Q83" s="284">
        <f>MCF!R82</f>
        <v>0.8</v>
      </c>
      <c r="R83" s="67">
        <f t="shared" ref="R83:R99" si="19">P83*$W$6*DOCF*Q83</f>
        <v>0</v>
      </c>
      <c r="S83" s="67">
        <f t="shared" si="7"/>
        <v>0</v>
      </c>
      <c r="T83" s="67">
        <f t="shared" si="8"/>
        <v>0</v>
      </c>
      <c r="U83" s="67">
        <f t="shared" si="9"/>
        <v>0.20700304351880017</v>
      </c>
      <c r="V83" s="67">
        <f t="shared" si="10"/>
        <v>1.5009414199635614E-2</v>
      </c>
      <c r="W83" s="100">
        <f t="shared" si="11"/>
        <v>1.0006276133090408E-2</v>
      </c>
    </row>
    <row r="84" spans="2:23">
      <c r="B84" s="96">
        <f>Amnt_Deposited!B79</f>
        <v>2065</v>
      </c>
      <c r="C84" s="99">
        <f>Amnt_Deposited!D79</f>
        <v>0</v>
      </c>
      <c r="D84" s="418">
        <f>Dry_Matter_Content!D71</f>
        <v>0.44</v>
      </c>
      <c r="E84" s="284">
        <f>MCF!R83</f>
        <v>0.8</v>
      </c>
      <c r="F84" s="67">
        <f t="shared" si="14"/>
        <v>0</v>
      </c>
      <c r="G84" s="67">
        <f t="shared" si="15"/>
        <v>0</v>
      </c>
      <c r="H84" s="67">
        <f t="shared" si="16"/>
        <v>0</v>
      </c>
      <c r="I84" s="67">
        <f t="shared" si="17"/>
        <v>9.3416045503667153E-2</v>
      </c>
      <c r="J84" s="67">
        <f t="shared" si="18"/>
        <v>6.773427559432027E-3</v>
      </c>
      <c r="K84" s="100">
        <f t="shared" si="6"/>
        <v>4.5156183729546844E-3</v>
      </c>
      <c r="O84" s="96">
        <f>Amnt_Deposited!B79</f>
        <v>2065</v>
      </c>
      <c r="P84" s="99">
        <f>Amnt_Deposited!D79</f>
        <v>0</v>
      </c>
      <c r="Q84" s="284">
        <f>MCF!R83</f>
        <v>0.8</v>
      </c>
      <c r="R84" s="67">
        <f t="shared" si="19"/>
        <v>0</v>
      </c>
      <c r="S84" s="67">
        <f t="shared" si="7"/>
        <v>0</v>
      </c>
      <c r="T84" s="67">
        <f t="shared" si="8"/>
        <v>0</v>
      </c>
      <c r="U84" s="67">
        <f t="shared" si="9"/>
        <v>0.19300835847865133</v>
      </c>
      <c r="V84" s="67">
        <f t="shared" si="10"/>
        <v>1.3994685040148832E-2</v>
      </c>
      <c r="W84" s="100">
        <f t="shared" si="11"/>
        <v>9.3297900267658874E-3</v>
      </c>
    </row>
    <row r="85" spans="2:23">
      <c r="B85" s="96">
        <f>Amnt_Deposited!B80</f>
        <v>2066</v>
      </c>
      <c r="C85" s="99">
        <f>Amnt_Deposited!D80</f>
        <v>0</v>
      </c>
      <c r="D85" s="418">
        <f>Dry_Matter_Content!D72</f>
        <v>0.44</v>
      </c>
      <c r="E85" s="284">
        <f>MCF!R84</f>
        <v>0.8</v>
      </c>
      <c r="F85" s="67">
        <f t="shared" si="14"/>
        <v>0</v>
      </c>
      <c r="G85" s="67">
        <f t="shared" si="15"/>
        <v>0</v>
      </c>
      <c r="H85" s="67">
        <f t="shared" si="16"/>
        <v>0</v>
      </c>
      <c r="I85" s="67">
        <f t="shared" si="17"/>
        <v>8.7100543507672101E-2</v>
      </c>
      <c r="J85" s="67">
        <f t="shared" si="18"/>
        <v>6.3155019959950523E-3</v>
      </c>
      <c r="K85" s="100">
        <f t="shared" ref="K85:K99" si="20">J85*CH4_fraction*conv</f>
        <v>4.210334663996701E-3</v>
      </c>
      <c r="O85" s="96">
        <f>Amnt_Deposited!B80</f>
        <v>2066</v>
      </c>
      <c r="P85" s="99">
        <f>Amnt_Deposited!D80</f>
        <v>0</v>
      </c>
      <c r="Q85" s="284">
        <f>MCF!R84</f>
        <v>0.8</v>
      </c>
      <c r="R85" s="67">
        <f t="shared" si="19"/>
        <v>0</v>
      </c>
      <c r="S85" s="67">
        <f t="shared" ref="S85:S98" si="21">R85*$W$12</f>
        <v>0</v>
      </c>
      <c r="T85" s="67">
        <f t="shared" ref="T85:T98" si="22">R85*(1-$W$12)</f>
        <v>0</v>
      </c>
      <c r="U85" s="67">
        <f t="shared" ref="U85:U98" si="23">S85+U84*$W$10</f>
        <v>0.17995980063568634</v>
      </c>
      <c r="V85" s="67">
        <f t="shared" ref="V85:V98" si="24">U84*(1-$W$10)+T85</f>
        <v>1.3048557842964997E-2</v>
      </c>
      <c r="W85" s="100">
        <f t="shared" ref="W85:W99" si="25">V85*CH4_fraction*conv</f>
        <v>8.6990385619766641E-3</v>
      </c>
    </row>
    <row r="86" spans="2:23">
      <c r="B86" s="96">
        <f>Amnt_Deposited!B81</f>
        <v>2067</v>
      </c>
      <c r="C86" s="99">
        <f>Amnt_Deposited!D81</f>
        <v>0</v>
      </c>
      <c r="D86" s="418">
        <f>Dry_Matter_Content!D73</f>
        <v>0.44</v>
      </c>
      <c r="E86" s="284">
        <f>MCF!R85</f>
        <v>0.8</v>
      </c>
      <c r="F86" s="67">
        <f t="shared" si="14"/>
        <v>0</v>
      </c>
      <c r="G86" s="67">
        <f t="shared" si="15"/>
        <v>0</v>
      </c>
      <c r="H86" s="67">
        <f t="shared" si="16"/>
        <v>0</v>
      </c>
      <c r="I86" s="67">
        <f t="shared" si="17"/>
        <v>8.1212008477002634E-2</v>
      </c>
      <c r="J86" s="67">
        <f t="shared" si="18"/>
        <v>5.8885350306694681E-3</v>
      </c>
      <c r="K86" s="100">
        <f t="shared" si="20"/>
        <v>3.9256900204463121E-3</v>
      </c>
      <c r="O86" s="96">
        <f>Amnt_Deposited!B81</f>
        <v>2067</v>
      </c>
      <c r="P86" s="99">
        <f>Amnt_Deposited!D81</f>
        <v>0</v>
      </c>
      <c r="Q86" s="284">
        <f>MCF!R85</f>
        <v>0.8</v>
      </c>
      <c r="R86" s="67">
        <f t="shared" si="19"/>
        <v>0</v>
      </c>
      <c r="S86" s="67">
        <f t="shared" si="21"/>
        <v>0</v>
      </c>
      <c r="T86" s="67">
        <f t="shared" si="22"/>
        <v>0</v>
      </c>
      <c r="U86" s="67">
        <f t="shared" si="23"/>
        <v>0.16779340594422049</v>
      </c>
      <c r="V86" s="67">
        <f t="shared" si="24"/>
        <v>1.2166394691465856E-2</v>
      </c>
      <c r="W86" s="100">
        <f t="shared" si="25"/>
        <v>8.1109297943105698E-3</v>
      </c>
    </row>
    <row r="87" spans="2:23">
      <c r="B87" s="96">
        <f>Amnt_Deposited!B82</f>
        <v>2068</v>
      </c>
      <c r="C87" s="99">
        <f>Amnt_Deposited!D82</f>
        <v>0</v>
      </c>
      <c r="D87" s="418">
        <f>Dry_Matter_Content!D74</f>
        <v>0.44</v>
      </c>
      <c r="E87" s="284">
        <f>MCF!R86</f>
        <v>0.8</v>
      </c>
      <c r="F87" s="67">
        <f t="shared" si="14"/>
        <v>0</v>
      </c>
      <c r="G87" s="67">
        <f t="shared" si="15"/>
        <v>0</v>
      </c>
      <c r="H87" s="67">
        <f t="shared" si="16"/>
        <v>0</v>
      </c>
      <c r="I87" s="67">
        <f t="shared" si="17"/>
        <v>7.5721574806106737E-2</v>
      </c>
      <c r="J87" s="67">
        <f t="shared" si="18"/>
        <v>5.4904336708958956E-3</v>
      </c>
      <c r="K87" s="100">
        <f t="shared" si="20"/>
        <v>3.6602891139305969E-3</v>
      </c>
      <c r="O87" s="96">
        <f>Amnt_Deposited!B82</f>
        <v>2068</v>
      </c>
      <c r="P87" s="99">
        <f>Amnt_Deposited!D82</f>
        <v>0</v>
      </c>
      <c r="Q87" s="284">
        <f>MCF!R86</f>
        <v>0.8</v>
      </c>
      <c r="R87" s="67">
        <f t="shared" si="19"/>
        <v>0</v>
      </c>
      <c r="S87" s="67">
        <f t="shared" si="21"/>
        <v>0</v>
      </c>
      <c r="T87" s="67">
        <f t="shared" si="22"/>
        <v>0</v>
      </c>
      <c r="U87" s="67">
        <f t="shared" si="23"/>
        <v>0.15644953472336118</v>
      </c>
      <c r="V87" s="67">
        <f t="shared" si="24"/>
        <v>1.13438712208593E-2</v>
      </c>
      <c r="W87" s="100">
        <f t="shared" si="25"/>
        <v>7.5625808139061996E-3</v>
      </c>
    </row>
    <row r="88" spans="2:23">
      <c r="B88" s="96">
        <f>Amnt_Deposited!B83</f>
        <v>2069</v>
      </c>
      <c r="C88" s="99">
        <f>Amnt_Deposited!D83</f>
        <v>0</v>
      </c>
      <c r="D88" s="418">
        <f>Dry_Matter_Content!D75</f>
        <v>0.44</v>
      </c>
      <c r="E88" s="284">
        <f>MCF!R87</f>
        <v>0.8</v>
      </c>
      <c r="F88" s="67">
        <f t="shared" si="14"/>
        <v>0</v>
      </c>
      <c r="G88" s="67">
        <f t="shared" si="15"/>
        <v>0</v>
      </c>
      <c r="H88" s="67">
        <f t="shared" si="16"/>
        <v>0</v>
      </c>
      <c r="I88" s="67">
        <f t="shared" si="17"/>
        <v>7.0602328382759871E-2</v>
      </c>
      <c r="J88" s="67">
        <f t="shared" si="18"/>
        <v>5.1192464233468619E-3</v>
      </c>
      <c r="K88" s="100">
        <f t="shared" si="20"/>
        <v>3.4128309488979077E-3</v>
      </c>
      <c r="O88" s="96">
        <f>Amnt_Deposited!B83</f>
        <v>2069</v>
      </c>
      <c r="P88" s="99">
        <f>Amnt_Deposited!D83</f>
        <v>0</v>
      </c>
      <c r="Q88" s="284">
        <f>MCF!R87</f>
        <v>0.8</v>
      </c>
      <c r="R88" s="67">
        <f t="shared" si="19"/>
        <v>0</v>
      </c>
      <c r="S88" s="67">
        <f t="shared" si="21"/>
        <v>0</v>
      </c>
      <c r="T88" s="67">
        <f t="shared" si="22"/>
        <v>0</v>
      </c>
      <c r="U88" s="67">
        <f t="shared" si="23"/>
        <v>0.14587257930322303</v>
      </c>
      <c r="V88" s="67">
        <f t="shared" si="24"/>
        <v>1.0576955420138154E-2</v>
      </c>
      <c r="W88" s="100">
        <f t="shared" si="25"/>
        <v>7.0513036134254355E-3</v>
      </c>
    </row>
    <row r="89" spans="2:23">
      <c r="B89" s="96">
        <f>Amnt_Deposited!B84</f>
        <v>2070</v>
      </c>
      <c r="C89" s="99">
        <f>Amnt_Deposited!D84</f>
        <v>0</v>
      </c>
      <c r="D89" s="418">
        <f>Dry_Matter_Content!D76</f>
        <v>0.44</v>
      </c>
      <c r="E89" s="284">
        <f>MCF!R88</f>
        <v>0.8</v>
      </c>
      <c r="F89" s="67">
        <f t="shared" si="14"/>
        <v>0</v>
      </c>
      <c r="G89" s="67">
        <f t="shared" si="15"/>
        <v>0</v>
      </c>
      <c r="H89" s="67">
        <f t="shared" si="16"/>
        <v>0</v>
      </c>
      <c r="I89" s="67">
        <f t="shared" si="17"/>
        <v>6.5829174655055625E-2</v>
      </c>
      <c r="J89" s="67">
        <f t="shared" si="18"/>
        <v>4.7731537277042437E-3</v>
      </c>
      <c r="K89" s="100">
        <f t="shared" si="20"/>
        <v>3.1821024851361622E-3</v>
      </c>
      <c r="O89" s="96">
        <f>Amnt_Deposited!B84</f>
        <v>2070</v>
      </c>
      <c r="P89" s="99">
        <f>Amnt_Deposited!D84</f>
        <v>0</v>
      </c>
      <c r="Q89" s="284">
        <f>MCF!R88</f>
        <v>0.8</v>
      </c>
      <c r="R89" s="67">
        <f t="shared" si="19"/>
        <v>0</v>
      </c>
      <c r="S89" s="67">
        <f t="shared" si="21"/>
        <v>0</v>
      </c>
      <c r="T89" s="67">
        <f t="shared" si="22"/>
        <v>0</v>
      </c>
      <c r="U89" s="67">
        <f t="shared" si="23"/>
        <v>0.13601069143606551</v>
      </c>
      <c r="V89" s="67">
        <f t="shared" si="24"/>
        <v>9.8618878671575382E-3</v>
      </c>
      <c r="W89" s="100">
        <f t="shared" si="25"/>
        <v>6.5745919114383582E-3</v>
      </c>
    </row>
    <row r="90" spans="2:23">
      <c r="B90" s="96">
        <f>Amnt_Deposited!B85</f>
        <v>2071</v>
      </c>
      <c r="C90" s="99">
        <f>Amnt_Deposited!D85</f>
        <v>0</v>
      </c>
      <c r="D90" s="418">
        <f>Dry_Matter_Content!D77</f>
        <v>0.44</v>
      </c>
      <c r="E90" s="284">
        <f>MCF!R89</f>
        <v>0.8</v>
      </c>
      <c r="F90" s="67">
        <f t="shared" si="14"/>
        <v>0</v>
      </c>
      <c r="G90" s="67">
        <f t="shared" si="15"/>
        <v>0</v>
      </c>
      <c r="H90" s="67">
        <f t="shared" si="16"/>
        <v>0</v>
      </c>
      <c r="I90" s="67">
        <f t="shared" si="17"/>
        <v>6.1378715617883148E-2</v>
      </c>
      <c r="J90" s="67">
        <f t="shared" si="18"/>
        <v>4.4504590371724764E-3</v>
      </c>
      <c r="K90" s="100">
        <f t="shared" si="20"/>
        <v>2.9669726914483175E-3</v>
      </c>
      <c r="O90" s="96">
        <f>Amnt_Deposited!B85</f>
        <v>2071</v>
      </c>
      <c r="P90" s="99">
        <f>Amnt_Deposited!D85</f>
        <v>0</v>
      </c>
      <c r="Q90" s="284">
        <f>MCF!R89</f>
        <v>0.8</v>
      </c>
      <c r="R90" s="67">
        <f t="shared" si="19"/>
        <v>0</v>
      </c>
      <c r="S90" s="67">
        <f t="shared" si="21"/>
        <v>0</v>
      </c>
      <c r="T90" s="67">
        <f t="shared" si="22"/>
        <v>0</v>
      </c>
      <c r="U90" s="67">
        <f t="shared" si="23"/>
        <v>0.12681552813612237</v>
      </c>
      <c r="V90" s="67">
        <f t="shared" si="24"/>
        <v>9.1951632999431442E-3</v>
      </c>
      <c r="W90" s="100">
        <f t="shared" si="25"/>
        <v>6.1301088666287622E-3</v>
      </c>
    </row>
    <row r="91" spans="2:23">
      <c r="B91" s="96">
        <f>Amnt_Deposited!B86</f>
        <v>2072</v>
      </c>
      <c r="C91" s="99">
        <f>Amnt_Deposited!D86</f>
        <v>0</v>
      </c>
      <c r="D91" s="418">
        <f>Dry_Matter_Content!D78</f>
        <v>0.44</v>
      </c>
      <c r="E91" s="284">
        <f>MCF!R90</f>
        <v>0.8</v>
      </c>
      <c r="F91" s="67">
        <f t="shared" si="14"/>
        <v>0</v>
      </c>
      <c r="G91" s="67">
        <f t="shared" si="15"/>
        <v>0</v>
      </c>
      <c r="H91" s="67">
        <f t="shared" si="16"/>
        <v>0</v>
      </c>
      <c r="I91" s="67">
        <f t="shared" si="17"/>
        <v>5.7229135115878953E-2</v>
      </c>
      <c r="J91" s="67">
        <f t="shared" si="18"/>
        <v>4.1495805020041934E-3</v>
      </c>
      <c r="K91" s="100">
        <f t="shared" si="20"/>
        <v>2.7663870013361286E-3</v>
      </c>
      <c r="O91" s="96">
        <f>Amnt_Deposited!B86</f>
        <v>2072</v>
      </c>
      <c r="P91" s="99">
        <f>Amnt_Deposited!D86</f>
        <v>0</v>
      </c>
      <c r="Q91" s="284">
        <f>MCF!R90</f>
        <v>0.8</v>
      </c>
      <c r="R91" s="67">
        <f t="shared" si="19"/>
        <v>0</v>
      </c>
      <c r="S91" s="67">
        <f t="shared" si="21"/>
        <v>0</v>
      </c>
      <c r="T91" s="67">
        <f t="shared" si="22"/>
        <v>0</v>
      </c>
      <c r="U91" s="67">
        <f t="shared" si="23"/>
        <v>0.11824201470222941</v>
      </c>
      <c r="V91" s="67">
        <f t="shared" si="24"/>
        <v>8.5735134338929733E-3</v>
      </c>
      <c r="W91" s="100">
        <f t="shared" si="25"/>
        <v>5.7156756225953155E-3</v>
      </c>
    </row>
    <row r="92" spans="2:23">
      <c r="B92" s="96">
        <f>Amnt_Deposited!B87</f>
        <v>2073</v>
      </c>
      <c r="C92" s="99">
        <f>Amnt_Deposited!D87</f>
        <v>0</v>
      </c>
      <c r="D92" s="418">
        <f>Dry_Matter_Content!D79</f>
        <v>0.44</v>
      </c>
      <c r="E92" s="284">
        <f>MCF!R91</f>
        <v>0.8</v>
      </c>
      <c r="F92" s="67">
        <f t="shared" si="14"/>
        <v>0</v>
      </c>
      <c r="G92" s="67">
        <f t="shared" si="15"/>
        <v>0</v>
      </c>
      <c r="H92" s="67">
        <f t="shared" si="16"/>
        <v>0</v>
      </c>
      <c r="I92" s="67">
        <f t="shared" si="17"/>
        <v>5.3360091900608017E-2</v>
      </c>
      <c r="J92" s="67">
        <f t="shared" si="18"/>
        <v>3.8690432152709321E-3</v>
      </c>
      <c r="K92" s="100">
        <f t="shared" si="20"/>
        <v>2.5793621435139546E-3</v>
      </c>
      <c r="O92" s="96">
        <f>Amnt_Deposited!B87</f>
        <v>2073</v>
      </c>
      <c r="P92" s="99">
        <f>Amnt_Deposited!D87</f>
        <v>0</v>
      </c>
      <c r="Q92" s="284">
        <f>MCF!R91</f>
        <v>0.8</v>
      </c>
      <c r="R92" s="67">
        <f t="shared" si="19"/>
        <v>0</v>
      </c>
      <c r="S92" s="67">
        <f t="shared" si="21"/>
        <v>0</v>
      </c>
      <c r="T92" s="67">
        <f t="shared" si="22"/>
        <v>0</v>
      </c>
      <c r="U92" s="67">
        <f t="shared" si="23"/>
        <v>0.11024812376158698</v>
      </c>
      <c r="V92" s="67">
        <f t="shared" si="24"/>
        <v>7.9938909406424338E-3</v>
      </c>
      <c r="W92" s="100">
        <f t="shared" si="25"/>
        <v>5.3292606270949556E-3</v>
      </c>
    </row>
    <row r="93" spans="2:23">
      <c r="B93" s="96">
        <f>Amnt_Deposited!B88</f>
        <v>2074</v>
      </c>
      <c r="C93" s="99">
        <f>Amnt_Deposited!D88</f>
        <v>0</v>
      </c>
      <c r="D93" s="418">
        <f>Dry_Matter_Content!D80</f>
        <v>0.44</v>
      </c>
      <c r="E93" s="284">
        <f>MCF!R92</f>
        <v>0.8</v>
      </c>
      <c r="F93" s="67">
        <f t="shared" si="14"/>
        <v>0</v>
      </c>
      <c r="G93" s="67">
        <f t="shared" si="15"/>
        <v>0</v>
      </c>
      <c r="H93" s="67">
        <f t="shared" si="16"/>
        <v>0</v>
      </c>
      <c r="I93" s="67">
        <f t="shared" si="17"/>
        <v>4.9752619917740361E-2</v>
      </c>
      <c r="J93" s="67">
        <f t="shared" si="18"/>
        <v>3.6074719828676563E-3</v>
      </c>
      <c r="K93" s="100">
        <f t="shared" si="20"/>
        <v>2.4049813219117707E-3</v>
      </c>
      <c r="O93" s="96">
        <f>Amnt_Deposited!B88</f>
        <v>2074</v>
      </c>
      <c r="P93" s="99">
        <f>Amnt_Deposited!D88</f>
        <v>0</v>
      </c>
      <c r="Q93" s="284">
        <f>MCF!R92</f>
        <v>0.8</v>
      </c>
      <c r="R93" s="67">
        <f t="shared" si="19"/>
        <v>0</v>
      </c>
      <c r="S93" s="67">
        <f t="shared" si="21"/>
        <v>0</v>
      </c>
      <c r="T93" s="67">
        <f t="shared" si="22"/>
        <v>0</v>
      </c>
      <c r="U93" s="67">
        <f t="shared" si="23"/>
        <v>0.10279466925152983</v>
      </c>
      <c r="V93" s="67">
        <f t="shared" si="24"/>
        <v>7.4534545100571527E-3</v>
      </c>
      <c r="W93" s="100">
        <f t="shared" si="25"/>
        <v>4.9689696733714352E-3</v>
      </c>
    </row>
    <row r="94" spans="2:23">
      <c r="B94" s="96">
        <f>Amnt_Deposited!B89</f>
        <v>2075</v>
      </c>
      <c r="C94" s="99">
        <f>Amnt_Deposited!D89</f>
        <v>0</v>
      </c>
      <c r="D94" s="418">
        <f>Dry_Matter_Content!D81</f>
        <v>0.44</v>
      </c>
      <c r="E94" s="284">
        <f>MCF!R93</f>
        <v>0.8</v>
      </c>
      <c r="F94" s="67">
        <f t="shared" si="14"/>
        <v>0</v>
      </c>
      <c r="G94" s="67">
        <f t="shared" si="15"/>
        <v>0</v>
      </c>
      <c r="H94" s="67">
        <f t="shared" si="16"/>
        <v>0</v>
      </c>
      <c r="I94" s="67">
        <f t="shared" si="17"/>
        <v>4.6389035335430699E-2</v>
      </c>
      <c r="J94" s="67">
        <f t="shared" si="18"/>
        <v>3.3635845823096599E-3</v>
      </c>
      <c r="K94" s="100">
        <f t="shared" si="20"/>
        <v>2.2423897215397733E-3</v>
      </c>
      <c r="O94" s="96">
        <f>Amnt_Deposited!B89</f>
        <v>2075</v>
      </c>
      <c r="P94" s="99">
        <f>Amnt_Deposited!D89</f>
        <v>0</v>
      </c>
      <c r="Q94" s="284">
        <f>MCF!R93</f>
        <v>0.8</v>
      </c>
      <c r="R94" s="67">
        <f t="shared" si="19"/>
        <v>0</v>
      </c>
      <c r="S94" s="67">
        <f t="shared" si="21"/>
        <v>0</v>
      </c>
      <c r="T94" s="67">
        <f t="shared" si="22"/>
        <v>0</v>
      </c>
      <c r="U94" s="67">
        <f t="shared" si="23"/>
        <v>9.5845114329402417E-2</v>
      </c>
      <c r="V94" s="67">
        <f t="shared" si="24"/>
        <v>6.9495549221274067E-3</v>
      </c>
      <c r="W94" s="100">
        <f t="shared" si="25"/>
        <v>4.6330366147516039E-3</v>
      </c>
    </row>
    <row r="95" spans="2:23">
      <c r="B95" s="96">
        <f>Amnt_Deposited!B90</f>
        <v>2076</v>
      </c>
      <c r="C95" s="99">
        <f>Amnt_Deposited!D90</f>
        <v>0</v>
      </c>
      <c r="D95" s="418">
        <f>Dry_Matter_Content!D82</f>
        <v>0.44</v>
      </c>
      <c r="E95" s="284">
        <f>MCF!R94</f>
        <v>0.8</v>
      </c>
      <c r="F95" s="67">
        <f t="shared" si="14"/>
        <v>0</v>
      </c>
      <c r="G95" s="67">
        <f t="shared" si="15"/>
        <v>0</v>
      </c>
      <c r="H95" s="67">
        <f t="shared" si="16"/>
        <v>0</v>
      </c>
      <c r="I95" s="67">
        <f t="shared" si="17"/>
        <v>4.3252849858154245E-2</v>
      </c>
      <c r="J95" s="67">
        <f t="shared" si="18"/>
        <v>3.1361854772764572E-3</v>
      </c>
      <c r="K95" s="100">
        <f t="shared" si="20"/>
        <v>2.0907903181843048E-3</v>
      </c>
      <c r="O95" s="96">
        <f>Amnt_Deposited!B90</f>
        <v>2076</v>
      </c>
      <c r="P95" s="99">
        <f>Amnt_Deposited!D90</f>
        <v>0</v>
      </c>
      <c r="Q95" s="284">
        <f>MCF!R94</f>
        <v>0.8</v>
      </c>
      <c r="R95" s="67">
        <f t="shared" si="19"/>
        <v>0</v>
      </c>
      <c r="S95" s="67">
        <f t="shared" si="21"/>
        <v>0</v>
      </c>
      <c r="T95" s="67">
        <f t="shared" si="22"/>
        <v>0</v>
      </c>
      <c r="U95" s="67">
        <f t="shared" si="23"/>
        <v>8.9365392268913865E-2</v>
      </c>
      <c r="V95" s="67">
        <f t="shared" si="24"/>
        <v>6.479722060488558E-3</v>
      </c>
      <c r="W95" s="100">
        <f t="shared" si="25"/>
        <v>4.3198147069923717E-3</v>
      </c>
    </row>
    <row r="96" spans="2:23">
      <c r="B96" s="96">
        <f>Amnt_Deposited!B91</f>
        <v>2077</v>
      </c>
      <c r="C96" s="99">
        <f>Amnt_Deposited!D91</f>
        <v>0</v>
      </c>
      <c r="D96" s="418">
        <f>Dry_Matter_Content!D83</f>
        <v>0.44</v>
      </c>
      <c r="E96" s="284">
        <f>MCF!R95</f>
        <v>0.8</v>
      </c>
      <c r="F96" s="67">
        <f t="shared" si="14"/>
        <v>0</v>
      </c>
      <c r="G96" s="67">
        <f t="shared" si="15"/>
        <v>0</v>
      </c>
      <c r="H96" s="67">
        <f t="shared" si="16"/>
        <v>0</v>
      </c>
      <c r="I96" s="67">
        <f t="shared" si="17"/>
        <v>4.0328689901062892E-2</v>
      </c>
      <c r="J96" s="67">
        <f t="shared" si="18"/>
        <v>2.9241599570913558E-3</v>
      </c>
      <c r="K96" s="100">
        <f t="shared" si="20"/>
        <v>1.949439971394237E-3</v>
      </c>
      <c r="O96" s="96">
        <f>Amnt_Deposited!B91</f>
        <v>2077</v>
      </c>
      <c r="P96" s="99">
        <f>Amnt_Deposited!D91</f>
        <v>0</v>
      </c>
      <c r="Q96" s="284">
        <f>MCF!R95</f>
        <v>0.8</v>
      </c>
      <c r="R96" s="67">
        <f t="shared" si="19"/>
        <v>0</v>
      </c>
      <c r="S96" s="67">
        <f t="shared" si="21"/>
        <v>0</v>
      </c>
      <c r="T96" s="67">
        <f t="shared" si="22"/>
        <v>0</v>
      </c>
      <c r="U96" s="67">
        <f t="shared" si="23"/>
        <v>8.3323739465006097E-2</v>
      </c>
      <c r="V96" s="67">
        <f t="shared" si="24"/>
        <v>6.0416528039077683E-3</v>
      </c>
      <c r="W96" s="100">
        <f t="shared" si="25"/>
        <v>4.0277685359385116E-3</v>
      </c>
    </row>
    <row r="97" spans="2:23">
      <c r="B97" s="96">
        <f>Amnt_Deposited!B92</f>
        <v>2078</v>
      </c>
      <c r="C97" s="99">
        <f>Amnt_Deposited!D92</f>
        <v>0</v>
      </c>
      <c r="D97" s="418">
        <f>Dry_Matter_Content!D84</f>
        <v>0.44</v>
      </c>
      <c r="E97" s="284">
        <f>MCF!R96</f>
        <v>0.8</v>
      </c>
      <c r="F97" s="67">
        <f t="shared" si="14"/>
        <v>0</v>
      </c>
      <c r="G97" s="67">
        <f t="shared" si="15"/>
        <v>0</v>
      </c>
      <c r="H97" s="67">
        <f t="shared" si="16"/>
        <v>0</v>
      </c>
      <c r="I97" s="67">
        <f t="shared" si="17"/>
        <v>3.7602221228654469E-2</v>
      </c>
      <c r="J97" s="67">
        <f t="shared" si="18"/>
        <v>2.7264686724084229E-3</v>
      </c>
      <c r="K97" s="100">
        <f t="shared" si="20"/>
        <v>1.8176457816056152E-3</v>
      </c>
      <c r="O97" s="96">
        <f>Amnt_Deposited!B92</f>
        <v>2078</v>
      </c>
      <c r="P97" s="99">
        <f>Amnt_Deposited!D92</f>
        <v>0</v>
      </c>
      <c r="Q97" s="284">
        <f>MCF!R96</f>
        <v>0.8</v>
      </c>
      <c r="R97" s="67">
        <f t="shared" si="19"/>
        <v>0</v>
      </c>
      <c r="S97" s="67">
        <f t="shared" si="21"/>
        <v>0</v>
      </c>
      <c r="T97" s="67">
        <f t="shared" si="22"/>
        <v>0</v>
      </c>
      <c r="U97" s="67">
        <f t="shared" si="23"/>
        <v>7.7690539728625052E-2</v>
      </c>
      <c r="V97" s="67">
        <f t="shared" si="24"/>
        <v>5.6331997363810475E-3</v>
      </c>
      <c r="W97" s="100">
        <f t="shared" si="25"/>
        <v>3.755466490920698E-3</v>
      </c>
    </row>
    <row r="98" spans="2:23">
      <c r="B98" s="96">
        <f>Amnt_Deposited!B93</f>
        <v>2079</v>
      </c>
      <c r="C98" s="99">
        <f>Amnt_Deposited!D93</f>
        <v>0</v>
      </c>
      <c r="D98" s="418">
        <f>Dry_Matter_Content!D85</f>
        <v>0.44</v>
      </c>
      <c r="E98" s="284">
        <f>MCF!R97</f>
        <v>0.8</v>
      </c>
      <c r="F98" s="67">
        <f t="shared" si="14"/>
        <v>0</v>
      </c>
      <c r="G98" s="67">
        <f t="shared" si="15"/>
        <v>0</v>
      </c>
      <c r="H98" s="67">
        <f t="shared" si="16"/>
        <v>0</v>
      </c>
      <c r="I98" s="67">
        <f t="shared" si="17"/>
        <v>3.5060078688333676E-2</v>
      </c>
      <c r="J98" s="67">
        <f t="shared" si="18"/>
        <v>2.5421425403207888E-3</v>
      </c>
      <c r="K98" s="100">
        <f t="shared" si="20"/>
        <v>1.6947616935471925E-3</v>
      </c>
      <c r="O98" s="96">
        <f>Amnt_Deposited!B93</f>
        <v>2079</v>
      </c>
      <c r="P98" s="99">
        <f>Amnt_Deposited!D93</f>
        <v>0</v>
      </c>
      <c r="Q98" s="284">
        <f>MCF!R97</f>
        <v>0.8</v>
      </c>
      <c r="R98" s="67">
        <f t="shared" si="19"/>
        <v>0</v>
      </c>
      <c r="S98" s="67">
        <f t="shared" si="21"/>
        <v>0</v>
      </c>
      <c r="T98" s="67">
        <f t="shared" si="22"/>
        <v>0</v>
      </c>
      <c r="U98" s="67">
        <f t="shared" si="23"/>
        <v>7.243817910812754E-2</v>
      </c>
      <c r="V98" s="67">
        <f t="shared" si="24"/>
        <v>5.252360620497506E-3</v>
      </c>
      <c r="W98" s="100">
        <f t="shared" si="25"/>
        <v>3.5015737469983373E-3</v>
      </c>
    </row>
    <row r="99" spans="2:23" ht="13.5" thickBot="1">
      <c r="B99" s="97">
        <f>Amnt_Deposited!B94</f>
        <v>2080</v>
      </c>
      <c r="C99" s="101">
        <f>Amnt_Deposited!D94</f>
        <v>0</v>
      </c>
      <c r="D99" s="419">
        <f>Dry_Matter_Content!D86</f>
        <v>0.44</v>
      </c>
      <c r="E99" s="285">
        <f>MCF!R98</f>
        <v>0.8</v>
      </c>
      <c r="F99" s="68">
        <f t="shared" si="14"/>
        <v>0</v>
      </c>
      <c r="G99" s="68">
        <f t="shared" si="15"/>
        <v>0</v>
      </c>
      <c r="H99" s="68">
        <f t="shared" si="16"/>
        <v>0</v>
      </c>
      <c r="I99" s="68">
        <f t="shared" si="17"/>
        <v>3.2689800694418562E-2</v>
      </c>
      <c r="J99" s="68">
        <f t="shared" si="18"/>
        <v>2.3702779939151113E-3</v>
      </c>
      <c r="K99" s="102">
        <f t="shared" si="20"/>
        <v>1.5801853292767409E-3</v>
      </c>
      <c r="O99" s="97">
        <f>Amnt_Deposited!B94</f>
        <v>2080</v>
      </c>
      <c r="P99" s="101">
        <f>Amnt_Deposited!D94</f>
        <v>0</v>
      </c>
      <c r="Q99" s="285">
        <f>MCF!R98</f>
        <v>0.8</v>
      </c>
      <c r="R99" s="68">
        <f t="shared" si="19"/>
        <v>0</v>
      </c>
      <c r="S99" s="68">
        <f>R99*$W$12</f>
        <v>0</v>
      </c>
      <c r="T99" s="68">
        <f>R99*(1-$W$12)</f>
        <v>0</v>
      </c>
      <c r="U99" s="68">
        <f>S99+U98*$W$10</f>
        <v>6.754091052565829E-2</v>
      </c>
      <c r="V99" s="68">
        <f>U98*(1-$W$10)+T99</f>
        <v>4.8972685824692453E-3</v>
      </c>
      <c r="W99" s="102">
        <f t="shared" si="25"/>
        <v>3.2648457216461636E-3</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0.6</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Dry_Matter_Content!E6</f>
        <v>0.44</v>
      </c>
      <c r="E19" s="283">
        <f>MCF!R18</f>
        <v>0.8</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Amnt_Deposited!E14</f>
        <v>0</v>
      </c>
      <c r="Q19" s="283">
        <f>MCF!R18</f>
        <v>0.8</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Dry_Matter_Content!E7</f>
        <v>0.44</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Amnt_Deposited!E15</f>
        <v>0</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0.88858882846800002</v>
      </c>
      <c r="D21" s="418">
        <f>Dry_Matter_Content!E8</f>
        <v>0.44</v>
      </c>
      <c r="E21" s="284">
        <f>MCF!R20</f>
        <v>0.8</v>
      </c>
      <c r="F21" s="67">
        <f t="shared" si="0"/>
        <v>9.3834980286220795E-2</v>
      </c>
      <c r="G21" s="67">
        <f t="shared" si="1"/>
        <v>9.3834980286220795E-2</v>
      </c>
      <c r="H21" s="67">
        <f t="shared" si="2"/>
        <v>0</v>
      </c>
      <c r="I21" s="67">
        <f t="shared" si="3"/>
        <v>9.3834980286220795E-2</v>
      </c>
      <c r="J21" s="67">
        <f t="shared" si="4"/>
        <v>0</v>
      </c>
      <c r="K21" s="100">
        <f t="shared" ref="K21:K84" si="6">J21*CH4_fraction*conv</f>
        <v>0</v>
      </c>
      <c r="O21" s="96">
        <f>Amnt_Deposited!B16</f>
        <v>2002</v>
      </c>
      <c r="P21" s="99">
        <f>Amnt_Deposited!E16</f>
        <v>0</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0.90382500608400007</v>
      </c>
      <c r="D22" s="418">
        <f>Dry_Matter_Content!E9</f>
        <v>0.44</v>
      </c>
      <c r="E22" s="284">
        <f>MCF!R21</f>
        <v>0.8</v>
      </c>
      <c r="F22" s="67">
        <f t="shared" si="0"/>
        <v>9.5443920642470412E-2</v>
      </c>
      <c r="G22" s="67">
        <f t="shared" si="1"/>
        <v>9.5443920642470412E-2</v>
      </c>
      <c r="H22" s="67">
        <f t="shared" si="2"/>
        <v>0</v>
      </c>
      <c r="I22" s="67">
        <f t="shared" si="3"/>
        <v>0.17460919207597014</v>
      </c>
      <c r="J22" s="67">
        <f t="shared" si="4"/>
        <v>1.4669708852721048E-2</v>
      </c>
      <c r="K22" s="100">
        <f t="shared" si="6"/>
        <v>9.7798059018140322E-3</v>
      </c>
      <c r="N22" s="258"/>
      <c r="O22" s="96">
        <f>Amnt_Deposited!B17</f>
        <v>2003</v>
      </c>
      <c r="P22" s="99">
        <f>Amnt_Deposited!E17</f>
        <v>0</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0.94008647264400003</v>
      </c>
      <c r="D23" s="418">
        <f>Dry_Matter_Content!E10</f>
        <v>0.44</v>
      </c>
      <c r="E23" s="284">
        <f>MCF!R22</f>
        <v>0.8</v>
      </c>
      <c r="F23" s="67">
        <f t="shared" si="0"/>
        <v>9.9273131511206411E-2</v>
      </c>
      <c r="G23" s="67">
        <f t="shared" si="1"/>
        <v>9.9273131511206411E-2</v>
      </c>
      <c r="H23" s="67">
        <f t="shared" si="2"/>
        <v>0</v>
      </c>
      <c r="I23" s="67">
        <f t="shared" si="3"/>
        <v>0.24658476352002251</v>
      </c>
      <c r="J23" s="67">
        <f t="shared" si="4"/>
        <v>2.7297560067154059E-2</v>
      </c>
      <c r="K23" s="100">
        <f t="shared" si="6"/>
        <v>1.8198373378102706E-2</v>
      </c>
      <c r="N23" s="258"/>
      <c r="O23" s="96">
        <f>Amnt_Deposited!B18</f>
        <v>2004</v>
      </c>
      <c r="P23" s="99">
        <f>Amnt_Deposited!E18</f>
        <v>0</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0.97388279564400015</v>
      </c>
      <c r="D24" s="418">
        <f>Dry_Matter_Content!E11</f>
        <v>0.44</v>
      </c>
      <c r="E24" s="284">
        <f>MCF!R23</f>
        <v>0.8</v>
      </c>
      <c r="F24" s="67">
        <f t="shared" si="0"/>
        <v>0.10284202322000642</v>
      </c>
      <c r="G24" s="67">
        <f t="shared" si="1"/>
        <v>0.10284202322000642</v>
      </c>
      <c r="H24" s="67">
        <f t="shared" si="2"/>
        <v>0</v>
      </c>
      <c r="I24" s="67">
        <f t="shared" si="3"/>
        <v>0.31087691251058885</v>
      </c>
      <c r="J24" s="67">
        <f t="shared" si="4"/>
        <v>3.8549874229440069E-2</v>
      </c>
      <c r="K24" s="100">
        <f t="shared" si="6"/>
        <v>2.5699916152960044E-2</v>
      </c>
      <c r="N24" s="258"/>
      <c r="O24" s="96">
        <f>Amnt_Deposited!B19</f>
        <v>2005</v>
      </c>
      <c r="P24" s="99">
        <f>Amnt_Deposited!E19</f>
        <v>0</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0.98452267333200005</v>
      </c>
      <c r="D25" s="418">
        <f>Dry_Matter_Content!E12</f>
        <v>0.44</v>
      </c>
      <c r="E25" s="284">
        <f>MCF!R24</f>
        <v>0.8</v>
      </c>
      <c r="F25" s="67">
        <f t="shared" si="0"/>
        <v>0.10396559430385921</v>
      </c>
      <c r="G25" s="67">
        <f t="shared" si="1"/>
        <v>0.10396559430385921</v>
      </c>
      <c r="H25" s="67">
        <f t="shared" si="2"/>
        <v>0</v>
      </c>
      <c r="I25" s="67">
        <f t="shared" si="3"/>
        <v>0.36624150768115515</v>
      </c>
      <c r="J25" s="67">
        <f t="shared" si="4"/>
        <v>4.8600999133292883E-2</v>
      </c>
      <c r="K25" s="100">
        <f t="shared" si="6"/>
        <v>3.2400666088861919E-2</v>
      </c>
      <c r="N25" s="258"/>
      <c r="O25" s="96">
        <f>Amnt_Deposited!B20</f>
        <v>2006</v>
      </c>
      <c r="P25" s="99">
        <f>Amnt_Deposited!E20</f>
        <v>0</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0.99485242005599994</v>
      </c>
      <c r="D26" s="418">
        <f>Dry_Matter_Content!E13</f>
        <v>0.44</v>
      </c>
      <c r="E26" s="284">
        <f>MCF!R25</f>
        <v>0.8</v>
      </c>
      <c r="F26" s="67">
        <f t="shared" si="0"/>
        <v>0.10505641555791359</v>
      </c>
      <c r="G26" s="67">
        <f t="shared" si="1"/>
        <v>0.10505641555791359</v>
      </c>
      <c r="H26" s="67">
        <f t="shared" si="2"/>
        <v>0</v>
      </c>
      <c r="I26" s="67">
        <f t="shared" si="3"/>
        <v>0.41404148996571843</v>
      </c>
      <c r="J26" s="67">
        <f t="shared" si="4"/>
        <v>5.7256433273350338E-2</v>
      </c>
      <c r="K26" s="100">
        <f t="shared" si="6"/>
        <v>3.8170955515566887E-2</v>
      </c>
      <c r="N26" s="258"/>
      <c r="O26" s="96">
        <f>Amnt_Deposited!B21</f>
        <v>2007</v>
      </c>
      <c r="P26" s="99">
        <f>Amnt_Deposited!E21</f>
        <v>0</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1.0047766109039999</v>
      </c>
      <c r="D27" s="418">
        <f>Dry_Matter_Content!E14</f>
        <v>0.44</v>
      </c>
      <c r="E27" s="284">
        <f>MCF!R26</f>
        <v>0.8</v>
      </c>
      <c r="F27" s="67">
        <f t="shared" si="0"/>
        <v>0.10610441011146239</v>
      </c>
      <c r="G27" s="67">
        <f t="shared" si="1"/>
        <v>0.10610441011146239</v>
      </c>
      <c r="H27" s="67">
        <f t="shared" si="2"/>
        <v>0</v>
      </c>
      <c r="I27" s="67">
        <f t="shared" si="3"/>
        <v>0.45541664780668367</v>
      </c>
      <c r="J27" s="67">
        <f t="shared" si="4"/>
        <v>6.4729252270497153E-2</v>
      </c>
      <c r="K27" s="100">
        <f t="shared" si="6"/>
        <v>4.3152834846998098E-2</v>
      </c>
      <c r="N27" s="258"/>
      <c r="O27" s="96">
        <f>Amnt_Deposited!B22</f>
        <v>2008</v>
      </c>
      <c r="P27" s="99">
        <f>Amnt_Deposited!E22</f>
        <v>0</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1.014144156432</v>
      </c>
      <c r="D28" s="418">
        <f>Dry_Matter_Content!E15</f>
        <v>0.44</v>
      </c>
      <c r="E28" s="284">
        <f>MCF!R27</f>
        <v>0.8</v>
      </c>
      <c r="F28" s="67">
        <f t="shared" si="0"/>
        <v>0.1070936229192192</v>
      </c>
      <c r="G28" s="67">
        <f t="shared" si="1"/>
        <v>0.1070936229192192</v>
      </c>
      <c r="H28" s="67">
        <f t="shared" si="2"/>
        <v>0</v>
      </c>
      <c r="I28" s="67">
        <f t="shared" si="3"/>
        <v>0.49131262556598487</v>
      </c>
      <c r="J28" s="67">
        <f t="shared" si="4"/>
        <v>7.1197645159918027E-2</v>
      </c>
      <c r="K28" s="100">
        <f t="shared" si="6"/>
        <v>4.7465096773278682E-2</v>
      </c>
      <c r="N28" s="258"/>
      <c r="O28" s="96">
        <f>Amnt_Deposited!B23</f>
        <v>2009</v>
      </c>
      <c r="P28" s="99">
        <f>Amnt_Deposited!E23</f>
        <v>0</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1.1365266060720001</v>
      </c>
      <c r="D29" s="418">
        <f>Dry_Matter_Content!E16</f>
        <v>0.44</v>
      </c>
      <c r="E29" s="284">
        <f>MCF!R28</f>
        <v>0.8</v>
      </c>
      <c r="F29" s="67">
        <f t="shared" si="0"/>
        <v>0.1200172096012032</v>
      </c>
      <c r="G29" s="67">
        <f t="shared" si="1"/>
        <v>0.1200172096012032</v>
      </c>
      <c r="H29" s="67">
        <f t="shared" si="2"/>
        <v>0</v>
      </c>
      <c r="I29" s="67">
        <f t="shared" si="3"/>
        <v>0.53452038574081751</v>
      </c>
      <c r="J29" s="67">
        <f t="shared" si="4"/>
        <v>7.680944942637051E-2</v>
      </c>
      <c r="K29" s="100">
        <f t="shared" si="6"/>
        <v>5.1206299617580338E-2</v>
      </c>
      <c r="O29" s="96">
        <f>Amnt_Deposited!B24</f>
        <v>2010</v>
      </c>
      <c r="P29" s="99">
        <f>Amnt_Deposited!E24</f>
        <v>0</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1.0552983184800002</v>
      </c>
      <c r="D30" s="418">
        <f>Dry_Matter_Content!E17</f>
        <v>0.44</v>
      </c>
      <c r="E30" s="284">
        <f>MCF!R29</f>
        <v>0.8</v>
      </c>
      <c r="F30" s="67">
        <f t="shared" si="0"/>
        <v>0.11143950243148802</v>
      </c>
      <c r="G30" s="67">
        <f t="shared" si="1"/>
        <v>0.11143950243148802</v>
      </c>
      <c r="H30" s="67">
        <f t="shared" si="2"/>
        <v>0</v>
      </c>
      <c r="I30" s="67">
        <f t="shared" si="3"/>
        <v>0.56239554563454308</v>
      </c>
      <c r="J30" s="67">
        <f t="shared" si="4"/>
        <v>8.3564342537762432E-2</v>
      </c>
      <c r="K30" s="100">
        <f t="shared" si="6"/>
        <v>5.5709561691841616E-2</v>
      </c>
      <c r="O30" s="96">
        <f>Amnt_Deposited!B25</f>
        <v>2011</v>
      </c>
      <c r="P30" s="99">
        <f>Amnt_Deposited!E25</f>
        <v>0</v>
      </c>
      <c r="Q30" s="284">
        <f>MCF!R29</f>
        <v>0.8</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1.0701614714400001</v>
      </c>
      <c r="D31" s="418">
        <f>Dry_Matter_Content!E18</f>
        <v>0.44</v>
      </c>
      <c r="E31" s="284">
        <f>MCF!R30</f>
        <v>0.8</v>
      </c>
      <c r="F31" s="67">
        <f t="shared" si="0"/>
        <v>0.11300905138406402</v>
      </c>
      <c r="G31" s="67">
        <f t="shared" si="1"/>
        <v>0.11300905138406402</v>
      </c>
      <c r="H31" s="67">
        <f t="shared" si="2"/>
        <v>0</v>
      </c>
      <c r="I31" s="67">
        <f t="shared" si="3"/>
        <v>0.58748238624645388</v>
      </c>
      <c r="J31" s="67">
        <f t="shared" si="4"/>
        <v>8.7922210772153148E-2</v>
      </c>
      <c r="K31" s="100">
        <f t="shared" si="6"/>
        <v>5.8614807181435427E-2</v>
      </c>
      <c r="O31" s="96">
        <f>Amnt_Deposited!B26</f>
        <v>2012</v>
      </c>
      <c r="P31" s="99">
        <f>Amnt_Deposited!E26</f>
        <v>0</v>
      </c>
      <c r="Q31" s="284">
        <f>MCF!R30</f>
        <v>0.8</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1.0858559778000001</v>
      </c>
      <c r="D32" s="418">
        <f>Dry_Matter_Content!E19</f>
        <v>0.44</v>
      </c>
      <c r="E32" s="284">
        <f>MCF!R31</f>
        <v>0.8</v>
      </c>
      <c r="F32" s="67">
        <f t="shared" si="0"/>
        <v>0.11466639125568001</v>
      </c>
      <c r="G32" s="67">
        <f t="shared" si="1"/>
        <v>0.11466639125568001</v>
      </c>
      <c r="H32" s="67">
        <f t="shared" si="2"/>
        <v>0</v>
      </c>
      <c r="I32" s="67">
        <f t="shared" si="3"/>
        <v>0.61030461090190036</v>
      </c>
      <c r="J32" s="67">
        <f t="shared" si="4"/>
        <v>9.1844166600233521E-2</v>
      </c>
      <c r="K32" s="100">
        <f t="shared" si="6"/>
        <v>6.122944440015568E-2</v>
      </c>
      <c r="O32" s="96">
        <f>Amnt_Deposited!B27</f>
        <v>2013</v>
      </c>
      <c r="P32" s="99">
        <f>Amnt_Deposited!E27</f>
        <v>0</v>
      </c>
      <c r="Q32" s="284">
        <f>MCF!R31</f>
        <v>0.8</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1.0996925900400003</v>
      </c>
      <c r="D33" s="418">
        <f>Dry_Matter_Content!E20</f>
        <v>0.44</v>
      </c>
      <c r="E33" s="284">
        <f>MCF!R32</f>
        <v>0.8</v>
      </c>
      <c r="F33" s="67">
        <f t="shared" si="0"/>
        <v>0.11612753750822402</v>
      </c>
      <c r="G33" s="67">
        <f t="shared" si="1"/>
        <v>0.11612753750822402</v>
      </c>
      <c r="H33" s="67">
        <f t="shared" si="2"/>
        <v>0</v>
      </c>
      <c r="I33" s="67">
        <f t="shared" si="3"/>
        <v>0.63102006513270315</v>
      </c>
      <c r="J33" s="67">
        <f t="shared" si="4"/>
        <v>9.5412083277421275E-2</v>
      </c>
      <c r="K33" s="100">
        <f t="shared" si="6"/>
        <v>6.3608055518280845E-2</v>
      </c>
      <c r="O33" s="96">
        <f>Amnt_Deposited!B28</f>
        <v>2014</v>
      </c>
      <c r="P33" s="99">
        <f>Amnt_Deposited!E28</f>
        <v>0</v>
      </c>
      <c r="Q33" s="284">
        <f>MCF!R32</f>
        <v>0.8</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1.1149894926000001</v>
      </c>
      <c r="D34" s="418">
        <f>Dry_Matter_Content!E21</f>
        <v>0.44</v>
      </c>
      <c r="E34" s="284">
        <f>MCF!R33</f>
        <v>0.8</v>
      </c>
      <c r="F34" s="67">
        <f t="shared" si="0"/>
        <v>0.11774289041856001</v>
      </c>
      <c r="G34" s="67">
        <f t="shared" si="1"/>
        <v>0.11774289041856001</v>
      </c>
      <c r="H34" s="67">
        <f t="shared" si="2"/>
        <v>0</v>
      </c>
      <c r="I34" s="67">
        <f t="shared" si="3"/>
        <v>0.65011231793738011</v>
      </c>
      <c r="J34" s="67">
        <f t="shared" si="4"/>
        <v>9.8650637613883041E-2</v>
      </c>
      <c r="K34" s="100">
        <f t="shared" si="6"/>
        <v>6.5767091742588685E-2</v>
      </c>
      <c r="O34" s="96">
        <f>Amnt_Deposited!B29</f>
        <v>2015</v>
      </c>
      <c r="P34" s="99">
        <f>Amnt_Deposited!E29</f>
        <v>0</v>
      </c>
      <c r="Q34" s="284">
        <f>MCF!R33</f>
        <v>0.8</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1.1277561891600001</v>
      </c>
      <c r="D35" s="418">
        <f>Dry_Matter_Content!E22</f>
        <v>0.44</v>
      </c>
      <c r="E35" s="284">
        <f>MCF!R34</f>
        <v>0.8</v>
      </c>
      <c r="F35" s="67">
        <f t="shared" si="0"/>
        <v>0.11909105357529602</v>
      </c>
      <c r="G35" s="67">
        <f t="shared" si="1"/>
        <v>0.11909105357529602</v>
      </c>
      <c r="H35" s="67">
        <f t="shared" si="2"/>
        <v>0</v>
      </c>
      <c r="I35" s="67">
        <f t="shared" si="3"/>
        <v>0.66756794305498568</v>
      </c>
      <c r="J35" s="67">
        <f t="shared" si="4"/>
        <v>0.10163542845769043</v>
      </c>
      <c r="K35" s="100">
        <f t="shared" si="6"/>
        <v>6.7756952305126947E-2</v>
      </c>
      <c r="O35" s="96">
        <f>Amnt_Deposited!B30</f>
        <v>2016</v>
      </c>
      <c r="P35" s="99">
        <f>Amnt_Deposited!E30</f>
        <v>0</v>
      </c>
      <c r="Q35" s="284">
        <f>MCF!R34</f>
        <v>0.8</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1.144114960477421</v>
      </c>
      <c r="D36" s="418">
        <f>Dry_Matter_Content!E23</f>
        <v>0.44</v>
      </c>
      <c r="E36" s="284">
        <f>MCF!R35</f>
        <v>0.8</v>
      </c>
      <c r="F36" s="67">
        <f t="shared" si="0"/>
        <v>0.12081853982641565</v>
      </c>
      <c r="G36" s="67">
        <f t="shared" si="1"/>
        <v>0.12081853982641565</v>
      </c>
      <c r="H36" s="67">
        <f t="shared" si="2"/>
        <v>0</v>
      </c>
      <c r="I36" s="67">
        <f t="shared" si="3"/>
        <v>0.68402212606952528</v>
      </c>
      <c r="J36" s="67">
        <f t="shared" si="4"/>
        <v>0.10436435681187607</v>
      </c>
      <c r="K36" s="100">
        <f t="shared" si="6"/>
        <v>6.9576237874584043E-2</v>
      </c>
      <c r="O36" s="96">
        <f>Amnt_Deposited!B31</f>
        <v>2017</v>
      </c>
      <c r="P36" s="99">
        <f>Amnt_Deposited!E31</f>
        <v>0</v>
      </c>
      <c r="Q36" s="284">
        <f>MCF!R35</f>
        <v>0.8</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1.140620891041856</v>
      </c>
      <c r="D37" s="418">
        <f>Dry_Matter_Content!E24</f>
        <v>0.44</v>
      </c>
      <c r="E37" s="284">
        <f>MCF!R36</f>
        <v>0.8</v>
      </c>
      <c r="F37" s="67">
        <f t="shared" si="0"/>
        <v>0.12044956609401998</v>
      </c>
      <c r="G37" s="67">
        <f t="shared" si="1"/>
        <v>0.12044956609401998</v>
      </c>
      <c r="H37" s="67">
        <f t="shared" si="2"/>
        <v>0</v>
      </c>
      <c r="I37" s="67">
        <f t="shared" si="3"/>
        <v>0.69753496763233447</v>
      </c>
      <c r="J37" s="67">
        <f t="shared" si="4"/>
        <v>0.10693672453121078</v>
      </c>
      <c r="K37" s="100">
        <f t="shared" si="6"/>
        <v>7.1291149687473854E-2</v>
      </c>
      <c r="O37" s="96">
        <f>Amnt_Deposited!B32</f>
        <v>2018</v>
      </c>
      <c r="P37" s="99">
        <f>Amnt_Deposited!E32</f>
        <v>0</v>
      </c>
      <c r="Q37" s="284">
        <f>MCF!R36</f>
        <v>0.8</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1.1366450668332111</v>
      </c>
      <c r="D38" s="418">
        <f>Dry_Matter_Content!E25</f>
        <v>0.44</v>
      </c>
      <c r="E38" s="284">
        <f>MCF!R37</f>
        <v>0.8</v>
      </c>
      <c r="F38" s="67">
        <f t="shared" si="0"/>
        <v>0.12002971905758711</v>
      </c>
      <c r="G38" s="67">
        <f t="shared" si="1"/>
        <v>0.12002971905758711</v>
      </c>
      <c r="H38" s="67">
        <f t="shared" si="2"/>
        <v>0</v>
      </c>
      <c r="I38" s="67">
        <f t="shared" si="3"/>
        <v>0.70851542959468494</v>
      </c>
      <c r="J38" s="67">
        <f t="shared" si="4"/>
        <v>0.10904925709523657</v>
      </c>
      <c r="K38" s="100">
        <f t="shared" si="6"/>
        <v>7.269950473015771E-2</v>
      </c>
      <c r="O38" s="96">
        <f>Amnt_Deposited!B33</f>
        <v>2019</v>
      </c>
      <c r="P38" s="99">
        <f>Amnt_Deposited!E33</f>
        <v>0</v>
      </c>
      <c r="Q38" s="284">
        <f>MCF!R37</f>
        <v>0.8</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1.1322123985593759</v>
      </c>
      <c r="D39" s="418">
        <f>Dry_Matter_Content!E26</f>
        <v>0.44</v>
      </c>
      <c r="E39" s="284">
        <f>MCF!R38</f>
        <v>0.8</v>
      </c>
      <c r="F39" s="67">
        <f t="shared" si="0"/>
        <v>0.11956162928787009</v>
      </c>
      <c r="G39" s="67">
        <f t="shared" si="1"/>
        <v>0.11956162928787009</v>
      </c>
      <c r="H39" s="67">
        <f t="shared" si="2"/>
        <v>0</v>
      </c>
      <c r="I39" s="67">
        <f t="shared" si="3"/>
        <v>0.71731116925257798</v>
      </c>
      <c r="J39" s="67">
        <f t="shared" si="4"/>
        <v>0.11076588962997706</v>
      </c>
      <c r="K39" s="100">
        <f t="shared" si="6"/>
        <v>7.3843926419984704E-2</v>
      </c>
      <c r="O39" s="96">
        <f>Amnt_Deposited!B34</f>
        <v>2020</v>
      </c>
      <c r="P39" s="99">
        <f>Amnt_Deposited!E34</f>
        <v>0</v>
      </c>
      <c r="Q39" s="284">
        <f>MCF!R38</f>
        <v>0.8</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1.1273468840637182</v>
      </c>
      <c r="D40" s="418">
        <f>Dry_Matter_Content!E27</f>
        <v>0.44</v>
      </c>
      <c r="E40" s="284">
        <f>MCF!R39</f>
        <v>0.8</v>
      </c>
      <c r="F40" s="67">
        <f t="shared" si="0"/>
        <v>0.11904783095712863</v>
      </c>
      <c r="G40" s="67">
        <f t="shared" si="1"/>
        <v>0.11904783095712863</v>
      </c>
      <c r="H40" s="67">
        <f t="shared" si="2"/>
        <v>0</v>
      </c>
      <c r="I40" s="67">
        <f t="shared" si="3"/>
        <v>0.72421802700714244</v>
      </c>
      <c r="J40" s="67">
        <f t="shared" si="4"/>
        <v>0.11214097320256423</v>
      </c>
      <c r="K40" s="100">
        <f t="shared" si="6"/>
        <v>7.4760648801709489E-2</v>
      </c>
      <c r="O40" s="96">
        <f>Amnt_Deposited!B35</f>
        <v>2021</v>
      </c>
      <c r="P40" s="99">
        <f>Amnt_Deposited!E35</f>
        <v>0</v>
      </c>
      <c r="Q40" s="284">
        <f>MCF!R39</f>
        <v>0.8</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1.1220716376670139</v>
      </c>
      <c r="D41" s="418">
        <f>Dry_Matter_Content!E28</f>
        <v>0.44</v>
      </c>
      <c r="E41" s="284">
        <f>MCF!R40</f>
        <v>0.8</v>
      </c>
      <c r="F41" s="67">
        <f t="shared" si="0"/>
        <v>0.11849076493763666</v>
      </c>
      <c r="G41" s="67">
        <f t="shared" si="1"/>
        <v>0.11849076493763666</v>
      </c>
      <c r="H41" s="67">
        <f t="shared" si="2"/>
        <v>0</v>
      </c>
      <c r="I41" s="67">
        <f t="shared" si="3"/>
        <v>0.72948803386841232</v>
      </c>
      <c r="J41" s="67">
        <f t="shared" si="4"/>
        <v>0.11322075807636675</v>
      </c>
      <c r="K41" s="100">
        <f t="shared" si="6"/>
        <v>7.5480505384244501E-2</v>
      </c>
      <c r="O41" s="96">
        <f>Amnt_Deposited!B36</f>
        <v>2022</v>
      </c>
      <c r="P41" s="99">
        <f>Amnt_Deposited!E36</f>
        <v>0</v>
      </c>
      <c r="Q41" s="284">
        <f>MCF!R40</f>
        <v>0.8</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1.1164089186297834</v>
      </c>
      <c r="D42" s="418">
        <f>Dry_Matter_Content!E29</f>
        <v>0.44</v>
      </c>
      <c r="E42" s="284">
        <f>MCF!R41</f>
        <v>0.8</v>
      </c>
      <c r="F42" s="67">
        <f t="shared" si="0"/>
        <v>0.11789278180730511</v>
      </c>
      <c r="G42" s="67">
        <f t="shared" si="1"/>
        <v>0.11789278180730511</v>
      </c>
      <c r="H42" s="67">
        <f t="shared" si="2"/>
        <v>0</v>
      </c>
      <c r="I42" s="67">
        <f t="shared" si="3"/>
        <v>0.73333617011015573</v>
      </c>
      <c r="J42" s="67">
        <f t="shared" si="4"/>
        <v>0.11404464556556169</v>
      </c>
      <c r="K42" s="100">
        <f t="shared" si="6"/>
        <v>7.6029763710374454E-2</v>
      </c>
      <c r="O42" s="96">
        <f>Amnt_Deposited!B37</f>
        <v>2023</v>
      </c>
      <c r="P42" s="99">
        <f>Amnt_Deposited!E37</f>
        <v>0</v>
      </c>
      <c r="Q42" s="284">
        <f>MCF!R41</f>
        <v>0.8</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1.1103801587602855</v>
      </c>
      <c r="D43" s="418">
        <f>Dry_Matter_Content!E30</f>
        <v>0.44</v>
      </c>
      <c r="E43" s="284">
        <f>MCF!R42</f>
        <v>0.8</v>
      </c>
      <c r="F43" s="67">
        <f t="shared" si="0"/>
        <v>0.11725614476508615</v>
      </c>
      <c r="G43" s="67">
        <f t="shared" si="1"/>
        <v>0.11725614476508615</v>
      </c>
      <c r="H43" s="67">
        <f t="shared" si="2"/>
        <v>0</v>
      </c>
      <c r="I43" s="67">
        <f t="shared" si="3"/>
        <v>0.73594607022456515</v>
      </c>
      <c r="J43" s="67">
        <f t="shared" si="4"/>
        <v>0.11464624465067676</v>
      </c>
      <c r="K43" s="100">
        <f t="shared" si="6"/>
        <v>7.6430829767117833E-2</v>
      </c>
      <c r="O43" s="96">
        <f>Amnt_Deposited!B38</f>
        <v>2024</v>
      </c>
      <c r="P43" s="99">
        <f>Amnt_Deposited!E38</f>
        <v>0</v>
      </c>
      <c r="Q43" s="284">
        <f>MCF!R42</f>
        <v>0.8</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1.1040059891927068</v>
      </c>
      <c r="D44" s="418">
        <f>Dry_Matter_Content!E31</f>
        <v>0.44</v>
      </c>
      <c r="E44" s="284">
        <f>MCF!R43</f>
        <v>0.8</v>
      </c>
      <c r="F44" s="67">
        <f t="shared" si="0"/>
        <v>0.11658303245874985</v>
      </c>
      <c r="G44" s="67">
        <f t="shared" si="1"/>
        <v>0.11658303245874985</v>
      </c>
      <c r="H44" s="67">
        <f t="shared" si="2"/>
        <v>0</v>
      </c>
      <c r="I44" s="67">
        <f t="shared" si="3"/>
        <v>0.73747483881958686</v>
      </c>
      <c r="J44" s="67">
        <f t="shared" si="4"/>
        <v>0.11505426386372807</v>
      </c>
      <c r="K44" s="100">
        <f t="shared" si="6"/>
        <v>7.6702842575818705E-2</v>
      </c>
      <c r="O44" s="96">
        <f>Amnt_Deposited!B39</f>
        <v>2025</v>
      </c>
      <c r="P44" s="99">
        <f>Amnt_Deposited!E39</f>
        <v>0</v>
      </c>
      <c r="Q44" s="284">
        <f>MCF!R43</f>
        <v>0.8</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1.0973062663594169</v>
      </c>
      <c r="D45" s="418">
        <f>Dry_Matter_Content!E32</f>
        <v>0.44</v>
      </c>
      <c r="E45" s="284">
        <f>MCF!R44</f>
        <v>0.8</v>
      </c>
      <c r="F45" s="67">
        <f t="shared" si="0"/>
        <v>0.11587554172755442</v>
      </c>
      <c r="G45" s="67">
        <f t="shared" si="1"/>
        <v>0.11587554172755442</v>
      </c>
      <c r="H45" s="67">
        <f t="shared" si="2"/>
        <v>0</v>
      </c>
      <c r="I45" s="67">
        <f t="shared" si="3"/>
        <v>0.73805711636472882</v>
      </c>
      <c r="J45" s="67">
        <f t="shared" si="4"/>
        <v>0.11529326418241248</v>
      </c>
      <c r="K45" s="100">
        <f t="shared" si="6"/>
        <v>7.6862176121608311E-2</v>
      </c>
      <c r="O45" s="96">
        <f>Amnt_Deposited!B40</f>
        <v>2026</v>
      </c>
      <c r="P45" s="99">
        <f>Amnt_Deposited!E40</f>
        <v>0</v>
      </c>
      <c r="Q45" s="284">
        <f>MCF!R44</f>
        <v>0.8</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1.0903000971804728</v>
      </c>
      <c r="D46" s="418">
        <f>Dry_Matter_Content!E33</f>
        <v>0.44</v>
      </c>
      <c r="E46" s="284">
        <f>MCF!R45</f>
        <v>0.8</v>
      </c>
      <c r="F46" s="67">
        <f t="shared" si="0"/>
        <v>0.11513569026225795</v>
      </c>
      <c r="G46" s="67">
        <f t="shared" si="1"/>
        <v>0.11513569026225795</v>
      </c>
      <c r="H46" s="67">
        <f t="shared" si="2"/>
        <v>0</v>
      </c>
      <c r="I46" s="67">
        <f t="shared" si="3"/>
        <v>0.73780851197776265</v>
      </c>
      <c r="J46" s="67">
        <f t="shared" si="4"/>
        <v>0.11538429464922405</v>
      </c>
      <c r="K46" s="100">
        <f t="shared" si="6"/>
        <v>7.6922863099482694E-2</v>
      </c>
      <c r="O46" s="96">
        <f>Amnt_Deposited!B41</f>
        <v>2027</v>
      </c>
      <c r="P46" s="99">
        <f>Amnt_Deposited!E41</f>
        <v>0</v>
      </c>
      <c r="Q46" s="284">
        <f>MCF!R45</f>
        <v>0.8</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1.08300586349293</v>
      </c>
      <c r="D47" s="418">
        <f>Dry_Matter_Content!E34</f>
        <v>0.44</v>
      </c>
      <c r="E47" s="284">
        <f>MCF!R46</f>
        <v>0.8</v>
      </c>
      <c r="F47" s="67">
        <f t="shared" si="0"/>
        <v>0.11436541918485342</v>
      </c>
      <c r="G47" s="67">
        <f t="shared" si="1"/>
        <v>0.11436541918485342</v>
      </c>
      <c r="H47" s="67">
        <f t="shared" si="2"/>
        <v>0</v>
      </c>
      <c r="I47" s="67">
        <f t="shared" si="3"/>
        <v>0.73682850212582329</v>
      </c>
      <c r="J47" s="67">
        <f t="shared" si="4"/>
        <v>0.11534542903679275</v>
      </c>
      <c r="K47" s="100">
        <f t="shared" si="6"/>
        <v>7.6896952691195161E-2</v>
      </c>
      <c r="O47" s="96">
        <f>Amnt_Deposited!B42</f>
        <v>2028</v>
      </c>
      <c r="P47" s="99">
        <f>Amnt_Deposited!E42</f>
        <v>0</v>
      </c>
      <c r="Q47" s="284">
        <f>MCF!R46</f>
        <v>0.8</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1.0754412457418674</v>
      </c>
      <c r="D48" s="418">
        <f>Dry_Matter_Content!E35</f>
        <v>0.44</v>
      </c>
      <c r="E48" s="284">
        <f>MCF!R47</f>
        <v>0.8</v>
      </c>
      <c r="F48" s="67">
        <f t="shared" si="0"/>
        <v>0.1135665955503412</v>
      </c>
      <c r="G48" s="67">
        <f t="shared" si="1"/>
        <v>0.1135665955503412</v>
      </c>
      <c r="H48" s="67">
        <f t="shared" si="2"/>
        <v>0</v>
      </c>
      <c r="I48" s="67">
        <f t="shared" si="3"/>
        <v>0.735202878659312</v>
      </c>
      <c r="J48" s="67">
        <f t="shared" si="4"/>
        <v>0.11519221901685246</v>
      </c>
      <c r="K48" s="100">
        <f t="shared" si="6"/>
        <v>7.6794812677901642E-2</v>
      </c>
      <c r="O48" s="96">
        <f>Amnt_Deposited!B43</f>
        <v>2029</v>
      </c>
      <c r="P48" s="99">
        <f>Amnt_Deposited!E43</f>
        <v>0</v>
      </c>
      <c r="Q48" s="284">
        <f>MCF!R47</f>
        <v>0.8</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1.0676690160000002</v>
      </c>
      <c r="D49" s="418">
        <f>Dry_Matter_Content!E36</f>
        <v>0.44</v>
      </c>
      <c r="E49" s="284">
        <f>MCF!R48</f>
        <v>0.8</v>
      </c>
      <c r="F49" s="67">
        <f t="shared" si="0"/>
        <v>0.11274584808960003</v>
      </c>
      <c r="G49" s="67">
        <f t="shared" si="1"/>
        <v>0.11274584808960003</v>
      </c>
      <c r="H49" s="67">
        <f t="shared" si="2"/>
        <v>0</v>
      </c>
      <c r="I49" s="67">
        <f t="shared" si="3"/>
        <v>0.73301064987484188</v>
      </c>
      <c r="J49" s="67">
        <f t="shared" si="4"/>
        <v>0.11493807687407021</v>
      </c>
      <c r="K49" s="100">
        <f t="shared" si="6"/>
        <v>7.6625384582713466E-2</v>
      </c>
      <c r="O49" s="96">
        <f>Amnt_Deposited!B44</f>
        <v>2030</v>
      </c>
      <c r="P49" s="99">
        <f>Amnt_Deposited!E44</f>
        <v>0</v>
      </c>
      <c r="Q49" s="284">
        <f>MCF!R48</f>
        <v>0.8</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0.8</v>
      </c>
      <c r="F50" s="67">
        <f t="shared" si="0"/>
        <v>0</v>
      </c>
      <c r="G50" s="67">
        <f t="shared" si="1"/>
        <v>0</v>
      </c>
      <c r="H50" s="67">
        <f t="shared" si="2"/>
        <v>0</v>
      </c>
      <c r="I50" s="67">
        <f t="shared" si="3"/>
        <v>0.61841529548985452</v>
      </c>
      <c r="J50" s="67">
        <f t="shared" si="4"/>
        <v>0.11459535438498737</v>
      </c>
      <c r="K50" s="100">
        <f t="shared" si="6"/>
        <v>7.6396902923324905E-2</v>
      </c>
      <c r="O50" s="96">
        <f>Amnt_Deposited!B45</f>
        <v>2031</v>
      </c>
      <c r="P50" s="99">
        <f>Amnt_Deposited!E45</f>
        <v>0</v>
      </c>
      <c r="Q50" s="284">
        <f>MCF!R49</f>
        <v>0.8</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0.8</v>
      </c>
      <c r="F51" s="67">
        <f t="shared" si="0"/>
        <v>0</v>
      </c>
      <c r="G51" s="67">
        <f t="shared" si="1"/>
        <v>0</v>
      </c>
      <c r="H51" s="67">
        <f t="shared" si="2"/>
        <v>0</v>
      </c>
      <c r="I51" s="67">
        <f t="shared" si="3"/>
        <v>0.52173522684984652</v>
      </c>
      <c r="J51" s="67">
        <f t="shared" si="4"/>
        <v>9.6680068640007971E-2</v>
      </c>
      <c r="K51" s="100">
        <f t="shared" si="6"/>
        <v>6.4453379093338647E-2</v>
      </c>
      <c r="O51" s="96">
        <f>Amnt_Deposited!B46</f>
        <v>2032</v>
      </c>
      <c r="P51" s="99">
        <f>Amnt_Deposited!E46</f>
        <v>0</v>
      </c>
      <c r="Q51" s="284">
        <f>MCF!R50</f>
        <v>0.8</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0.8</v>
      </c>
      <c r="F52" s="67">
        <f t="shared" si="0"/>
        <v>0</v>
      </c>
      <c r="G52" s="67">
        <f t="shared" si="1"/>
        <v>0</v>
      </c>
      <c r="H52" s="67">
        <f t="shared" si="2"/>
        <v>0</v>
      </c>
      <c r="I52" s="67">
        <f t="shared" si="3"/>
        <v>0.4401696544721484</v>
      </c>
      <c r="J52" s="67">
        <f t="shared" si="4"/>
        <v>8.1565572377698112E-2</v>
      </c>
      <c r="K52" s="100">
        <f t="shared" si="6"/>
        <v>5.4377048251798739E-2</v>
      </c>
      <c r="O52" s="96">
        <f>Amnt_Deposited!B47</f>
        <v>2033</v>
      </c>
      <c r="P52" s="99">
        <f>Amnt_Deposited!E47</f>
        <v>0</v>
      </c>
      <c r="Q52" s="284">
        <f>MCF!R51</f>
        <v>0.8</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0.8</v>
      </c>
      <c r="F53" s="67">
        <f t="shared" si="0"/>
        <v>0</v>
      </c>
      <c r="G53" s="67">
        <f t="shared" si="1"/>
        <v>0</v>
      </c>
      <c r="H53" s="67">
        <f t="shared" si="2"/>
        <v>0</v>
      </c>
      <c r="I53" s="67">
        <f t="shared" si="3"/>
        <v>0.37135565081153865</v>
      </c>
      <c r="J53" s="67">
        <f t="shared" si="4"/>
        <v>6.8814003660609732E-2</v>
      </c>
      <c r="K53" s="100">
        <f t="shared" si="6"/>
        <v>4.5876002440406488E-2</v>
      </c>
      <c r="O53" s="96">
        <f>Amnt_Deposited!B48</f>
        <v>2034</v>
      </c>
      <c r="P53" s="99">
        <f>Amnt_Deposited!E48</f>
        <v>0</v>
      </c>
      <c r="Q53" s="284">
        <f>MCF!R52</f>
        <v>0.8</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0.8</v>
      </c>
      <c r="F54" s="67">
        <f t="shared" si="0"/>
        <v>0</v>
      </c>
      <c r="G54" s="67">
        <f t="shared" si="1"/>
        <v>0</v>
      </c>
      <c r="H54" s="67">
        <f t="shared" si="2"/>
        <v>0</v>
      </c>
      <c r="I54" s="67">
        <f t="shared" si="3"/>
        <v>0.31329969703394744</v>
      </c>
      <c r="J54" s="67">
        <f t="shared" si="4"/>
        <v>5.8055953777591186E-2</v>
      </c>
      <c r="K54" s="100">
        <f t="shared" si="6"/>
        <v>3.8703969185060791E-2</v>
      </c>
      <c r="O54" s="96">
        <f>Amnt_Deposited!B49</f>
        <v>2035</v>
      </c>
      <c r="P54" s="99">
        <f>Amnt_Deposited!E49</f>
        <v>0</v>
      </c>
      <c r="Q54" s="284">
        <f>MCF!R53</f>
        <v>0.8</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0.8</v>
      </c>
      <c r="F55" s="67">
        <f t="shared" si="0"/>
        <v>0</v>
      </c>
      <c r="G55" s="67">
        <f t="shared" si="1"/>
        <v>0</v>
      </c>
      <c r="H55" s="67">
        <f t="shared" si="2"/>
        <v>0</v>
      </c>
      <c r="I55" s="67">
        <f t="shared" si="3"/>
        <v>0.26431993143784788</v>
      </c>
      <c r="J55" s="67">
        <f t="shared" si="4"/>
        <v>4.8979765596099595E-2</v>
      </c>
      <c r="K55" s="100">
        <f t="shared" si="6"/>
        <v>3.2653177064066397E-2</v>
      </c>
      <c r="O55" s="96">
        <f>Amnt_Deposited!B50</f>
        <v>2036</v>
      </c>
      <c r="P55" s="99">
        <f>Amnt_Deposited!E50</f>
        <v>0</v>
      </c>
      <c r="Q55" s="284">
        <f>MCF!R54</f>
        <v>0.8</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0.8</v>
      </c>
      <c r="F56" s="67">
        <f t="shared" si="0"/>
        <v>0</v>
      </c>
      <c r="G56" s="67">
        <f t="shared" si="1"/>
        <v>0</v>
      </c>
      <c r="H56" s="67">
        <f t="shared" si="2"/>
        <v>0</v>
      </c>
      <c r="I56" s="67">
        <f t="shared" si="3"/>
        <v>0.22299742647928064</v>
      </c>
      <c r="J56" s="67">
        <f t="shared" si="4"/>
        <v>4.1322504958567235E-2</v>
      </c>
      <c r="K56" s="100">
        <f t="shared" si="6"/>
        <v>2.7548336639044824E-2</v>
      </c>
      <c r="O56" s="96">
        <f>Amnt_Deposited!B51</f>
        <v>2037</v>
      </c>
      <c r="P56" s="99">
        <f>Amnt_Deposited!E51</f>
        <v>0</v>
      </c>
      <c r="Q56" s="284">
        <f>MCF!R55</f>
        <v>0.8</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0.8</v>
      </c>
      <c r="F57" s="67">
        <f t="shared" si="0"/>
        <v>0</v>
      </c>
      <c r="G57" s="67">
        <f t="shared" si="1"/>
        <v>0</v>
      </c>
      <c r="H57" s="67">
        <f t="shared" si="2"/>
        <v>0</v>
      </c>
      <c r="I57" s="67">
        <f t="shared" si="3"/>
        <v>0.18813508291210787</v>
      </c>
      <c r="J57" s="67">
        <f t="shared" si="4"/>
        <v>3.4862343567172778E-2</v>
      </c>
      <c r="K57" s="100">
        <f t="shared" si="6"/>
        <v>2.3241562378115185E-2</v>
      </c>
      <c r="O57" s="96">
        <f>Amnt_Deposited!B52</f>
        <v>2038</v>
      </c>
      <c r="P57" s="99">
        <f>Amnt_Deposited!E52</f>
        <v>0</v>
      </c>
      <c r="Q57" s="284">
        <f>MCF!R56</f>
        <v>0.8</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0.8</v>
      </c>
      <c r="F58" s="67">
        <f t="shared" si="0"/>
        <v>0</v>
      </c>
      <c r="G58" s="67">
        <f t="shared" si="1"/>
        <v>0</v>
      </c>
      <c r="H58" s="67">
        <f t="shared" si="2"/>
        <v>0</v>
      </c>
      <c r="I58" s="67">
        <f t="shared" si="3"/>
        <v>0.15872295022038893</v>
      </c>
      <c r="J58" s="67">
        <f t="shared" si="4"/>
        <v>2.9412132691718943E-2</v>
      </c>
      <c r="K58" s="100">
        <f t="shared" si="6"/>
        <v>1.9608088461145961E-2</v>
      </c>
      <c r="O58" s="96">
        <f>Amnt_Deposited!B53</f>
        <v>2039</v>
      </c>
      <c r="P58" s="99">
        <f>Amnt_Deposited!E53</f>
        <v>0</v>
      </c>
      <c r="Q58" s="284">
        <f>MCF!R57</f>
        <v>0.8</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0.8</v>
      </c>
      <c r="F59" s="67">
        <f t="shared" si="0"/>
        <v>0</v>
      </c>
      <c r="G59" s="67">
        <f t="shared" si="1"/>
        <v>0</v>
      </c>
      <c r="H59" s="67">
        <f t="shared" si="2"/>
        <v>0</v>
      </c>
      <c r="I59" s="67">
        <f t="shared" si="3"/>
        <v>0.13390896868732136</v>
      </c>
      <c r="J59" s="67">
        <f t="shared" si="4"/>
        <v>2.4813981533067565E-2</v>
      </c>
      <c r="K59" s="100">
        <f t="shared" si="6"/>
        <v>1.6542654355378376E-2</v>
      </c>
      <c r="O59" s="96">
        <f>Amnt_Deposited!B54</f>
        <v>2040</v>
      </c>
      <c r="P59" s="99">
        <f>Amnt_Deposited!E54</f>
        <v>0</v>
      </c>
      <c r="Q59" s="284">
        <f>MCF!R58</f>
        <v>0.8</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0.8</v>
      </c>
      <c r="F60" s="67">
        <f t="shared" si="0"/>
        <v>0</v>
      </c>
      <c r="G60" s="67">
        <f t="shared" si="1"/>
        <v>0</v>
      </c>
      <c r="H60" s="67">
        <f t="shared" si="2"/>
        <v>0</v>
      </c>
      <c r="I60" s="67">
        <f t="shared" si="3"/>
        <v>0.11297428550819986</v>
      </c>
      <c r="J60" s="67">
        <f t="shared" si="4"/>
        <v>2.0934683179121494E-2</v>
      </c>
      <c r="K60" s="100">
        <f t="shared" si="6"/>
        <v>1.3956455452747662E-2</v>
      </c>
      <c r="O60" s="96">
        <f>Amnt_Deposited!B55</f>
        <v>2041</v>
      </c>
      <c r="P60" s="99">
        <f>Amnt_Deposited!E55</f>
        <v>0</v>
      </c>
      <c r="Q60" s="284">
        <f>MCF!R59</f>
        <v>0.8</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0.8</v>
      </c>
      <c r="F61" s="67">
        <f t="shared" si="0"/>
        <v>0</v>
      </c>
      <c r="G61" s="67">
        <f t="shared" si="1"/>
        <v>0</v>
      </c>
      <c r="H61" s="67">
        <f t="shared" si="2"/>
        <v>0</v>
      </c>
      <c r="I61" s="67">
        <f t="shared" si="3"/>
        <v>9.5312429863382925E-2</v>
      </c>
      <c r="J61" s="67">
        <f t="shared" si="4"/>
        <v>1.7661855644816937E-2</v>
      </c>
      <c r="K61" s="100">
        <f t="shared" si="6"/>
        <v>1.1774570429877958E-2</v>
      </c>
      <c r="O61" s="96">
        <f>Amnt_Deposited!B56</f>
        <v>2042</v>
      </c>
      <c r="P61" s="99">
        <f>Amnt_Deposited!E56</f>
        <v>0</v>
      </c>
      <c r="Q61" s="284">
        <f>MCF!R60</f>
        <v>0.8</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0.8</v>
      </c>
      <c r="F62" s="67">
        <f t="shared" si="0"/>
        <v>0</v>
      </c>
      <c r="G62" s="67">
        <f t="shared" si="1"/>
        <v>0</v>
      </c>
      <c r="H62" s="67">
        <f t="shared" si="2"/>
        <v>0</v>
      </c>
      <c r="I62" s="67">
        <f t="shared" si="3"/>
        <v>8.0411743660046636E-2</v>
      </c>
      <c r="J62" s="67">
        <f t="shared" si="4"/>
        <v>1.4900686203336285E-2</v>
      </c>
      <c r="K62" s="100">
        <f t="shared" si="6"/>
        <v>9.9337908022241895E-3</v>
      </c>
      <c r="O62" s="96">
        <f>Amnt_Deposited!B57</f>
        <v>2043</v>
      </c>
      <c r="P62" s="99">
        <f>Amnt_Deposited!E57</f>
        <v>0</v>
      </c>
      <c r="Q62" s="284">
        <f>MCF!R61</f>
        <v>0.8</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0.8</v>
      </c>
      <c r="F63" s="67">
        <f t="shared" si="0"/>
        <v>0</v>
      </c>
      <c r="G63" s="67">
        <f t="shared" si="1"/>
        <v>0</v>
      </c>
      <c r="H63" s="67">
        <f t="shared" si="2"/>
        <v>0</v>
      </c>
      <c r="I63" s="67">
        <f t="shared" si="3"/>
        <v>6.7840558967148662E-2</v>
      </c>
      <c r="J63" s="67">
        <f t="shared" si="4"/>
        <v>1.2571184692897971E-2</v>
      </c>
      <c r="K63" s="100">
        <f t="shared" si="6"/>
        <v>8.3807897952653133E-3</v>
      </c>
      <c r="O63" s="96">
        <f>Amnt_Deposited!B58</f>
        <v>2044</v>
      </c>
      <c r="P63" s="99">
        <f>Amnt_Deposited!E58</f>
        <v>0</v>
      </c>
      <c r="Q63" s="284">
        <f>MCF!R62</f>
        <v>0.8</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0.8</v>
      </c>
      <c r="F64" s="67">
        <f t="shared" si="0"/>
        <v>0</v>
      </c>
      <c r="G64" s="67">
        <f t="shared" si="1"/>
        <v>0</v>
      </c>
      <c r="H64" s="67">
        <f t="shared" si="2"/>
        <v>0</v>
      </c>
      <c r="I64" s="67">
        <f t="shared" si="3"/>
        <v>5.723469273881563E-2</v>
      </c>
      <c r="J64" s="67">
        <f t="shared" si="4"/>
        <v>1.0605866228333032E-2</v>
      </c>
      <c r="K64" s="100">
        <f t="shared" si="6"/>
        <v>7.0705774855553544E-3</v>
      </c>
      <c r="O64" s="96">
        <f>Amnt_Deposited!B59</f>
        <v>2045</v>
      </c>
      <c r="P64" s="99">
        <f>Amnt_Deposited!E59</f>
        <v>0</v>
      </c>
      <c r="Q64" s="284">
        <f>MCF!R63</f>
        <v>0.8</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0.8</v>
      </c>
      <c r="F65" s="67">
        <f t="shared" si="0"/>
        <v>0</v>
      </c>
      <c r="G65" s="67">
        <f t="shared" si="1"/>
        <v>0</v>
      </c>
      <c r="H65" s="67">
        <f t="shared" si="2"/>
        <v>0</v>
      </c>
      <c r="I65" s="67">
        <f t="shared" si="3"/>
        <v>4.8286896552443261E-2</v>
      </c>
      <c r="J65" s="67">
        <f t="shared" si="4"/>
        <v>8.9477961863723681E-3</v>
      </c>
      <c r="K65" s="100">
        <f t="shared" si="6"/>
        <v>5.9651974575815787E-3</v>
      </c>
      <c r="O65" s="96">
        <f>Amnt_Deposited!B60</f>
        <v>2046</v>
      </c>
      <c r="P65" s="99">
        <f>Amnt_Deposited!E60</f>
        <v>0</v>
      </c>
      <c r="Q65" s="284">
        <f>MCF!R64</f>
        <v>0.8</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0.8</v>
      </c>
      <c r="F66" s="67">
        <f t="shared" si="0"/>
        <v>0</v>
      </c>
      <c r="G66" s="67">
        <f t="shared" si="1"/>
        <v>0</v>
      </c>
      <c r="H66" s="67">
        <f t="shared" si="2"/>
        <v>0</v>
      </c>
      <c r="I66" s="67">
        <f t="shared" si="3"/>
        <v>4.0737955723925599E-2</v>
      </c>
      <c r="J66" s="67">
        <f t="shared" si="4"/>
        <v>7.5489408285176647E-3</v>
      </c>
      <c r="K66" s="100">
        <f t="shared" si="6"/>
        <v>5.0326272190117762E-3</v>
      </c>
      <c r="O66" s="96">
        <f>Amnt_Deposited!B61</f>
        <v>2047</v>
      </c>
      <c r="P66" s="99">
        <f>Amnt_Deposited!E61</f>
        <v>0</v>
      </c>
      <c r="Q66" s="284">
        <f>MCF!R65</f>
        <v>0.8</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0.8</v>
      </c>
      <c r="F67" s="67">
        <f t="shared" si="0"/>
        <v>0</v>
      </c>
      <c r="G67" s="67">
        <f t="shared" si="1"/>
        <v>0</v>
      </c>
      <c r="H67" s="67">
        <f t="shared" si="2"/>
        <v>0</v>
      </c>
      <c r="I67" s="67">
        <f t="shared" si="3"/>
        <v>3.4369179944337289E-2</v>
      </c>
      <c r="J67" s="67">
        <f t="shared" si="4"/>
        <v>6.368775779588309E-3</v>
      </c>
      <c r="K67" s="100">
        <f t="shared" si="6"/>
        <v>4.2458505197255393E-3</v>
      </c>
      <c r="O67" s="96">
        <f>Amnt_Deposited!B62</f>
        <v>2048</v>
      </c>
      <c r="P67" s="99">
        <f>Amnt_Deposited!E62</f>
        <v>0</v>
      </c>
      <c r="Q67" s="284">
        <f>MCF!R66</f>
        <v>0.8</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0.8</v>
      </c>
      <c r="F68" s="67">
        <f t="shared" si="0"/>
        <v>0</v>
      </c>
      <c r="G68" s="67">
        <f t="shared" si="1"/>
        <v>0</v>
      </c>
      <c r="H68" s="67">
        <f t="shared" si="2"/>
        <v>0</v>
      </c>
      <c r="I68" s="67">
        <f t="shared" si="3"/>
        <v>2.8996067894307427E-2</v>
      </c>
      <c r="J68" s="67">
        <f t="shared" si="4"/>
        <v>5.3731120500298607E-3</v>
      </c>
      <c r="K68" s="100">
        <f t="shared" si="6"/>
        <v>3.5820747000199068E-3</v>
      </c>
      <c r="O68" s="96">
        <f>Amnt_Deposited!B63</f>
        <v>2049</v>
      </c>
      <c r="P68" s="99">
        <f>Amnt_Deposited!E63</f>
        <v>0</v>
      </c>
      <c r="Q68" s="284">
        <f>MCF!R67</f>
        <v>0.8</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0.8</v>
      </c>
      <c r="F69" s="67">
        <f t="shared" si="0"/>
        <v>0</v>
      </c>
      <c r="G69" s="67">
        <f t="shared" si="1"/>
        <v>0</v>
      </c>
      <c r="H69" s="67">
        <f t="shared" si="2"/>
        <v>0</v>
      </c>
      <c r="I69" s="67">
        <f t="shared" si="3"/>
        <v>2.4462962302067164E-2</v>
      </c>
      <c r="J69" s="67">
        <f t="shared" si="4"/>
        <v>4.533105592240262E-3</v>
      </c>
      <c r="K69" s="100">
        <f t="shared" si="6"/>
        <v>3.0220703948268413E-3</v>
      </c>
      <c r="O69" s="96">
        <f>Amnt_Deposited!B64</f>
        <v>2050</v>
      </c>
      <c r="P69" s="99">
        <f>Amnt_Deposited!E64</f>
        <v>0</v>
      </c>
      <c r="Q69" s="284">
        <f>MCF!R68</f>
        <v>0.8</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0.8</v>
      </c>
      <c r="F70" s="67">
        <f t="shared" si="0"/>
        <v>0</v>
      </c>
      <c r="G70" s="67">
        <f t="shared" si="1"/>
        <v>0</v>
      </c>
      <c r="H70" s="67">
        <f t="shared" si="2"/>
        <v>0</v>
      </c>
      <c r="I70" s="67">
        <f t="shared" si="3"/>
        <v>2.0638540603977743E-2</v>
      </c>
      <c r="J70" s="67">
        <f t="shared" si="4"/>
        <v>3.8244216980894215E-3</v>
      </c>
      <c r="K70" s="100">
        <f t="shared" si="6"/>
        <v>2.5496144653929477E-3</v>
      </c>
      <c r="O70" s="96">
        <f>Amnt_Deposited!B65</f>
        <v>2051</v>
      </c>
      <c r="P70" s="99">
        <f>Amnt_Deposited!E65</f>
        <v>0</v>
      </c>
      <c r="Q70" s="284">
        <f>MCF!R69</f>
        <v>0.8</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0.8</v>
      </c>
      <c r="F71" s="67">
        <f t="shared" si="0"/>
        <v>0</v>
      </c>
      <c r="G71" s="67">
        <f t="shared" si="1"/>
        <v>0</v>
      </c>
      <c r="H71" s="67">
        <f t="shared" si="2"/>
        <v>0</v>
      </c>
      <c r="I71" s="67">
        <f t="shared" si="3"/>
        <v>1.7412010573471901E-2</v>
      </c>
      <c r="J71" s="67">
        <f t="shared" si="4"/>
        <v>3.2265300305058422E-3</v>
      </c>
      <c r="K71" s="100">
        <f t="shared" si="6"/>
        <v>2.151020020337228E-3</v>
      </c>
      <c r="O71" s="96">
        <f>Amnt_Deposited!B66</f>
        <v>2052</v>
      </c>
      <c r="P71" s="99">
        <f>Amnt_Deposited!E66</f>
        <v>0</v>
      </c>
      <c r="Q71" s="284">
        <f>MCF!R70</f>
        <v>0.8</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0.8</v>
      </c>
      <c r="F72" s="67">
        <f t="shared" si="0"/>
        <v>0</v>
      </c>
      <c r="G72" s="67">
        <f t="shared" si="1"/>
        <v>0</v>
      </c>
      <c r="H72" s="67">
        <f t="shared" si="2"/>
        <v>0</v>
      </c>
      <c r="I72" s="67">
        <f t="shared" si="3"/>
        <v>1.4689900707042465E-2</v>
      </c>
      <c r="J72" s="67">
        <f t="shared" si="4"/>
        <v>2.7221098664294359E-3</v>
      </c>
      <c r="K72" s="100">
        <f t="shared" si="6"/>
        <v>1.8147399109529573E-3</v>
      </c>
      <c r="O72" s="96">
        <f>Amnt_Deposited!B67</f>
        <v>2053</v>
      </c>
      <c r="P72" s="99">
        <f>Amnt_Deposited!E67</f>
        <v>0</v>
      </c>
      <c r="Q72" s="284">
        <f>MCF!R71</f>
        <v>0.8</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0.8</v>
      </c>
      <c r="F73" s="67">
        <f t="shared" si="0"/>
        <v>0</v>
      </c>
      <c r="G73" s="67">
        <f t="shared" si="1"/>
        <v>0</v>
      </c>
      <c r="H73" s="67">
        <f t="shared" si="2"/>
        <v>0</v>
      </c>
      <c r="I73" s="67">
        <f t="shared" si="3"/>
        <v>1.2393352385826069E-2</v>
      </c>
      <c r="J73" s="67">
        <f t="shared" si="4"/>
        <v>2.2965483212163966E-3</v>
      </c>
      <c r="K73" s="100">
        <f t="shared" si="6"/>
        <v>1.5310322141442643E-3</v>
      </c>
      <c r="O73" s="96">
        <f>Amnt_Deposited!B68</f>
        <v>2054</v>
      </c>
      <c r="P73" s="99">
        <f>Amnt_Deposited!E68</f>
        <v>0</v>
      </c>
      <c r="Q73" s="284">
        <f>MCF!R72</f>
        <v>0.8</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0.8</v>
      </c>
      <c r="F74" s="67">
        <f t="shared" si="0"/>
        <v>0</v>
      </c>
      <c r="G74" s="67">
        <f t="shared" si="1"/>
        <v>0</v>
      </c>
      <c r="H74" s="67">
        <f t="shared" si="2"/>
        <v>0</v>
      </c>
      <c r="I74" s="67">
        <f t="shared" si="3"/>
        <v>1.0455835367602305E-2</v>
      </c>
      <c r="J74" s="67">
        <f t="shared" si="4"/>
        <v>1.937517018223764E-3</v>
      </c>
      <c r="K74" s="100">
        <f t="shared" si="6"/>
        <v>1.2916780121491759E-3</v>
      </c>
      <c r="O74" s="96">
        <f>Amnt_Deposited!B69</f>
        <v>2055</v>
      </c>
      <c r="P74" s="99">
        <f>Amnt_Deposited!E69</f>
        <v>0</v>
      </c>
      <c r="Q74" s="284">
        <f>MCF!R73</f>
        <v>0.8</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0.8</v>
      </c>
      <c r="F75" s="67">
        <f t="shared" si="0"/>
        <v>0</v>
      </c>
      <c r="G75" s="67">
        <f t="shared" si="1"/>
        <v>0</v>
      </c>
      <c r="H75" s="67">
        <f t="shared" si="2"/>
        <v>0</v>
      </c>
      <c r="I75" s="67">
        <f t="shared" si="3"/>
        <v>8.8212204277701798E-3</v>
      </c>
      <c r="J75" s="67">
        <f t="shared" si="4"/>
        <v>1.6346149398321242E-3</v>
      </c>
      <c r="K75" s="100">
        <f t="shared" si="6"/>
        <v>1.0897432932214161E-3</v>
      </c>
      <c r="O75" s="96">
        <f>Amnt_Deposited!B70</f>
        <v>2056</v>
      </c>
      <c r="P75" s="99">
        <f>Amnt_Deposited!E70</f>
        <v>0</v>
      </c>
      <c r="Q75" s="284">
        <f>MCF!R74</f>
        <v>0.8</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0.8</v>
      </c>
      <c r="F76" s="67">
        <f t="shared" si="0"/>
        <v>0</v>
      </c>
      <c r="G76" s="67">
        <f t="shared" si="1"/>
        <v>0</v>
      </c>
      <c r="H76" s="67">
        <f t="shared" si="2"/>
        <v>0</v>
      </c>
      <c r="I76" s="67">
        <f t="shared" si="3"/>
        <v>7.4421533143510018E-3</v>
      </c>
      <c r="J76" s="67">
        <f t="shared" si="4"/>
        <v>1.3790671134191776E-3</v>
      </c>
      <c r="K76" s="100">
        <f t="shared" si="6"/>
        <v>9.1937807561278501E-4</v>
      </c>
      <c r="O76" s="96">
        <f>Amnt_Deposited!B71</f>
        <v>2057</v>
      </c>
      <c r="P76" s="99">
        <f>Amnt_Deposited!E71</f>
        <v>0</v>
      </c>
      <c r="Q76" s="284">
        <f>MCF!R75</f>
        <v>0.8</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0.8</v>
      </c>
      <c r="F77" s="67">
        <f t="shared" si="0"/>
        <v>0</v>
      </c>
      <c r="G77" s="67">
        <f t="shared" si="1"/>
        <v>0</v>
      </c>
      <c r="H77" s="67">
        <f t="shared" si="2"/>
        <v>0</v>
      </c>
      <c r="I77" s="67">
        <f t="shared" si="3"/>
        <v>6.2786829110341074E-3</v>
      </c>
      <c r="J77" s="67">
        <f t="shared" si="4"/>
        <v>1.1634704033168946E-3</v>
      </c>
      <c r="K77" s="100">
        <f t="shared" si="6"/>
        <v>7.7564693554459639E-4</v>
      </c>
      <c r="O77" s="96">
        <f>Amnt_Deposited!B72</f>
        <v>2058</v>
      </c>
      <c r="P77" s="99">
        <f>Amnt_Deposited!E72</f>
        <v>0</v>
      </c>
      <c r="Q77" s="284">
        <f>MCF!R76</f>
        <v>0.8</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0.8</v>
      </c>
      <c r="F78" s="67">
        <f t="shared" si="0"/>
        <v>0</v>
      </c>
      <c r="G78" s="67">
        <f t="shared" si="1"/>
        <v>0</v>
      </c>
      <c r="H78" s="67">
        <f t="shared" si="2"/>
        <v>0</v>
      </c>
      <c r="I78" s="67">
        <f t="shared" si="3"/>
        <v>5.2971038666044384E-3</v>
      </c>
      <c r="J78" s="67">
        <f t="shared" si="4"/>
        <v>9.8157904442966871E-4</v>
      </c>
      <c r="K78" s="100">
        <f t="shared" si="6"/>
        <v>6.5438602961977914E-4</v>
      </c>
      <c r="O78" s="96">
        <f>Amnt_Deposited!B73</f>
        <v>2059</v>
      </c>
      <c r="P78" s="99">
        <f>Amnt_Deposited!E73</f>
        <v>0</v>
      </c>
      <c r="Q78" s="284">
        <f>MCF!R77</f>
        <v>0.8</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0.8</v>
      </c>
      <c r="F79" s="67">
        <f t="shared" si="0"/>
        <v>0</v>
      </c>
      <c r="G79" s="67">
        <f t="shared" si="1"/>
        <v>0</v>
      </c>
      <c r="H79" s="67">
        <f t="shared" si="2"/>
        <v>0</v>
      </c>
      <c r="I79" s="67">
        <f t="shared" si="3"/>
        <v>4.4689801621108282E-3</v>
      </c>
      <c r="J79" s="67">
        <f t="shared" si="4"/>
        <v>8.2812370449360988E-4</v>
      </c>
      <c r="K79" s="100">
        <f t="shared" si="6"/>
        <v>5.5208246966240659E-4</v>
      </c>
      <c r="O79" s="96">
        <f>Amnt_Deposited!B74</f>
        <v>2060</v>
      </c>
      <c r="P79" s="99">
        <f>Amnt_Deposited!E74</f>
        <v>0</v>
      </c>
      <c r="Q79" s="284">
        <f>MCF!R78</f>
        <v>0.8</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0.8</v>
      </c>
      <c r="F80" s="67">
        <f t="shared" si="0"/>
        <v>0</v>
      </c>
      <c r="G80" s="67">
        <f t="shared" si="1"/>
        <v>0</v>
      </c>
      <c r="H80" s="67">
        <f t="shared" si="2"/>
        <v>0</v>
      </c>
      <c r="I80" s="67">
        <f t="shared" si="3"/>
        <v>3.7703213288401089E-3</v>
      </c>
      <c r="J80" s="67">
        <f t="shared" si="4"/>
        <v>6.9865883327071925E-4</v>
      </c>
      <c r="K80" s="100">
        <f t="shared" si="6"/>
        <v>4.6577255551381283E-4</v>
      </c>
      <c r="O80" s="96">
        <f>Amnt_Deposited!B75</f>
        <v>2061</v>
      </c>
      <c r="P80" s="99">
        <f>Amnt_Deposited!E75</f>
        <v>0</v>
      </c>
      <c r="Q80" s="284">
        <f>MCF!R79</f>
        <v>0.8</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0.8</v>
      </c>
      <c r="F81" s="67">
        <f t="shared" si="0"/>
        <v>0</v>
      </c>
      <c r="G81" s="67">
        <f t="shared" si="1"/>
        <v>0</v>
      </c>
      <c r="H81" s="67">
        <f t="shared" si="2"/>
        <v>0</v>
      </c>
      <c r="I81" s="67">
        <f t="shared" si="3"/>
        <v>3.180887452405324E-3</v>
      </c>
      <c r="J81" s="67">
        <f t="shared" si="4"/>
        <v>5.8943387643478477E-4</v>
      </c>
      <c r="K81" s="100">
        <f t="shared" si="6"/>
        <v>3.9295591762318984E-4</v>
      </c>
      <c r="O81" s="96">
        <f>Amnt_Deposited!B76</f>
        <v>2062</v>
      </c>
      <c r="P81" s="99">
        <f>Amnt_Deposited!E76</f>
        <v>0</v>
      </c>
      <c r="Q81" s="284">
        <f>MCF!R80</f>
        <v>0.8</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0.8</v>
      </c>
      <c r="F82" s="67">
        <f t="shared" si="0"/>
        <v>0</v>
      </c>
      <c r="G82" s="67">
        <f t="shared" si="1"/>
        <v>0</v>
      </c>
      <c r="H82" s="67">
        <f t="shared" si="2"/>
        <v>0</v>
      </c>
      <c r="I82" s="67">
        <f t="shared" si="3"/>
        <v>2.6836028291472758E-3</v>
      </c>
      <c r="J82" s="67">
        <f t="shared" si="4"/>
        <v>4.9728462325804811E-4</v>
      </c>
      <c r="K82" s="100">
        <f t="shared" si="6"/>
        <v>3.3152308217203205E-4</v>
      </c>
      <c r="O82" s="96">
        <f>Amnt_Deposited!B77</f>
        <v>2063</v>
      </c>
      <c r="P82" s="99">
        <f>Amnt_Deposited!E77</f>
        <v>0</v>
      </c>
      <c r="Q82" s="284">
        <f>MCF!R81</f>
        <v>0.8</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0.8</v>
      </c>
      <c r="F83" s="67">
        <f t="shared" ref="F83:F99" si="12">C83*D83*$K$6*DOCF*E83</f>
        <v>0</v>
      </c>
      <c r="G83" s="67">
        <f t="shared" ref="G83:G99" si="13">F83*$K$12</f>
        <v>0</v>
      </c>
      <c r="H83" s="67">
        <f t="shared" ref="H83:H99" si="14">F83*(1-$K$12)</f>
        <v>0</v>
      </c>
      <c r="I83" s="67">
        <f t="shared" ref="I83:I99" si="15">G83+I82*$K$10</f>
        <v>2.264061288670073E-3</v>
      </c>
      <c r="J83" s="67">
        <f t="shared" ref="J83:J99" si="16">I82*(1-$K$10)+H83</f>
        <v>4.1954154047720292E-4</v>
      </c>
      <c r="K83" s="100">
        <f t="shared" si="6"/>
        <v>2.7969436031813528E-4</v>
      </c>
      <c r="O83" s="96">
        <f>Amnt_Deposited!B78</f>
        <v>2064</v>
      </c>
      <c r="P83" s="99">
        <f>Amnt_Deposited!E78</f>
        <v>0</v>
      </c>
      <c r="Q83" s="284">
        <f>MCF!R82</f>
        <v>0.8</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0.8</v>
      </c>
      <c r="F84" s="67">
        <f t="shared" si="12"/>
        <v>0</v>
      </c>
      <c r="G84" s="67">
        <f t="shared" si="13"/>
        <v>0</v>
      </c>
      <c r="H84" s="67">
        <f t="shared" si="14"/>
        <v>0</v>
      </c>
      <c r="I84" s="67">
        <f t="shared" si="15"/>
        <v>1.9101088518688092E-3</v>
      </c>
      <c r="J84" s="67">
        <f t="shared" si="16"/>
        <v>3.5395243680126371E-4</v>
      </c>
      <c r="K84" s="100">
        <f t="shared" si="6"/>
        <v>2.3596829120084247E-4</v>
      </c>
      <c r="O84" s="96">
        <f>Amnt_Deposited!B79</f>
        <v>2065</v>
      </c>
      <c r="P84" s="99">
        <f>Amnt_Deposited!E79</f>
        <v>0</v>
      </c>
      <c r="Q84" s="284">
        <f>MCF!R83</f>
        <v>0.8</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0.8</v>
      </c>
      <c r="F85" s="67">
        <f t="shared" si="12"/>
        <v>0</v>
      </c>
      <c r="G85" s="67">
        <f t="shared" si="13"/>
        <v>0</v>
      </c>
      <c r="H85" s="67">
        <f t="shared" si="14"/>
        <v>0</v>
      </c>
      <c r="I85" s="67">
        <f t="shared" si="15"/>
        <v>1.6114916341910279E-3</v>
      </c>
      <c r="J85" s="67">
        <f t="shared" si="16"/>
        <v>2.9861721767778123E-4</v>
      </c>
      <c r="K85" s="100">
        <f t="shared" ref="K85:K99" si="18">J85*CH4_fraction*conv</f>
        <v>1.9907814511852082E-4</v>
      </c>
      <c r="O85" s="96">
        <f>Amnt_Deposited!B80</f>
        <v>2066</v>
      </c>
      <c r="P85" s="99">
        <f>Amnt_Deposited!E80</f>
        <v>0</v>
      </c>
      <c r="Q85" s="284">
        <f>MCF!R84</f>
        <v>0.8</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0.8</v>
      </c>
      <c r="F86" s="67">
        <f t="shared" si="12"/>
        <v>0</v>
      </c>
      <c r="G86" s="67">
        <f t="shared" si="13"/>
        <v>0</v>
      </c>
      <c r="H86" s="67">
        <f t="shared" si="14"/>
        <v>0</v>
      </c>
      <c r="I86" s="67">
        <f t="shared" si="15"/>
        <v>1.3595587940063803E-3</v>
      </c>
      <c r="J86" s="67">
        <f t="shared" si="16"/>
        <v>2.5193284018464767E-4</v>
      </c>
      <c r="K86" s="100">
        <f t="shared" si="18"/>
        <v>1.679552267897651E-4</v>
      </c>
      <c r="O86" s="96">
        <f>Amnt_Deposited!B81</f>
        <v>2067</v>
      </c>
      <c r="P86" s="99">
        <f>Amnt_Deposited!E81</f>
        <v>0</v>
      </c>
      <c r="Q86" s="284">
        <f>MCF!R85</f>
        <v>0.8</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0.8</v>
      </c>
      <c r="F87" s="67">
        <f t="shared" si="12"/>
        <v>0</v>
      </c>
      <c r="G87" s="67">
        <f t="shared" si="13"/>
        <v>0</v>
      </c>
      <c r="H87" s="67">
        <f t="shared" si="14"/>
        <v>0</v>
      </c>
      <c r="I87" s="67">
        <f t="shared" si="15"/>
        <v>1.1470119205973933E-3</v>
      </c>
      <c r="J87" s="67">
        <f t="shared" si="16"/>
        <v>2.1254687340898685E-4</v>
      </c>
      <c r="K87" s="100">
        <f t="shared" si="18"/>
        <v>1.4169791560599123E-4</v>
      </c>
      <c r="O87" s="96">
        <f>Amnt_Deposited!B82</f>
        <v>2068</v>
      </c>
      <c r="P87" s="99">
        <f>Amnt_Deposited!E82</f>
        <v>0</v>
      </c>
      <c r="Q87" s="284">
        <f>MCF!R86</f>
        <v>0.8</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0.8</v>
      </c>
      <c r="F88" s="67">
        <f t="shared" si="12"/>
        <v>0</v>
      </c>
      <c r="G88" s="67">
        <f t="shared" si="13"/>
        <v>0</v>
      </c>
      <c r="H88" s="67">
        <f t="shared" si="14"/>
        <v>0</v>
      </c>
      <c r="I88" s="67">
        <f t="shared" si="15"/>
        <v>9.6769360162466571E-4</v>
      </c>
      <c r="J88" s="67">
        <f t="shared" si="16"/>
        <v>1.7931831897272766E-4</v>
      </c>
      <c r="K88" s="100">
        <f t="shared" si="18"/>
        <v>1.1954554598181844E-4</v>
      </c>
      <c r="O88" s="96">
        <f>Amnt_Deposited!B83</f>
        <v>2069</v>
      </c>
      <c r="P88" s="99">
        <f>Amnt_Deposited!E83</f>
        <v>0</v>
      </c>
      <c r="Q88" s="284">
        <f>MCF!R87</f>
        <v>0.8</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0.8</v>
      </c>
      <c r="F89" s="67">
        <f t="shared" si="12"/>
        <v>0</v>
      </c>
      <c r="G89" s="67">
        <f t="shared" si="13"/>
        <v>0</v>
      </c>
      <c r="H89" s="67">
        <f t="shared" si="14"/>
        <v>0</v>
      </c>
      <c r="I89" s="67">
        <f t="shared" si="15"/>
        <v>8.1640904493616756E-4</v>
      </c>
      <c r="J89" s="67">
        <f t="shared" si="16"/>
        <v>1.5128455668849813E-4</v>
      </c>
      <c r="K89" s="100">
        <f t="shared" si="18"/>
        <v>1.0085637112566541E-4</v>
      </c>
      <c r="O89" s="96">
        <f>Amnt_Deposited!B84</f>
        <v>2070</v>
      </c>
      <c r="P89" s="99">
        <f>Amnt_Deposited!E84</f>
        <v>0</v>
      </c>
      <c r="Q89" s="284">
        <f>MCF!R88</f>
        <v>0.8</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0.8</v>
      </c>
      <c r="F90" s="67">
        <f t="shared" si="12"/>
        <v>0</v>
      </c>
      <c r="G90" s="67">
        <f t="shared" si="13"/>
        <v>0</v>
      </c>
      <c r="H90" s="67">
        <f t="shared" si="14"/>
        <v>0</v>
      </c>
      <c r="I90" s="67">
        <f t="shared" si="15"/>
        <v>6.8877558716370056E-4</v>
      </c>
      <c r="J90" s="67">
        <f t="shared" si="16"/>
        <v>1.2763345777246698E-4</v>
      </c>
      <c r="K90" s="100">
        <f t="shared" si="18"/>
        <v>8.5088971848311308E-5</v>
      </c>
      <c r="O90" s="96">
        <f>Amnt_Deposited!B85</f>
        <v>2071</v>
      </c>
      <c r="P90" s="99">
        <f>Amnt_Deposited!E85</f>
        <v>0</v>
      </c>
      <c r="Q90" s="284">
        <f>MCF!R89</f>
        <v>0.8</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0.8</v>
      </c>
      <c r="F91" s="67">
        <f t="shared" si="12"/>
        <v>0</v>
      </c>
      <c r="G91" s="67">
        <f t="shared" si="13"/>
        <v>0</v>
      </c>
      <c r="H91" s="67">
        <f t="shared" si="14"/>
        <v>0</v>
      </c>
      <c r="I91" s="67">
        <f t="shared" si="15"/>
        <v>5.8109572942052995E-4</v>
      </c>
      <c r="J91" s="67">
        <f t="shared" si="16"/>
        <v>1.0767985774317062E-4</v>
      </c>
      <c r="K91" s="100">
        <f t="shared" si="18"/>
        <v>7.1786571828780406E-5</v>
      </c>
      <c r="O91" s="96">
        <f>Amnt_Deposited!B86</f>
        <v>2072</v>
      </c>
      <c r="P91" s="99">
        <f>Amnt_Deposited!E86</f>
        <v>0</v>
      </c>
      <c r="Q91" s="284">
        <f>MCF!R90</f>
        <v>0.8</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0.8</v>
      </c>
      <c r="F92" s="67">
        <f t="shared" si="12"/>
        <v>0</v>
      </c>
      <c r="G92" s="67">
        <f t="shared" si="13"/>
        <v>0</v>
      </c>
      <c r="H92" s="67">
        <f t="shared" si="14"/>
        <v>0</v>
      </c>
      <c r="I92" s="67">
        <f t="shared" si="15"/>
        <v>4.9025002198651321E-4</v>
      </c>
      <c r="J92" s="67">
        <f t="shared" si="16"/>
        <v>9.0845707434016737E-5</v>
      </c>
      <c r="K92" s="100">
        <f t="shared" si="18"/>
        <v>6.0563804956011158E-5</v>
      </c>
      <c r="O92" s="96">
        <f>Amnt_Deposited!B87</f>
        <v>2073</v>
      </c>
      <c r="P92" s="99">
        <f>Amnt_Deposited!E87</f>
        <v>0</v>
      </c>
      <c r="Q92" s="284">
        <f>MCF!R91</f>
        <v>0.8</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0.8</v>
      </c>
      <c r="F93" s="67">
        <f t="shared" si="12"/>
        <v>0</v>
      </c>
      <c r="G93" s="67">
        <f t="shared" si="13"/>
        <v>0</v>
      </c>
      <c r="H93" s="67">
        <f t="shared" si="14"/>
        <v>0</v>
      </c>
      <c r="I93" s="67">
        <f t="shared" si="15"/>
        <v>4.1360669488562475E-4</v>
      </c>
      <c r="J93" s="67">
        <f t="shared" si="16"/>
        <v>7.6643327100888467E-5</v>
      </c>
      <c r="K93" s="100">
        <f t="shared" si="18"/>
        <v>5.1095551400592311E-5</v>
      </c>
      <c r="O93" s="96">
        <f>Amnt_Deposited!B88</f>
        <v>2074</v>
      </c>
      <c r="P93" s="99">
        <f>Amnt_Deposited!E88</f>
        <v>0</v>
      </c>
      <c r="Q93" s="284">
        <f>MCF!R92</f>
        <v>0.8</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0.8</v>
      </c>
      <c r="F94" s="67">
        <f t="shared" si="12"/>
        <v>0</v>
      </c>
      <c r="G94" s="67">
        <f t="shared" si="13"/>
        <v>0</v>
      </c>
      <c r="H94" s="67">
        <f t="shared" si="14"/>
        <v>0</v>
      </c>
      <c r="I94" s="67">
        <f t="shared" si="15"/>
        <v>3.4894541638371703E-4</v>
      </c>
      <c r="J94" s="67">
        <f t="shared" si="16"/>
        <v>6.4661278501907716E-5</v>
      </c>
      <c r="K94" s="100">
        <f t="shared" si="18"/>
        <v>4.3107519001271809E-5</v>
      </c>
      <c r="O94" s="96">
        <f>Amnt_Deposited!B89</f>
        <v>2075</v>
      </c>
      <c r="P94" s="99">
        <f>Amnt_Deposited!E89</f>
        <v>0</v>
      </c>
      <c r="Q94" s="284">
        <f>MCF!R93</f>
        <v>0.8</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0.8</v>
      </c>
      <c r="F95" s="67">
        <f t="shared" si="12"/>
        <v>0</v>
      </c>
      <c r="G95" s="67">
        <f t="shared" si="13"/>
        <v>0</v>
      </c>
      <c r="H95" s="67">
        <f t="shared" si="14"/>
        <v>0</v>
      </c>
      <c r="I95" s="67">
        <f t="shared" si="15"/>
        <v>2.9439297071551739E-4</v>
      </c>
      <c r="J95" s="67">
        <f t="shared" si="16"/>
        <v>5.455244566819966E-5</v>
      </c>
      <c r="K95" s="100">
        <f t="shared" si="18"/>
        <v>3.6368297112133102E-5</v>
      </c>
      <c r="O95" s="96">
        <f>Amnt_Deposited!B90</f>
        <v>2076</v>
      </c>
      <c r="P95" s="99">
        <f>Amnt_Deposited!E90</f>
        <v>0</v>
      </c>
      <c r="Q95" s="284">
        <f>MCF!R94</f>
        <v>0.8</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0.8</v>
      </c>
      <c r="F96" s="67">
        <f t="shared" si="12"/>
        <v>0</v>
      </c>
      <c r="G96" s="67">
        <f t="shared" si="13"/>
        <v>0</v>
      </c>
      <c r="H96" s="67">
        <f t="shared" si="14"/>
        <v>0</v>
      </c>
      <c r="I96" s="67">
        <f t="shared" si="15"/>
        <v>2.4836899164597156E-4</v>
      </c>
      <c r="J96" s="67">
        <f t="shared" si="16"/>
        <v>4.6023979069545851E-5</v>
      </c>
      <c r="K96" s="100">
        <f t="shared" si="18"/>
        <v>3.0682652713030565E-5</v>
      </c>
      <c r="O96" s="96">
        <f>Amnt_Deposited!B91</f>
        <v>2077</v>
      </c>
      <c r="P96" s="99">
        <f>Amnt_Deposited!E91</f>
        <v>0</v>
      </c>
      <c r="Q96" s="284">
        <f>MCF!R95</f>
        <v>0.8</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0.8</v>
      </c>
      <c r="F97" s="67">
        <f t="shared" si="12"/>
        <v>0</v>
      </c>
      <c r="G97" s="67">
        <f t="shared" si="13"/>
        <v>0</v>
      </c>
      <c r="H97" s="67">
        <f t="shared" si="14"/>
        <v>0</v>
      </c>
      <c r="I97" s="67">
        <f t="shared" si="15"/>
        <v>2.0954017978522734E-4</v>
      </c>
      <c r="J97" s="67">
        <f t="shared" si="16"/>
        <v>3.8828811860744208E-5</v>
      </c>
      <c r="K97" s="100">
        <f t="shared" si="18"/>
        <v>2.5885874573829471E-5</v>
      </c>
      <c r="O97" s="96">
        <f>Amnt_Deposited!B92</f>
        <v>2078</v>
      </c>
      <c r="P97" s="99">
        <f>Amnt_Deposited!E92</f>
        <v>0</v>
      </c>
      <c r="Q97" s="284">
        <f>MCF!R96</f>
        <v>0.8</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0.8</v>
      </c>
      <c r="F98" s="67">
        <f t="shared" si="12"/>
        <v>0</v>
      </c>
      <c r="G98" s="67">
        <f t="shared" si="13"/>
        <v>0</v>
      </c>
      <c r="H98" s="67">
        <f t="shared" si="14"/>
        <v>0</v>
      </c>
      <c r="I98" s="67">
        <f t="shared" si="15"/>
        <v>1.7678167734807708E-4</v>
      </c>
      <c r="J98" s="67">
        <f t="shared" si="16"/>
        <v>3.2758502437150249E-5</v>
      </c>
      <c r="K98" s="100">
        <f t="shared" si="18"/>
        <v>2.1839001624766831E-5</v>
      </c>
      <c r="O98" s="96">
        <f>Amnt_Deposited!B93</f>
        <v>2079</v>
      </c>
      <c r="P98" s="99">
        <f>Amnt_Deposited!E93</f>
        <v>0</v>
      </c>
      <c r="Q98" s="284">
        <f>MCF!R97</f>
        <v>0.8</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0.8</v>
      </c>
      <c r="F99" s="68">
        <f t="shared" si="12"/>
        <v>0</v>
      </c>
      <c r="G99" s="68">
        <f t="shared" si="13"/>
        <v>0</v>
      </c>
      <c r="H99" s="68">
        <f t="shared" si="14"/>
        <v>0</v>
      </c>
      <c r="I99" s="68">
        <f t="shared" si="15"/>
        <v>1.4914448139746652E-4</v>
      </c>
      <c r="J99" s="68">
        <f t="shared" si="16"/>
        <v>2.7637195950610552E-5</v>
      </c>
      <c r="K99" s="102">
        <f t="shared" si="18"/>
        <v>1.8424797300407033E-5</v>
      </c>
      <c r="O99" s="97">
        <f>Amnt_Deposited!B94</f>
        <v>2080</v>
      </c>
      <c r="P99" s="99">
        <f>Amnt_Deposited!E94</f>
        <v>0</v>
      </c>
      <c r="Q99" s="285">
        <f>MCF!R98</f>
        <v>0.8</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0.49</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0.8</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0.8</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0.8</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0.8</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0.8</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0.8</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0.8</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0.8</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0.8</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0.8</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0.8</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0.8</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0.8</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0.8</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0.8</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0.8</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0.8</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0.8</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0.8</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0.8</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0.8</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0.8</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0.8</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0.8</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0.8</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0.8</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0.8</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0.8</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0.8</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0.8</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0.8</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0.8</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0.8</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0.8</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0.8</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0.8</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0.8</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0.8</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0.8</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0.8</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0.8</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0.8</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0.8</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0.8</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0.8</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0.8</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0.8</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0.8</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0.8</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0.8</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0.8</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0.8</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0.8</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0.8</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0.8</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0.8</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0.8</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0.8</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0.8</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0.8</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0.8</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0.8</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0.8</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0.8</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0.8</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0.8</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0.8</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0.8</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0.8</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0.8</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0.8</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0.8</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0.8</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0.8</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0.8</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0.8</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0.8</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0.8</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0.8</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0.8</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0.8</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0.8</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0.8</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0.8</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0.8</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0.8</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0.8</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0.8</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0.8</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0.8</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0.8</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0.8</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0.8</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0.8</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0.8</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0.8</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0.8</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0.8</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0.8</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0.8</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0.8</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0.8</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0.8</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0.8</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0.8</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0.8</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0.8</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0.8</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0.8</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0.8</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0.8</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0.8</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0.8</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0.8</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0.8</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0.8</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0.8</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0.8</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0.8</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0.8</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0.8</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0.8</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0.8</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0.8</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0.8</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0.8</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0.8</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0.8</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0.8</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0.8</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0.8</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0.8</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0.8</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0.8</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0.8</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0.8</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0.8</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0.8</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0.8</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0.8</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0.8</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0.8</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0.5</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0.8</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0</v>
      </c>
      <c r="Q19" s="283">
        <f>MCF!R18</f>
        <v>0.8</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Dry_Matter_Content!G7</f>
        <v>0.56999999999999995</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0</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Dry_Matter_Content!G8</f>
        <v>0.56999999999999995</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0.68194026370799998</v>
      </c>
      <c r="Q21" s="284">
        <f>MCF!R20</f>
        <v>0.8</v>
      </c>
      <c r="R21" s="67">
        <f t="shared" si="5"/>
        <v>0.117293725357776</v>
      </c>
      <c r="S21" s="67">
        <f t="shared" ref="S21:S84" si="7">R21*$W$12</f>
        <v>0.117293725357776</v>
      </c>
      <c r="T21" s="67">
        <f t="shared" ref="T21:T84" si="8">R21*(1-$W$12)</f>
        <v>0</v>
      </c>
      <c r="U21" s="67">
        <f t="shared" ref="U21:U84" si="9">S21+U20*$W$10</f>
        <v>0.117293725357776</v>
      </c>
      <c r="V21" s="67">
        <f t="shared" ref="V21:V84" si="10">U20*(1-$W$10)+T21</f>
        <v>0</v>
      </c>
      <c r="W21" s="100">
        <f t="shared" ref="W21:W84" si="11">V21*CH4_fraction*conv</f>
        <v>0</v>
      </c>
    </row>
    <row r="22" spans="2:23">
      <c r="B22" s="96">
        <f>Amnt_Deposited!B17</f>
        <v>2003</v>
      </c>
      <c r="C22" s="99">
        <f>Amnt_Deposited!F17</f>
        <v>0</v>
      </c>
      <c r="D22" s="418">
        <f>Dry_Matter_Content!G9</f>
        <v>0.56999999999999995</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Amnt_Deposited!G17</f>
        <v>0.69363314420400002</v>
      </c>
      <c r="Q22" s="284">
        <f>MCF!R21</f>
        <v>0.8</v>
      </c>
      <c r="R22" s="67">
        <f t="shared" si="5"/>
        <v>0.119304900803088</v>
      </c>
      <c r="S22" s="67">
        <f t="shared" si="7"/>
        <v>0.119304900803088</v>
      </c>
      <c r="T22" s="67">
        <f t="shared" si="8"/>
        <v>0</v>
      </c>
      <c r="U22" s="67">
        <f t="shared" si="9"/>
        <v>0.23256435730158398</v>
      </c>
      <c r="V22" s="67">
        <f t="shared" si="10"/>
        <v>4.034268859280027E-3</v>
      </c>
      <c r="W22" s="100">
        <f t="shared" si="11"/>
        <v>2.6895125728533514E-3</v>
      </c>
    </row>
    <row r="23" spans="2:23">
      <c r="B23" s="96">
        <f>Amnt_Deposited!B18</f>
        <v>2004</v>
      </c>
      <c r="C23" s="99">
        <f>Amnt_Deposited!F18</f>
        <v>0</v>
      </c>
      <c r="D23" s="418">
        <f>Dry_Matter_Content!G10</f>
        <v>0.56999999999999995</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Amnt_Deposited!G18</f>
        <v>0.72146171156399996</v>
      </c>
      <c r="Q23" s="284">
        <f>MCF!R22</f>
        <v>0.8</v>
      </c>
      <c r="R23" s="67">
        <f t="shared" si="5"/>
        <v>0.124091414389008</v>
      </c>
      <c r="S23" s="67">
        <f t="shared" si="7"/>
        <v>0.124091414389008</v>
      </c>
      <c r="T23" s="67">
        <f t="shared" si="8"/>
        <v>0</v>
      </c>
      <c r="U23" s="67">
        <f t="shared" si="9"/>
        <v>0.34865681742787741</v>
      </c>
      <c r="V23" s="67">
        <f t="shared" si="10"/>
        <v>7.9989542627145645E-3</v>
      </c>
      <c r="W23" s="100">
        <f t="shared" si="11"/>
        <v>5.3326361751430424E-3</v>
      </c>
    </row>
    <row r="24" spans="2:23">
      <c r="B24" s="96">
        <f>Amnt_Deposited!B19</f>
        <v>2005</v>
      </c>
      <c r="C24" s="99">
        <f>Amnt_Deposited!F19</f>
        <v>0</v>
      </c>
      <c r="D24" s="418">
        <f>Dry_Matter_Content!G11</f>
        <v>0.56999999999999995</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Amnt_Deposited!G19</f>
        <v>0.74739842456400019</v>
      </c>
      <c r="Q24" s="284">
        <f>MCF!R23</f>
        <v>0.8</v>
      </c>
      <c r="R24" s="67">
        <f t="shared" si="5"/>
        <v>0.12855252902500802</v>
      </c>
      <c r="S24" s="67">
        <f t="shared" si="7"/>
        <v>0.12855252902500802</v>
      </c>
      <c r="T24" s="67">
        <f t="shared" si="8"/>
        <v>0</v>
      </c>
      <c r="U24" s="67">
        <f t="shared" si="9"/>
        <v>0.46521744034849194</v>
      </c>
      <c r="V24" s="67">
        <f t="shared" si="10"/>
        <v>1.199190610439349E-2</v>
      </c>
      <c r="W24" s="100">
        <f t="shared" si="11"/>
        <v>7.9946040695956597E-3</v>
      </c>
    </row>
    <row r="25" spans="2:23">
      <c r="B25" s="96">
        <f>Amnt_Deposited!B20</f>
        <v>2006</v>
      </c>
      <c r="C25" s="99">
        <f>Amnt_Deposited!F20</f>
        <v>0</v>
      </c>
      <c r="D25" s="418">
        <f>Dry_Matter_Content!G12</f>
        <v>0.56999999999999995</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Amnt_Deposited!G20</f>
        <v>0.75556391209200002</v>
      </c>
      <c r="Q25" s="284">
        <f>MCF!R24</f>
        <v>0.8</v>
      </c>
      <c r="R25" s="67">
        <f t="shared" si="5"/>
        <v>0.12995699287982401</v>
      </c>
      <c r="S25" s="67">
        <f t="shared" si="7"/>
        <v>0.12995699287982401</v>
      </c>
      <c r="T25" s="67">
        <f t="shared" si="8"/>
        <v>0</v>
      </c>
      <c r="U25" s="67">
        <f t="shared" si="9"/>
        <v>0.57917347301780919</v>
      </c>
      <c r="V25" s="67">
        <f t="shared" si="10"/>
        <v>1.6000960210506784E-2</v>
      </c>
      <c r="W25" s="100">
        <f t="shared" si="11"/>
        <v>1.0667306807004522E-2</v>
      </c>
    </row>
    <row r="26" spans="2:23">
      <c r="B26" s="96">
        <f>Amnt_Deposited!B21</f>
        <v>2007</v>
      </c>
      <c r="C26" s="99">
        <f>Amnt_Deposited!F21</f>
        <v>0</v>
      </c>
      <c r="D26" s="418">
        <f>Dry_Matter_Content!G13</f>
        <v>0.56999999999999995</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Amnt_Deposited!G21</f>
        <v>0.76349139213600004</v>
      </c>
      <c r="Q26" s="284">
        <f>MCF!R25</f>
        <v>0.8</v>
      </c>
      <c r="R26" s="67">
        <f t="shared" si="5"/>
        <v>0.13132051944739201</v>
      </c>
      <c r="S26" s="67">
        <f t="shared" si="7"/>
        <v>0.13132051944739201</v>
      </c>
      <c r="T26" s="67">
        <f t="shared" si="8"/>
        <v>0</v>
      </c>
      <c r="U26" s="67">
        <f t="shared" si="9"/>
        <v>0.69057356194609409</v>
      </c>
      <c r="V26" s="67">
        <f t="shared" si="10"/>
        <v>1.9920430519107111E-2</v>
      </c>
      <c r="W26" s="100">
        <f t="shared" si="11"/>
        <v>1.3280287012738073E-2</v>
      </c>
    </row>
    <row r="27" spans="2:23">
      <c r="B27" s="96">
        <f>Amnt_Deposited!B22</f>
        <v>2008</v>
      </c>
      <c r="C27" s="99">
        <f>Amnt_Deposited!F22</f>
        <v>0</v>
      </c>
      <c r="D27" s="418">
        <f>Dry_Matter_Content!G14</f>
        <v>0.56999999999999995</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Amnt_Deposited!G22</f>
        <v>0.77110763162400009</v>
      </c>
      <c r="Q27" s="284">
        <f>MCF!R26</f>
        <v>0.8</v>
      </c>
      <c r="R27" s="67">
        <f t="shared" si="5"/>
        <v>0.13263051263932801</v>
      </c>
      <c r="S27" s="67">
        <f t="shared" si="7"/>
        <v>0.13263051263932801</v>
      </c>
      <c r="T27" s="67">
        <f t="shared" si="8"/>
        <v>0</v>
      </c>
      <c r="U27" s="67">
        <f t="shared" si="9"/>
        <v>0.79945208437875659</v>
      </c>
      <c r="V27" s="67">
        <f t="shared" si="10"/>
        <v>2.3751990206665546E-2</v>
      </c>
      <c r="W27" s="100">
        <f t="shared" si="11"/>
        <v>1.583466013777703E-2</v>
      </c>
    </row>
    <row r="28" spans="2:23">
      <c r="B28" s="96">
        <f>Amnt_Deposited!B23</f>
        <v>2009</v>
      </c>
      <c r="C28" s="99">
        <f>Amnt_Deposited!F23</f>
        <v>0</v>
      </c>
      <c r="D28" s="418">
        <f>Dry_Matter_Content!G15</f>
        <v>0.56999999999999995</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Amnt_Deposited!G23</f>
        <v>0.77829667819199999</v>
      </c>
      <c r="Q28" s="284">
        <f>MCF!R27</f>
        <v>0.8</v>
      </c>
      <c r="R28" s="67">
        <f t="shared" si="5"/>
        <v>0.133867028649024</v>
      </c>
      <c r="S28" s="67">
        <f t="shared" si="7"/>
        <v>0.133867028649024</v>
      </c>
      <c r="T28" s="67">
        <f t="shared" si="8"/>
        <v>0</v>
      </c>
      <c r="U28" s="67">
        <f t="shared" si="9"/>
        <v>0.90582229136355241</v>
      </c>
      <c r="V28" s="67">
        <f t="shared" si="10"/>
        <v>2.7496821664228187E-2</v>
      </c>
      <c r="W28" s="100">
        <f t="shared" si="11"/>
        <v>1.8331214442818791E-2</v>
      </c>
    </row>
    <row r="29" spans="2:23">
      <c r="B29" s="96">
        <f>Amnt_Deposited!B24</f>
        <v>2010</v>
      </c>
      <c r="C29" s="99">
        <f>Amnt_Deposited!F24</f>
        <v>0</v>
      </c>
      <c r="D29" s="418">
        <f>Dry_Matter_Content!G16</f>
        <v>0.56999999999999995</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Amnt_Deposited!G24</f>
        <v>0.87221809303200004</v>
      </c>
      <c r="Q29" s="284">
        <f>MCF!R28</f>
        <v>0.8</v>
      </c>
      <c r="R29" s="67">
        <f t="shared" si="5"/>
        <v>0.15002151200150401</v>
      </c>
      <c r="S29" s="67">
        <f t="shared" si="7"/>
        <v>0.15002151200150401</v>
      </c>
      <c r="T29" s="67">
        <f t="shared" si="8"/>
        <v>0</v>
      </c>
      <c r="U29" s="67">
        <f t="shared" si="9"/>
        <v>1.0246884227089896</v>
      </c>
      <c r="V29" s="67">
        <f t="shared" si="10"/>
        <v>3.1155380656066736E-2</v>
      </c>
      <c r="W29" s="100">
        <f t="shared" si="11"/>
        <v>2.0770253770711157E-2</v>
      </c>
    </row>
    <row r="30" spans="2:23">
      <c r="B30" s="96">
        <f>Amnt_Deposited!B25</f>
        <v>2011</v>
      </c>
      <c r="C30" s="99">
        <f>Amnt_Deposited!F25</f>
        <v>0</v>
      </c>
      <c r="D30" s="418">
        <f>Dry_Matter_Content!G17</f>
        <v>0.56999999999999995</v>
      </c>
      <c r="E30" s="284">
        <f>MCF!R29</f>
        <v>0.8</v>
      </c>
      <c r="F30" s="67">
        <f t="shared" si="0"/>
        <v>0</v>
      </c>
      <c r="G30" s="67">
        <f t="shared" si="1"/>
        <v>0</v>
      </c>
      <c r="H30" s="67">
        <f t="shared" si="2"/>
        <v>0</v>
      </c>
      <c r="I30" s="67">
        <f t="shared" si="3"/>
        <v>0</v>
      </c>
      <c r="J30" s="67">
        <f t="shared" si="4"/>
        <v>0</v>
      </c>
      <c r="K30" s="100">
        <f t="shared" si="6"/>
        <v>0</v>
      </c>
      <c r="O30" s="96">
        <f>Amnt_Deposited!B25</f>
        <v>2011</v>
      </c>
      <c r="P30" s="99">
        <f>Amnt_Deposited!G25</f>
        <v>0.80988010488000017</v>
      </c>
      <c r="Q30" s="284">
        <f>MCF!R29</f>
        <v>0.8</v>
      </c>
      <c r="R30" s="67">
        <f t="shared" si="5"/>
        <v>0.13929937803936004</v>
      </c>
      <c r="S30" s="67">
        <f t="shared" si="7"/>
        <v>0.13929937803936004</v>
      </c>
      <c r="T30" s="67">
        <f t="shared" si="8"/>
        <v>0</v>
      </c>
      <c r="U30" s="67">
        <f t="shared" si="9"/>
        <v>1.1287440689835833</v>
      </c>
      <c r="V30" s="67">
        <f t="shared" si="10"/>
        <v>3.524373176476648E-2</v>
      </c>
      <c r="W30" s="100">
        <f t="shared" si="11"/>
        <v>2.3495821176510986E-2</v>
      </c>
    </row>
    <row r="31" spans="2:23">
      <c r="B31" s="96">
        <f>Amnt_Deposited!B26</f>
        <v>2012</v>
      </c>
      <c r="C31" s="99">
        <f>Amnt_Deposited!F26</f>
        <v>0</v>
      </c>
      <c r="D31" s="418">
        <f>Dry_Matter_Content!G18</f>
        <v>0.56999999999999995</v>
      </c>
      <c r="E31" s="284">
        <f>MCF!R30</f>
        <v>0.8</v>
      </c>
      <c r="F31" s="67">
        <f t="shared" si="0"/>
        <v>0</v>
      </c>
      <c r="G31" s="67">
        <f t="shared" si="1"/>
        <v>0</v>
      </c>
      <c r="H31" s="67">
        <f t="shared" si="2"/>
        <v>0</v>
      </c>
      <c r="I31" s="67">
        <f t="shared" si="3"/>
        <v>0</v>
      </c>
      <c r="J31" s="67">
        <f t="shared" si="4"/>
        <v>0</v>
      </c>
      <c r="K31" s="100">
        <f t="shared" si="6"/>
        <v>0</v>
      </c>
      <c r="O31" s="96">
        <f>Amnt_Deposited!B26</f>
        <v>2012</v>
      </c>
      <c r="P31" s="99">
        <f>Amnt_Deposited!G26</f>
        <v>0.82128671064000003</v>
      </c>
      <c r="Q31" s="284">
        <f>MCF!R30</f>
        <v>0.8</v>
      </c>
      <c r="R31" s="67">
        <f t="shared" si="5"/>
        <v>0.14126131423008001</v>
      </c>
      <c r="S31" s="67">
        <f t="shared" si="7"/>
        <v>0.14126131423008001</v>
      </c>
      <c r="T31" s="67">
        <f t="shared" si="8"/>
        <v>0</v>
      </c>
      <c r="U31" s="67">
        <f t="shared" si="9"/>
        <v>1.2311827008092322</v>
      </c>
      <c r="V31" s="67">
        <f t="shared" si="10"/>
        <v>3.8822682404431035E-2</v>
      </c>
      <c r="W31" s="100">
        <f t="shared" si="11"/>
        <v>2.588178826962069E-2</v>
      </c>
    </row>
    <row r="32" spans="2:23">
      <c r="B32" s="96">
        <f>Amnt_Deposited!B27</f>
        <v>2013</v>
      </c>
      <c r="C32" s="99">
        <f>Amnt_Deposited!F27</f>
        <v>0</v>
      </c>
      <c r="D32" s="418">
        <f>Dry_Matter_Content!G19</f>
        <v>0.56999999999999995</v>
      </c>
      <c r="E32" s="284">
        <f>MCF!R31</f>
        <v>0.8</v>
      </c>
      <c r="F32" s="67">
        <f t="shared" si="0"/>
        <v>0</v>
      </c>
      <c r="G32" s="67">
        <f t="shared" si="1"/>
        <v>0</v>
      </c>
      <c r="H32" s="67">
        <f t="shared" si="2"/>
        <v>0</v>
      </c>
      <c r="I32" s="67">
        <f t="shared" si="3"/>
        <v>0</v>
      </c>
      <c r="J32" s="67">
        <f t="shared" si="4"/>
        <v>0</v>
      </c>
      <c r="K32" s="100">
        <f t="shared" si="6"/>
        <v>0</v>
      </c>
      <c r="O32" s="96">
        <f>Amnt_Deposited!B27</f>
        <v>2013</v>
      </c>
      <c r="P32" s="99">
        <f>Amnt_Deposited!G27</f>
        <v>0.83333133180000019</v>
      </c>
      <c r="Q32" s="284">
        <f>MCF!R31</f>
        <v>0.8</v>
      </c>
      <c r="R32" s="67">
        <f t="shared" si="5"/>
        <v>0.14333298906960004</v>
      </c>
      <c r="S32" s="67">
        <f t="shared" si="7"/>
        <v>0.14333298906960004</v>
      </c>
      <c r="T32" s="67">
        <f t="shared" si="8"/>
        <v>0</v>
      </c>
      <c r="U32" s="67">
        <f t="shared" si="9"/>
        <v>1.3321696733736135</v>
      </c>
      <c r="V32" s="67">
        <f t="shared" si="10"/>
        <v>4.2346016505218631E-2</v>
      </c>
      <c r="W32" s="100">
        <f t="shared" si="11"/>
        <v>2.8230677670145754E-2</v>
      </c>
    </row>
    <row r="33" spans="2:23">
      <c r="B33" s="96">
        <f>Amnt_Deposited!B28</f>
        <v>2014</v>
      </c>
      <c r="C33" s="99">
        <f>Amnt_Deposited!F28</f>
        <v>0</v>
      </c>
      <c r="D33" s="418">
        <f>Dry_Matter_Content!G20</f>
        <v>0.56999999999999995</v>
      </c>
      <c r="E33" s="284">
        <f>MCF!R32</f>
        <v>0.8</v>
      </c>
      <c r="F33" s="67">
        <f t="shared" si="0"/>
        <v>0</v>
      </c>
      <c r="G33" s="67">
        <f t="shared" si="1"/>
        <v>0</v>
      </c>
      <c r="H33" s="67">
        <f t="shared" si="2"/>
        <v>0</v>
      </c>
      <c r="I33" s="67">
        <f t="shared" si="3"/>
        <v>0</v>
      </c>
      <c r="J33" s="67">
        <f t="shared" si="4"/>
        <v>0</v>
      </c>
      <c r="K33" s="100">
        <f t="shared" si="6"/>
        <v>0</v>
      </c>
      <c r="O33" s="96">
        <f>Amnt_Deposited!B28</f>
        <v>2014</v>
      </c>
      <c r="P33" s="99">
        <f>Amnt_Deposited!G28</f>
        <v>0.84395012724000018</v>
      </c>
      <c r="Q33" s="284">
        <f>MCF!R32</f>
        <v>0.8</v>
      </c>
      <c r="R33" s="67">
        <f t="shared" si="5"/>
        <v>0.14515942188528005</v>
      </c>
      <c r="S33" s="67">
        <f t="shared" si="7"/>
        <v>0.14515942188528005</v>
      </c>
      <c r="T33" s="67">
        <f t="shared" si="8"/>
        <v>0</v>
      </c>
      <c r="U33" s="67">
        <f t="shared" si="9"/>
        <v>1.4315096738689144</v>
      </c>
      <c r="V33" s="67">
        <f t="shared" si="10"/>
        <v>4.5819421389979083E-2</v>
      </c>
      <c r="W33" s="100">
        <f t="shared" si="11"/>
        <v>3.0546280926652722E-2</v>
      </c>
    </row>
    <row r="34" spans="2:23">
      <c r="B34" s="96">
        <f>Amnt_Deposited!B29</f>
        <v>2015</v>
      </c>
      <c r="C34" s="99">
        <f>Amnt_Deposited!F29</f>
        <v>0</v>
      </c>
      <c r="D34" s="418">
        <f>Dry_Matter_Content!G21</f>
        <v>0.56999999999999995</v>
      </c>
      <c r="E34" s="284">
        <f>MCF!R33</f>
        <v>0.8</v>
      </c>
      <c r="F34" s="67">
        <f t="shared" si="0"/>
        <v>0</v>
      </c>
      <c r="G34" s="67">
        <f t="shared" si="1"/>
        <v>0</v>
      </c>
      <c r="H34" s="67">
        <f t="shared" si="2"/>
        <v>0</v>
      </c>
      <c r="I34" s="67">
        <f t="shared" si="3"/>
        <v>0</v>
      </c>
      <c r="J34" s="67">
        <f t="shared" si="4"/>
        <v>0</v>
      </c>
      <c r="K34" s="100">
        <f t="shared" si="6"/>
        <v>0</v>
      </c>
      <c r="O34" s="96">
        <f>Amnt_Deposited!B29</f>
        <v>2015</v>
      </c>
      <c r="P34" s="99">
        <f>Amnt_Deposited!G29</f>
        <v>0.85568961060000015</v>
      </c>
      <c r="Q34" s="284">
        <f>MCF!R33</f>
        <v>0.8</v>
      </c>
      <c r="R34" s="67">
        <f t="shared" si="5"/>
        <v>0.14717861302320004</v>
      </c>
      <c r="S34" s="67">
        <f t="shared" si="7"/>
        <v>0.14717861302320004</v>
      </c>
      <c r="T34" s="67">
        <f t="shared" si="8"/>
        <v>0</v>
      </c>
      <c r="U34" s="67">
        <f t="shared" si="9"/>
        <v>1.5294521075361263</v>
      </c>
      <c r="V34" s="67">
        <f t="shared" si="10"/>
        <v>4.9236179355988098E-2</v>
      </c>
      <c r="W34" s="100">
        <f t="shared" si="11"/>
        <v>3.2824119570658727E-2</v>
      </c>
    </row>
    <row r="35" spans="2:23">
      <c r="B35" s="96">
        <f>Amnt_Deposited!B30</f>
        <v>2016</v>
      </c>
      <c r="C35" s="99">
        <f>Amnt_Deposited!F30</f>
        <v>0</v>
      </c>
      <c r="D35" s="418">
        <f>Dry_Matter_Content!G22</f>
        <v>0.56999999999999995</v>
      </c>
      <c r="E35" s="284">
        <f>MCF!R34</f>
        <v>0.8</v>
      </c>
      <c r="F35" s="67">
        <f t="shared" si="0"/>
        <v>0</v>
      </c>
      <c r="G35" s="67">
        <f t="shared" si="1"/>
        <v>0</v>
      </c>
      <c r="H35" s="67">
        <f t="shared" si="2"/>
        <v>0</v>
      </c>
      <c r="I35" s="67">
        <f t="shared" si="3"/>
        <v>0</v>
      </c>
      <c r="J35" s="67">
        <f t="shared" si="4"/>
        <v>0</v>
      </c>
      <c r="K35" s="100">
        <f t="shared" si="6"/>
        <v>0</v>
      </c>
      <c r="O35" s="96">
        <f>Amnt_Deposited!B30</f>
        <v>2016</v>
      </c>
      <c r="P35" s="99">
        <f>Amnt_Deposited!G30</f>
        <v>0.86548730796000017</v>
      </c>
      <c r="Q35" s="284">
        <f>MCF!R34</f>
        <v>0.8</v>
      </c>
      <c r="R35" s="67">
        <f t="shared" si="5"/>
        <v>0.14886381696912004</v>
      </c>
      <c r="S35" s="67">
        <f t="shared" si="7"/>
        <v>0.14886381696912004</v>
      </c>
      <c r="T35" s="67">
        <f t="shared" si="8"/>
        <v>0</v>
      </c>
      <c r="U35" s="67">
        <f t="shared" si="9"/>
        <v>1.6257110559125536</v>
      </c>
      <c r="V35" s="67">
        <f t="shared" si="10"/>
        <v>5.2604868592692762E-2</v>
      </c>
      <c r="W35" s="100">
        <f t="shared" si="11"/>
        <v>3.5069912395128508E-2</v>
      </c>
    </row>
    <row r="36" spans="2:23">
      <c r="B36" s="96">
        <f>Amnt_Deposited!B31</f>
        <v>2017</v>
      </c>
      <c r="C36" s="99">
        <f>Amnt_Deposited!F31</f>
        <v>0</v>
      </c>
      <c r="D36" s="418">
        <f>Dry_Matter_Content!G23</f>
        <v>0.56999999999999995</v>
      </c>
      <c r="E36" s="284">
        <f>MCF!R35</f>
        <v>0.8</v>
      </c>
      <c r="F36" s="67">
        <f t="shared" si="0"/>
        <v>0</v>
      </c>
      <c r="G36" s="67">
        <f t="shared" si="1"/>
        <v>0</v>
      </c>
      <c r="H36" s="67">
        <f t="shared" si="2"/>
        <v>0</v>
      </c>
      <c r="I36" s="67">
        <f t="shared" si="3"/>
        <v>0</v>
      </c>
      <c r="J36" s="67">
        <f t="shared" si="4"/>
        <v>0</v>
      </c>
      <c r="K36" s="100">
        <f t="shared" si="6"/>
        <v>0</v>
      </c>
      <c r="O36" s="96">
        <f>Amnt_Deposited!B31</f>
        <v>2017</v>
      </c>
      <c r="P36" s="99">
        <f>Amnt_Deposited!G31</f>
        <v>0.87804171385476504</v>
      </c>
      <c r="Q36" s="284">
        <f>MCF!R35</f>
        <v>0.8</v>
      </c>
      <c r="R36" s="67">
        <f t="shared" si="5"/>
        <v>0.1510231747830196</v>
      </c>
      <c r="S36" s="67">
        <f t="shared" si="7"/>
        <v>0.1510231747830196</v>
      </c>
      <c r="T36" s="67">
        <f t="shared" si="8"/>
        <v>0</v>
      </c>
      <c r="U36" s="67">
        <f t="shared" si="9"/>
        <v>1.7208185756419887</v>
      </c>
      <c r="V36" s="67">
        <f t="shared" si="10"/>
        <v>5.5915655053584375E-2</v>
      </c>
      <c r="W36" s="100">
        <f t="shared" si="11"/>
        <v>3.727710336905625E-2</v>
      </c>
    </row>
    <row r="37" spans="2:23">
      <c r="B37" s="96">
        <f>Amnt_Deposited!B32</f>
        <v>2018</v>
      </c>
      <c r="C37" s="99">
        <f>Amnt_Deposited!F32</f>
        <v>0</v>
      </c>
      <c r="D37" s="418">
        <f>Dry_Matter_Content!G24</f>
        <v>0.56999999999999995</v>
      </c>
      <c r="E37" s="284">
        <f>MCF!R36</f>
        <v>0.8</v>
      </c>
      <c r="F37" s="67">
        <f t="shared" si="0"/>
        <v>0</v>
      </c>
      <c r="G37" s="67">
        <f t="shared" si="1"/>
        <v>0</v>
      </c>
      <c r="H37" s="67">
        <f t="shared" si="2"/>
        <v>0</v>
      </c>
      <c r="I37" s="67">
        <f t="shared" si="3"/>
        <v>0</v>
      </c>
      <c r="J37" s="67">
        <f t="shared" si="4"/>
        <v>0</v>
      </c>
      <c r="K37" s="100">
        <f t="shared" si="6"/>
        <v>0</v>
      </c>
      <c r="O37" s="96">
        <f>Amnt_Deposited!B32</f>
        <v>2018</v>
      </c>
      <c r="P37" s="99">
        <f>Amnt_Deposited!G32</f>
        <v>0.87536021870654068</v>
      </c>
      <c r="Q37" s="284">
        <f>MCF!R36</f>
        <v>0.8</v>
      </c>
      <c r="R37" s="67">
        <f t="shared" si="5"/>
        <v>0.150561957617525</v>
      </c>
      <c r="S37" s="67">
        <f t="shared" si="7"/>
        <v>0.150561957617525</v>
      </c>
      <c r="T37" s="67">
        <f t="shared" si="8"/>
        <v>0</v>
      </c>
      <c r="U37" s="67">
        <f t="shared" si="9"/>
        <v>1.8121936946540602</v>
      </c>
      <c r="V37" s="67">
        <f t="shared" si="10"/>
        <v>5.9186838605453582E-2</v>
      </c>
      <c r="W37" s="100">
        <f t="shared" si="11"/>
        <v>3.9457892403635716E-2</v>
      </c>
    </row>
    <row r="38" spans="2:23">
      <c r="B38" s="96">
        <f>Amnt_Deposited!B33</f>
        <v>2019</v>
      </c>
      <c r="C38" s="99">
        <f>Amnt_Deposited!F33</f>
        <v>0</v>
      </c>
      <c r="D38" s="418">
        <f>Dry_Matter_Content!G25</f>
        <v>0.56999999999999995</v>
      </c>
      <c r="E38" s="284">
        <f>MCF!R37</f>
        <v>0.8</v>
      </c>
      <c r="F38" s="67">
        <f t="shared" si="0"/>
        <v>0</v>
      </c>
      <c r="G38" s="67">
        <f t="shared" si="1"/>
        <v>0</v>
      </c>
      <c r="H38" s="67">
        <f t="shared" si="2"/>
        <v>0</v>
      </c>
      <c r="I38" s="67">
        <f t="shared" si="3"/>
        <v>0</v>
      </c>
      <c r="J38" s="67">
        <f t="shared" si="4"/>
        <v>0</v>
      </c>
      <c r="K38" s="100">
        <f t="shared" si="6"/>
        <v>0</v>
      </c>
      <c r="O38" s="96">
        <f>Amnt_Deposited!B33</f>
        <v>2019</v>
      </c>
      <c r="P38" s="99">
        <f>Amnt_Deposited!G33</f>
        <v>0.87230900477897599</v>
      </c>
      <c r="Q38" s="284">
        <f>MCF!R37</f>
        <v>0.8</v>
      </c>
      <c r="R38" s="67">
        <f t="shared" si="5"/>
        <v>0.15003714882198388</v>
      </c>
      <c r="S38" s="67">
        <f t="shared" si="7"/>
        <v>0.15003714882198388</v>
      </c>
      <c r="T38" s="67">
        <f t="shared" si="8"/>
        <v>0</v>
      </c>
      <c r="U38" s="67">
        <f t="shared" si="9"/>
        <v>1.899901195687755</v>
      </c>
      <c r="V38" s="67">
        <f t="shared" si="10"/>
        <v>6.232964778828911E-2</v>
      </c>
      <c r="W38" s="100">
        <f t="shared" si="11"/>
        <v>4.1553098525526071E-2</v>
      </c>
    </row>
    <row r="39" spans="2:23">
      <c r="B39" s="96">
        <f>Amnt_Deposited!B34</f>
        <v>2020</v>
      </c>
      <c r="C39" s="99">
        <f>Amnt_Deposited!F34</f>
        <v>0</v>
      </c>
      <c r="D39" s="418">
        <f>Dry_Matter_Content!G26</f>
        <v>0.56999999999999995</v>
      </c>
      <c r="E39" s="284">
        <f>MCF!R38</f>
        <v>0.8</v>
      </c>
      <c r="F39" s="67">
        <f t="shared" si="0"/>
        <v>0</v>
      </c>
      <c r="G39" s="67">
        <f t="shared" si="1"/>
        <v>0</v>
      </c>
      <c r="H39" s="67">
        <f t="shared" si="2"/>
        <v>0</v>
      </c>
      <c r="I39" s="67">
        <f t="shared" si="3"/>
        <v>0</v>
      </c>
      <c r="J39" s="67">
        <f t="shared" si="4"/>
        <v>0</v>
      </c>
      <c r="K39" s="100">
        <f t="shared" si="6"/>
        <v>0</v>
      </c>
      <c r="O39" s="96">
        <f>Amnt_Deposited!B34</f>
        <v>2020</v>
      </c>
      <c r="P39" s="99">
        <f>Amnt_Deposited!G34</f>
        <v>0.86890718959207924</v>
      </c>
      <c r="Q39" s="284">
        <f>MCF!R38</f>
        <v>0.8</v>
      </c>
      <c r="R39" s="67">
        <f t="shared" si="5"/>
        <v>0.14945203660983764</v>
      </c>
      <c r="S39" s="67">
        <f t="shared" si="7"/>
        <v>0.14945203660983764</v>
      </c>
      <c r="T39" s="67">
        <f t="shared" si="8"/>
        <v>0</v>
      </c>
      <c r="U39" s="67">
        <f t="shared" si="9"/>
        <v>1.9840069215201606</v>
      </c>
      <c r="V39" s="67">
        <f t="shared" si="10"/>
        <v>6.5346310777432096E-2</v>
      </c>
      <c r="W39" s="100">
        <f t="shared" si="11"/>
        <v>4.3564207184954726E-2</v>
      </c>
    </row>
    <row r="40" spans="2:23">
      <c r="B40" s="96">
        <f>Amnt_Deposited!B35</f>
        <v>2021</v>
      </c>
      <c r="C40" s="99">
        <f>Amnt_Deposited!F35</f>
        <v>0</v>
      </c>
      <c r="D40" s="418">
        <f>Dry_Matter_Content!G27</f>
        <v>0.56999999999999995</v>
      </c>
      <c r="E40" s="284">
        <f>MCF!R39</f>
        <v>0.8</v>
      </c>
      <c r="F40" s="67">
        <f t="shared" si="0"/>
        <v>0</v>
      </c>
      <c r="G40" s="67">
        <f t="shared" si="1"/>
        <v>0</v>
      </c>
      <c r="H40" s="67">
        <f t="shared" si="2"/>
        <v>0</v>
      </c>
      <c r="I40" s="67">
        <f t="shared" si="3"/>
        <v>0</v>
      </c>
      <c r="J40" s="67">
        <f t="shared" si="4"/>
        <v>0</v>
      </c>
      <c r="K40" s="100">
        <f t="shared" si="6"/>
        <v>0</v>
      </c>
      <c r="O40" s="96">
        <f>Amnt_Deposited!B35</f>
        <v>2021</v>
      </c>
      <c r="P40" s="99">
        <f>Amnt_Deposited!G35</f>
        <v>0.86517319009541171</v>
      </c>
      <c r="Q40" s="284">
        <f>MCF!R39</f>
        <v>0.8</v>
      </c>
      <c r="R40" s="67">
        <f t="shared" si="5"/>
        <v>0.14880978869641082</v>
      </c>
      <c r="S40" s="67">
        <f t="shared" si="7"/>
        <v>0.14880978869641082</v>
      </c>
      <c r="T40" s="67">
        <f t="shared" si="8"/>
        <v>0</v>
      </c>
      <c r="U40" s="67">
        <f t="shared" si="9"/>
        <v>2.0645776180087783</v>
      </c>
      <c r="V40" s="67">
        <f t="shared" si="10"/>
        <v>6.8239092207792923E-2</v>
      </c>
      <c r="W40" s="100">
        <f t="shared" si="11"/>
        <v>4.5492728138528615E-2</v>
      </c>
    </row>
    <row r="41" spans="2:23">
      <c r="B41" s="96">
        <f>Amnt_Deposited!B36</f>
        <v>2022</v>
      </c>
      <c r="C41" s="99">
        <f>Amnt_Deposited!F36</f>
        <v>0</v>
      </c>
      <c r="D41" s="418">
        <f>Dry_Matter_Content!G28</f>
        <v>0.56999999999999995</v>
      </c>
      <c r="E41" s="284">
        <f>MCF!R40</f>
        <v>0.8</v>
      </c>
      <c r="F41" s="67">
        <f t="shared" si="0"/>
        <v>0</v>
      </c>
      <c r="G41" s="67">
        <f t="shared" si="1"/>
        <v>0</v>
      </c>
      <c r="H41" s="67">
        <f t="shared" si="2"/>
        <v>0</v>
      </c>
      <c r="I41" s="67">
        <f t="shared" si="3"/>
        <v>0</v>
      </c>
      <c r="J41" s="67">
        <f t="shared" si="4"/>
        <v>0</v>
      </c>
      <c r="K41" s="100">
        <f t="shared" si="6"/>
        <v>0</v>
      </c>
      <c r="O41" s="96">
        <f>Amnt_Deposited!B36</f>
        <v>2022</v>
      </c>
      <c r="P41" s="99">
        <f>Amnt_Deposited!G36</f>
        <v>0.8611247451863131</v>
      </c>
      <c r="Q41" s="284">
        <f>MCF!R40</f>
        <v>0.8</v>
      </c>
      <c r="R41" s="67">
        <f t="shared" si="5"/>
        <v>0.14811345617204585</v>
      </c>
      <c r="S41" s="67">
        <f t="shared" si="7"/>
        <v>0.14811345617204585</v>
      </c>
      <c r="T41" s="67">
        <f t="shared" si="8"/>
        <v>0</v>
      </c>
      <c r="U41" s="67">
        <f t="shared" si="9"/>
        <v>2.141680786405467</v>
      </c>
      <c r="V41" s="67">
        <f t="shared" si="10"/>
        <v>7.1010287775356881E-2</v>
      </c>
      <c r="W41" s="100">
        <f t="shared" si="11"/>
        <v>4.7340191850237918E-2</v>
      </c>
    </row>
    <row r="42" spans="2:23">
      <c r="B42" s="96">
        <f>Amnt_Deposited!B37</f>
        <v>2023</v>
      </c>
      <c r="C42" s="99">
        <f>Amnt_Deposited!F37</f>
        <v>0</v>
      </c>
      <c r="D42" s="418">
        <f>Dry_Matter_Content!G29</f>
        <v>0.56999999999999995</v>
      </c>
      <c r="E42" s="284">
        <f>MCF!R41</f>
        <v>0.8</v>
      </c>
      <c r="F42" s="67">
        <f t="shared" si="0"/>
        <v>0</v>
      </c>
      <c r="G42" s="67">
        <f t="shared" si="1"/>
        <v>0</v>
      </c>
      <c r="H42" s="67">
        <f t="shared" si="2"/>
        <v>0</v>
      </c>
      <c r="I42" s="67">
        <f t="shared" si="3"/>
        <v>0</v>
      </c>
      <c r="J42" s="67">
        <f t="shared" si="4"/>
        <v>0</v>
      </c>
      <c r="K42" s="100">
        <f t="shared" si="6"/>
        <v>0</v>
      </c>
      <c r="O42" s="96">
        <f>Amnt_Deposited!B37</f>
        <v>2023</v>
      </c>
      <c r="P42" s="99">
        <f>Amnt_Deposited!G37</f>
        <v>0.85677893755308965</v>
      </c>
      <c r="Q42" s="284">
        <f>MCF!R41</f>
        <v>0.8</v>
      </c>
      <c r="R42" s="67">
        <f t="shared" si="5"/>
        <v>0.14736597725913142</v>
      </c>
      <c r="S42" s="67">
        <f t="shared" si="7"/>
        <v>0.14736597725913142</v>
      </c>
      <c r="T42" s="67">
        <f t="shared" si="8"/>
        <v>0</v>
      </c>
      <c r="U42" s="67">
        <f t="shared" si="9"/>
        <v>2.2153845445070148</v>
      </c>
      <c r="V42" s="67">
        <f t="shared" si="10"/>
        <v>7.3662219157583753E-2</v>
      </c>
      <c r="W42" s="100">
        <f t="shared" si="11"/>
        <v>4.910814610505583E-2</v>
      </c>
    </row>
    <row r="43" spans="2:23">
      <c r="B43" s="96">
        <f>Amnt_Deposited!B38</f>
        <v>2024</v>
      </c>
      <c r="C43" s="99">
        <f>Amnt_Deposited!F38</f>
        <v>0</v>
      </c>
      <c r="D43" s="418">
        <f>Dry_Matter_Content!G30</f>
        <v>0.56999999999999995</v>
      </c>
      <c r="E43" s="284">
        <f>MCF!R42</f>
        <v>0.8</v>
      </c>
      <c r="F43" s="67">
        <f t="shared" si="0"/>
        <v>0</v>
      </c>
      <c r="G43" s="67">
        <f t="shared" si="1"/>
        <v>0</v>
      </c>
      <c r="H43" s="67">
        <f t="shared" si="2"/>
        <v>0</v>
      </c>
      <c r="I43" s="67">
        <f t="shared" si="3"/>
        <v>0</v>
      </c>
      <c r="J43" s="67">
        <f t="shared" si="4"/>
        <v>0</v>
      </c>
      <c r="K43" s="100">
        <f t="shared" si="6"/>
        <v>0</v>
      </c>
      <c r="O43" s="96">
        <f>Amnt_Deposited!B38</f>
        <v>2024</v>
      </c>
      <c r="P43" s="99">
        <f>Amnt_Deposited!G38</f>
        <v>0.85215221486254478</v>
      </c>
      <c r="Q43" s="284">
        <f>MCF!R42</f>
        <v>0.8</v>
      </c>
      <c r="R43" s="67">
        <f t="shared" si="5"/>
        <v>0.14657018095635771</v>
      </c>
      <c r="S43" s="67">
        <f t="shared" si="7"/>
        <v>0.14657018095635771</v>
      </c>
      <c r="T43" s="67">
        <f t="shared" si="8"/>
        <v>0</v>
      </c>
      <c r="U43" s="67">
        <f t="shared" si="9"/>
        <v>2.2857574962256328</v>
      </c>
      <c r="V43" s="67">
        <f t="shared" si="10"/>
        <v>7.61972292377395E-2</v>
      </c>
      <c r="W43" s="100">
        <f t="shared" si="11"/>
        <v>5.0798152825159662E-2</v>
      </c>
    </row>
    <row r="44" spans="2:23">
      <c r="B44" s="96">
        <f>Amnt_Deposited!B39</f>
        <v>2025</v>
      </c>
      <c r="C44" s="99">
        <f>Amnt_Deposited!F39</f>
        <v>0</v>
      </c>
      <c r="D44" s="418">
        <f>Dry_Matter_Content!G31</f>
        <v>0.56999999999999995</v>
      </c>
      <c r="E44" s="284">
        <f>MCF!R43</f>
        <v>0.8</v>
      </c>
      <c r="F44" s="67">
        <f t="shared" si="0"/>
        <v>0</v>
      </c>
      <c r="G44" s="67">
        <f t="shared" si="1"/>
        <v>0</v>
      </c>
      <c r="H44" s="67">
        <f t="shared" si="2"/>
        <v>0</v>
      </c>
      <c r="I44" s="67">
        <f t="shared" si="3"/>
        <v>0</v>
      </c>
      <c r="J44" s="67">
        <f t="shared" si="4"/>
        <v>0</v>
      </c>
      <c r="K44" s="100">
        <f t="shared" si="6"/>
        <v>0</v>
      </c>
      <c r="O44" s="96">
        <f>Amnt_Deposited!B39</f>
        <v>2025</v>
      </c>
      <c r="P44" s="99">
        <f>Amnt_Deposited!G39</f>
        <v>0.847260410310682</v>
      </c>
      <c r="Q44" s="284">
        <f>MCF!R43</f>
        <v>0.8</v>
      </c>
      <c r="R44" s="67">
        <f t="shared" si="5"/>
        <v>0.14572879057343732</v>
      </c>
      <c r="S44" s="67">
        <f t="shared" si="7"/>
        <v>0.14572879057343732</v>
      </c>
      <c r="T44" s="67">
        <f t="shared" si="8"/>
        <v>0</v>
      </c>
      <c r="U44" s="67">
        <f t="shared" si="9"/>
        <v>2.3528686091802427</v>
      </c>
      <c r="V44" s="67">
        <f t="shared" si="10"/>
        <v>7.8617677618827736E-2</v>
      </c>
      <c r="W44" s="100">
        <f t="shared" si="11"/>
        <v>5.2411785079218488E-2</v>
      </c>
    </row>
    <row r="45" spans="2:23">
      <c r="B45" s="96">
        <f>Amnt_Deposited!B40</f>
        <v>2026</v>
      </c>
      <c r="C45" s="99">
        <f>Amnt_Deposited!F40</f>
        <v>0</v>
      </c>
      <c r="D45" s="418">
        <f>Dry_Matter_Content!G32</f>
        <v>0.56999999999999995</v>
      </c>
      <c r="E45" s="284">
        <f>MCF!R44</f>
        <v>0.8</v>
      </c>
      <c r="F45" s="67">
        <f t="shared" si="0"/>
        <v>0</v>
      </c>
      <c r="G45" s="67">
        <f t="shared" si="1"/>
        <v>0</v>
      </c>
      <c r="H45" s="67">
        <f t="shared" si="2"/>
        <v>0</v>
      </c>
      <c r="I45" s="67">
        <f t="shared" si="3"/>
        <v>0</v>
      </c>
      <c r="J45" s="67">
        <f t="shared" si="4"/>
        <v>0</v>
      </c>
      <c r="K45" s="100">
        <f t="shared" si="6"/>
        <v>0</v>
      </c>
      <c r="O45" s="96">
        <f>Amnt_Deposited!B40</f>
        <v>2026</v>
      </c>
      <c r="P45" s="99">
        <f>Amnt_Deposited!G40</f>
        <v>0.84211876255490126</v>
      </c>
      <c r="Q45" s="284">
        <f>MCF!R44</f>
        <v>0.8</v>
      </c>
      <c r="R45" s="67">
        <f t="shared" si="5"/>
        <v>0.14484442715944301</v>
      </c>
      <c r="S45" s="67">
        <f t="shared" si="7"/>
        <v>0.14484442715944301</v>
      </c>
      <c r="T45" s="67">
        <f t="shared" si="8"/>
        <v>0</v>
      </c>
      <c r="U45" s="67">
        <f t="shared" si="9"/>
        <v>2.4167870999262924</v>
      </c>
      <c r="V45" s="67">
        <f t="shared" si="10"/>
        <v>8.0925936413392976E-2</v>
      </c>
      <c r="W45" s="100">
        <f t="shared" si="11"/>
        <v>5.3950624275595313E-2</v>
      </c>
    </row>
    <row r="46" spans="2:23">
      <c r="B46" s="96">
        <f>Amnt_Deposited!B41</f>
        <v>2027</v>
      </c>
      <c r="C46" s="99">
        <f>Amnt_Deposited!F41</f>
        <v>0</v>
      </c>
      <c r="D46" s="418">
        <f>Dry_Matter_Content!G33</f>
        <v>0.56999999999999995</v>
      </c>
      <c r="E46" s="284">
        <f>MCF!R45</f>
        <v>0.8</v>
      </c>
      <c r="F46" s="67">
        <f t="shared" si="0"/>
        <v>0</v>
      </c>
      <c r="G46" s="67">
        <f t="shared" si="1"/>
        <v>0</v>
      </c>
      <c r="H46" s="67">
        <f t="shared" si="2"/>
        <v>0</v>
      </c>
      <c r="I46" s="67">
        <f t="shared" si="3"/>
        <v>0</v>
      </c>
      <c r="J46" s="67">
        <f t="shared" si="4"/>
        <v>0</v>
      </c>
      <c r="K46" s="100">
        <f t="shared" si="6"/>
        <v>0</v>
      </c>
      <c r="O46" s="96">
        <f>Amnt_Deposited!B41</f>
        <v>2027</v>
      </c>
      <c r="P46" s="99">
        <f>Amnt_Deposited!G41</f>
        <v>0.83674193504547922</v>
      </c>
      <c r="Q46" s="284">
        <f>MCF!R45</f>
        <v>0.8</v>
      </c>
      <c r="R46" s="67">
        <f t="shared" si="5"/>
        <v>0.14391961282782242</v>
      </c>
      <c r="S46" s="67">
        <f t="shared" si="7"/>
        <v>0.14391961282782242</v>
      </c>
      <c r="T46" s="67">
        <f t="shared" si="8"/>
        <v>0</v>
      </c>
      <c r="U46" s="67">
        <f t="shared" si="9"/>
        <v>2.4775823264580672</v>
      </c>
      <c r="V46" s="67">
        <f t="shared" si="10"/>
        <v>8.3124386296047958E-2</v>
      </c>
      <c r="W46" s="100">
        <f t="shared" si="11"/>
        <v>5.5416257530698634E-2</v>
      </c>
    </row>
    <row r="47" spans="2:23">
      <c r="B47" s="96">
        <f>Amnt_Deposited!B42</f>
        <v>2028</v>
      </c>
      <c r="C47" s="99">
        <f>Amnt_Deposited!F42</f>
        <v>0</v>
      </c>
      <c r="D47" s="418">
        <f>Dry_Matter_Content!G34</f>
        <v>0.56999999999999995</v>
      </c>
      <c r="E47" s="284">
        <f>MCF!R46</f>
        <v>0.8</v>
      </c>
      <c r="F47" s="67">
        <f t="shared" si="0"/>
        <v>0</v>
      </c>
      <c r="G47" s="67">
        <f t="shared" si="1"/>
        <v>0</v>
      </c>
      <c r="H47" s="67">
        <f t="shared" si="2"/>
        <v>0</v>
      </c>
      <c r="I47" s="67">
        <f t="shared" si="3"/>
        <v>0</v>
      </c>
      <c r="J47" s="67">
        <f t="shared" si="4"/>
        <v>0</v>
      </c>
      <c r="K47" s="100">
        <f t="shared" si="6"/>
        <v>0</v>
      </c>
      <c r="O47" s="96">
        <f>Amnt_Deposited!B42</f>
        <v>2028</v>
      </c>
      <c r="P47" s="99">
        <f>Amnt_Deposited!G42</f>
        <v>0.83114403477364396</v>
      </c>
      <c r="Q47" s="284">
        <f>MCF!R46</f>
        <v>0.8</v>
      </c>
      <c r="R47" s="67">
        <f t="shared" si="5"/>
        <v>0.14295677398106676</v>
      </c>
      <c r="S47" s="67">
        <f t="shared" si="7"/>
        <v>0.14295677398106676</v>
      </c>
      <c r="T47" s="67">
        <f t="shared" si="8"/>
        <v>0</v>
      </c>
      <c r="U47" s="67">
        <f t="shared" si="9"/>
        <v>2.5353236876329985</v>
      </c>
      <c r="V47" s="67">
        <f t="shared" si="10"/>
        <v>8.5215412806135302E-2</v>
      </c>
      <c r="W47" s="100">
        <f t="shared" si="11"/>
        <v>5.6810275204090196E-2</v>
      </c>
    </row>
    <row r="48" spans="2:23">
      <c r="B48" s="96">
        <f>Amnt_Deposited!B43</f>
        <v>2029</v>
      </c>
      <c r="C48" s="99">
        <f>Amnt_Deposited!F43</f>
        <v>0</v>
      </c>
      <c r="D48" s="418">
        <f>Dry_Matter_Content!G35</f>
        <v>0.56999999999999995</v>
      </c>
      <c r="E48" s="284">
        <f>MCF!R47</f>
        <v>0.8</v>
      </c>
      <c r="F48" s="67">
        <f t="shared" si="0"/>
        <v>0</v>
      </c>
      <c r="G48" s="67">
        <f t="shared" si="1"/>
        <v>0</v>
      </c>
      <c r="H48" s="67">
        <f t="shared" si="2"/>
        <v>0</v>
      </c>
      <c r="I48" s="67">
        <f t="shared" si="3"/>
        <v>0</v>
      </c>
      <c r="J48" s="67">
        <f t="shared" si="4"/>
        <v>0</v>
      </c>
      <c r="K48" s="100">
        <f t="shared" si="6"/>
        <v>0</v>
      </c>
      <c r="O48" s="96">
        <f>Amnt_Deposited!B43</f>
        <v>2029</v>
      </c>
      <c r="P48" s="99">
        <f>Amnt_Deposited!G43</f>
        <v>0.825338630453061</v>
      </c>
      <c r="Q48" s="284">
        <f>MCF!R47</f>
        <v>0.8</v>
      </c>
      <c r="R48" s="67">
        <f t="shared" si="5"/>
        <v>0.14195824443792648</v>
      </c>
      <c r="S48" s="67">
        <f t="shared" si="7"/>
        <v>0.14195824443792648</v>
      </c>
      <c r="T48" s="67">
        <f t="shared" si="8"/>
        <v>0</v>
      </c>
      <c r="U48" s="67">
        <f t="shared" si="9"/>
        <v>2.5900805291824565</v>
      </c>
      <c r="V48" s="67">
        <f t="shared" si="10"/>
        <v>8.7201402888468574E-2</v>
      </c>
      <c r="W48" s="100">
        <f t="shared" si="11"/>
        <v>5.8134268592312383E-2</v>
      </c>
    </row>
    <row r="49" spans="2:23">
      <c r="B49" s="96">
        <f>Amnt_Deposited!B44</f>
        <v>2030</v>
      </c>
      <c r="C49" s="99">
        <f>Amnt_Deposited!F44</f>
        <v>0</v>
      </c>
      <c r="D49" s="418">
        <f>Dry_Matter_Content!G36</f>
        <v>0.56999999999999995</v>
      </c>
      <c r="E49" s="284">
        <f>MCF!R48</f>
        <v>0.8</v>
      </c>
      <c r="F49" s="67">
        <f t="shared" si="0"/>
        <v>0</v>
      </c>
      <c r="G49" s="67">
        <f t="shared" si="1"/>
        <v>0</v>
      </c>
      <c r="H49" s="67">
        <f t="shared" si="2"/>
        <v>0</v>
      </c>
      <c r="I49" s="67">
        <f t="shared" si="3"/>
        <v>0</v>
      </c>
      <c r="J49" s="67">
        <f t="shared" si="4"/>
        <v>0</v>
      </c>
      <c r="K49" s="100">
        <f t="shared" si="6"/>
        <v>0</v>
      </c>
      <c r="O49" s="96">
        <f>Amnt_Deposited!B44</f>
        <v>2030</v>
      </c>
      <c r="P49" s="99">
        <f>Amnt_Deposited!G44</f>
        <v>0.8193738960000001</v>
      </c>
      <c r="Q49" s="284">
        <f>MCF!R48</f>
        <v>0.8</v>
      </c>
      <c r="R49" s="67">
        <f t="shared" si="5"/>
        <v>0.14093231011200003</v>
      </c>
      <c r="S49" s="67">
        <f t="shared" si="7"/>
        <v>0.14093231011200003</v>
      </c>
      <c r="T49" s="67">
        <f t="shared" si="8"/>
        <v>0</v>
      </c>
      <c r="U49" s="67">
        <f t="shared" si="9"/>
        <v>2.6419280976338437</v>
      </c>
      <c r="V49" s="67">
        <f t="shared" si="10"/>
        <v>8.9084741660612574E-2</v>
      </c>
      <c r="W49" s="100">
        <f t="shared" si="11"/>
        <v>5.9389827773741716E-2</v>
      </c>
    </row>
    <row r="50" spans="2:23">
      <c r="B50" s="96">
        <f>Amnt_Deposited!B45</f>
        <v>2031</v>
      </c>
      <c r="C50" s="99">
        <f>Amnt_Deposited!F45</f>
        <v>0</v>
      </c>
      <c r="D50" s="418">
        <f>Dry_Matter_Content!G37</f>
        <v>0.56999999999999995</v>
      </c>
      <c r="E50" s="284">
        <f>MCF!R49</f>
        <v>0.8</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0.8</v>
      </c>
      <c r="R50" s="67">
        <f t="shared" si="5"/>
        <v>0</v>
      </c>
      <c r="S50" s="67">
        <f t="shared" si="7"/>
        <v>0</v>
      </c>
      <c r="T50" s="67">
        <f t="shared" si="8"/>
        <v>0</v>
      </c>
      <c r="U50" s="67">
        <f t="shared" si="9"/>
        <v>2.5510600804382886</v>
      </c>
      <c r="V50" s="67">
        <f t="shared" si="10"/>
        <v>9.0868017195555359E-2</v>
      </c>
      <c r="W50" s="100">
        <f t="shared" si="11"/>
        <v>6.0578678130370239E-2</v>
      </c>
    </row>
    <row r="51" spans="2:23">
      <c r="B51" s="96">
        <f>Amnt_Deposited!B46</f>
        <v>2032</v>
      </c>
      <c r="C51" s="99">
        <f>Amnt_Deposited!F46</f>
        <v>0</v>
      </c>
      <c r="D51" s="418">
        <f>Dry_Matter_Content!G38</f>
        <v>0.56999999999999995</v>
      </c>
      <c r="E51" s="284">
        <f>MCF!R50</f>
        <v>0.8</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0.8</v>
      </c>
      <c r="R51" s="67">
        <f t="shared" si="5"/>
        <v>0</v>
      </c>
      <c r="S51" s="67">
        <f t="shared" si="7"/>
        <v>0</v>
      </c>
      <c r="T51" s="67">
        <f t="shared" si="8"/>
        <v>0</v>
      </c>
      <c r="U51" s="67">
        <f t="shared" si="9"/>
        <v>2.4633174308696746</v>
      </c>
      <c r="V51" s="67">
        <f t="shared" si="10"/>
        <v>8.7742649568613953E-2</v>
      </c>
      <c r="W51" s="100">
        <f t="shared" si="11"/>
        <v>5.84950997124093E-2</v>
      </c>
    </row>
    <row r="52" spans="2:23">
      <c r="B52" s="96">
        <f>Amnt_Deposited!B47</f>
        <v>2033</v>
      </c>
      <c r="C52" s="99">
        <f>Amnt_Deposited!F47</f>
        <v>0</v>
      </c>
      <c r="D52" s="418">
        <f>Dry_Matter_Content!G39</f>
        <v>0.56999999999999995</v>
      </c>
      <c r="E52" s="284">
        <f>MCF!R51</f>
        <v>0.8</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0.8</v>
      </c>
      <c r="R52" s="67">
        <f t="shared" si="5"/>
        <v>0</v>
      </c>
      <c r="S52" s="67">
        <f t="shared" si="7"/>
        <v>0</v>
      </c>
      <c r="T52" s="67">
        <f t="shared" si="8"/>
        <v>0</v>
      </c>
      <c r="U52" s="67">
        <f t="shared" si="9"/>
        <v>2.3785926532094313</v>
      </c>
      <c r="V52" s="67">
        <f t="shared" si="10"/>
        <v>8.4724777660243264E-2</v>
      </c>
      <c r="W52" s="100">
        <f t="shared" si="11"/>
        <v>5.6483185106828843E-2</v>
      </c>
    </row>
    <row r="53" spans="2:23">
      <c r="B53" s="96">
        <f>Amnt_Deposited!B48</f>
        <v>2034</v>
      </c>
      <c r="C53" s="99">
        <f>Amnt_Deposited!F48</f>
        <v>0</v>
      </c>
      <c r="D53" s="418">
        <f>Dry_Matter_Content!G40</f>
        <v>0.56999999999999995</v>
      </c>
      <c r="E53" s="284">
        <f>MCF!R52</f>
        <v>0.8</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0.8</v>
      </c>
      <c r="R53" s="67">
        <f t="shared" si="5"/>
        <v>0</v>
      </c>
      <c r="S53" s="67">
        <f t="shared" si="7"/>
        <v>0</v>
      </c>
      <c r="T53" s="67">
        <f t="shared" si="8"/>
        <v>0</v>
      </c>
      <c r="U53" s="67">
        <f t="shared" si="9"/>
        <v>2.2967819490094823</v>
      </c>
      <c r="V53" s="67">
        <f t="shared" si="10"/>
        <v>8.1810704199948958E-2</v>
      </c>
      <c r="W53" s="100">
        <f t="shared" si="11"/>
        <v>5.4540469466632636E-2</v>
      </c>
    </row>
    <row r="54" spans="2:23">
      <c r="B54" s="96">
        <f>Amnt_Deposited!B49</f>
        <v>2035</v>
      </c>
      <c r="C54" s="99">
        <f>Amnt_Deposited!F49</f>
        <v>0</v>
      </c>
      <c r="D54" s="418">
        <f>Dry_Matter_Content!G41</f>
        <v>0.56999999999999995</v>
      </c>
      <c r="E54" s="284">
        <f>MCF!R53</f>
        <v>0.8</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0.8</v>
      </c>
      <c r="R54" s="67">
        <f t="shared" si="5"/>
        <v>0</v>
      </c>
      <c r="S54" s="67">
        <f t="shared" si="7"/>
        <v>0</v>
      </c>
      <c r="T54" s="67">
        <f t="shared" si="8"/>
        <v>0</v>
      </c>
      <c r="U54" s="67">
        <f t="shared" si="9"/>
        <v>2.2177850899261657</v>
      </c>
      <c r="V54" s="67">
        <f t="shared" si="10"/>
        <v>7.8996859083316356E-2</v>
      </c>
      <c r="W54" s="100">
        <f t="shared" si="11"/>
        <v>5.2664572722210902E-2</v>
      </c>
    </row>
    <row r="55" spans="2:23">
      <c r="B55" s="96">
        <f>Amnt_Deposited!B50</f>
        <v>2036</v>
      </c>
      <c r="C55" s="99">
        <f>Amnt_Deposited!F50</f>
        <v>0</v>
      </c>
      <c r="D55" s="418">
        <f>Dry_Matter_Content!G42</f>
        <v>0.56999999999999995</v>
      </c>
      <c r="E55" s="284">
        <f>MCF!R54</f>
        <v>0.8</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0.8</v>
      </c>
      <c r="R55" s="67">
        <f t="shared" si="5"/>
        <v>0</v>
      </c>
      <c r="S55" s="67">
        <f t="shared" si="7"/>
        <v>0</v>
      </c>
      <c r="T55" s="67">
        <f t="shared" si="8"/>
        <v>0</v>
      </c>
      <c r="U55" s="67">
        <f t="shared" si="9"/>
        <v>2.1415052949279798</v>
      </c>
      <c r="V55" s="67">
        <f t="shared" si="10"/>
        <v>7.6279794998186004E-2</v>
      </c>
      <c r="W55" s="100">
        <f t="shared" si="11"/>
        <v>5.0853196665457331E-2</v>
      </c>
    </row>
    <row r="56" spans="2:23">
      <c r="B56" s="96">
        <f>Amnt_Deposited!B51</f>
        <v>2037</v>
      </c>
      <c r="C56" s="99">
        <f>Amnt_Deposited!F51</f>
        <v>0</v>
      </c>
      <c r="D56" s="418">
        <f>Dry_Matter_Content!G43</f>
        <v>0.56999999999999995</v>
      </c>
      <c r="E56" s="284">
        <f>MCF!R55</f>
        <v>0.8</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0.8</v>
      </c>
      <c r="R56" s="67">
        <f t="shared" si="5"/>
        <v>0</v>
      </c>
      <c r="S56" s="67">
        <f t="shared" si="7"/>
        <v>0</v>
      </c>
      <c r="T56" s="67">
        <f t="shared" si="8"/>
        <v>0</v>
      </c>
      <c r="U56" s="67">
        <f t="shared" si="9"/>
        <v>2.0678491117267144</v>
      </c>
      <c r="V56" s="67">
        <f t="shared" si="10"/>
        <v>7.3656183201265227E-2</v>
      </c>
      <c r="W56" s="100">
        <f t="shared" si="11"/>
        <v>4.9104122134176816E-2</v>
      </c>
    </row>
    <row r="57" spans="2:23">
      <c r="B57" s="96">
        <f>Amnt_Deposited!B52</f>
        <v>2038</v>
      </c>
      <c r="C57" s="99">
        <f>Amnt_Deposited!F52</f>
        <v>0</v>
      </c>
      <c r="D57" s="418">
        <f>Dry_Matter_Content!G44</f>
        <v>0.56999999999999995</v>
      </c>
      <c r="E57" s="284">
        <f>MCF!R56</f>
        <v>0.8</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0.8</v>
      </c>
      <c r="R57" s="67">
        <f t="shared" si="5"/>
        <v>0</v>
      </c>
      <c r="S57" s="67">
        <f t="shared" si="7"/>
        <v>0</v>
      </c>
      <c r="T57" s="67">
        <f t="shared" si="8"/>
        <v>0</v>
      </c>
      <c r="U57" s="67">
        <f t="shared" si="9"/>
        <v>1.996726302286713</v>
      </c>
      <c r="V57" s="67">
        <f t="shared" si="10"/>
        <v>7.1122809440001281E-2</v>
      </c>
      <c r="W57" s="100">
        <f t="shared" si="11"/>
        <v>4.7415206293334185E-2</v>
      </c>
    </row>
    <row r="58" spans="2:23">
      <c r="B58" s="96">
        <f>Amnt_Deposited!B53</f>
        <v>2039</v>
      </c>
      <c r="C58" s="99">
        <f>Amnt_Deposited!F53</f>
        <v>0</v>
      </c>
      <c r="D58" s="418">
        <f>Dry_Matter_Content!G45</f>
        <v>0.56999999999999995</v>
      </c>
      <c r="E58" s="284">
        <f>MCF!R57</f>
        <v>0.8</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0.8</v>
      </c>
      <c r="R58" s="67">
        <f t="shared" si="5"/>
        <v>0</v>
      </c>
      <c r="S58" s="67">
        <f t="shared" si="7"/>
        <v>0</v>
      </c>
      <c r="T58" s="67">
        <f t="shared" si="8"/>
        <v>0</v>
      </c>
      <c r="U58" s="67">
        <f t="shared" si="9"/>
        <v>1.9280497322719929</v>
      </c>
      <c r="V58" s="67">
        <f t="shared" si="10"/>
        <v>6.8676570014720009E-2</v>
      </c>
      <c r="W58" s="100">
        <f t="shared" si="11"/>
        <v>4.5784380009813337E-2</v>
      </c>
    </row>
    <row r="59" spans="2:23">
      <c r="B59" s="96">
        <f>Amnt_Deposited!B54</f>
        <v>2040</v>
      </c>
      <c r="C59" s="99">
        <f>Amnt_Deposited!F54</f>
        <v>0</v>
      </c>
      <c r="D59" s="418">
        <f>Dry_Matter_Content!G46</f>
        <v>0.56999999999999995</v>
      </c>
      <c r="E59" s="284">
        <f>MCF!R58</f>
        <v>0.8</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0.8</v>
      </c>
      <c r="R59" s="67">
        <f t="shared" si="5"/>
        <v>0</v>
      </c>
      <c r="S59" s="67">
        <f t="shared" si="7"/>
        <v>0</v>
      </c>
      <c r="T59" s="67">
        <f t="shared" si="8"/>
        <v>0</v>
      </c>
      <c r="U59" s="67">
        <f t="shared" si="9"/>
        <v>1.8617352642957874</v>
      </c>
      <c r="V59" s="67">
        <f t="shared" si="10"/>
        <v>6.6314467976205618E-2</v>
      </c>
      <c r="W59" s="100">
        <f t="shared" si="11"/>
        <v>4.420964531747041E-2</v>
      </c>
    </row>
    <row r="60" spans="2:23">
      <c r="B60" s="96">
        <f>Amnt_Deposited!B55</f>
        <v>2041</v>
      </c>
      <c r="C60" s="99">
        <f>Amnt_Deposited!F55</f>
        <v>0</v>
      </c>
      <c r="D60" s="418">
        <f>Dry_Matter_Content!G47</f>
        <v>0.56999999999999995</v>
      </c>
      <c r="E60" s="284">
        <f>MCF!R59</f>
        <v>0.8</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0.8</v>
      </c>
      <c r="R60" s="67">
        <f t="shared" si="5"/>
        <v>0</v>
      </c>
      <c r="S60" s="67">
        <f t="shared" si="7"/>
        <v>0</v>
      </c>
      <c r="T60" s="67">
        <f t="shared" si="8"/>
        <v>0</v>
      </c>
      <c r="U60" s="67">
        <f t="shared" si="9"/>
        <v>1.7977016548417244</v>
      </c>
      <c r="V60" s="67">
        <f t="shared" si="10"/>
        <v>6.4033609454063098E-2</v>
      </c>
      <c r="W60" s="100">
        <f t="shared" si="11"/>
        <v>4.2689072969375394E-2</v>
      </c>
    </row>
    <row r="61" spans="2:23">
      <c r="B61" s="96">
        <f>Amnt_Deposited!B56</f>
        <v>2042</v>
      </c>
      <c r="C61" s="99">
        <f>Amnt_Deposited!F56</f>
        <v>0</v>
      </c>
      <c r="D61" s="418">
        <f>Dry_Matter_Content!G48</f>
        <v>0.56999999999999995</v>
      </c>
      <c r="E61" s="284">
        <f>MCF!R60</f>
        <v>0.8</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0.8</v>
      </c>
      <c r="R61" s="67">
        <f t="shared" si="5"/>
        <v>0</v>
      </c>
      <c r="S61" s="67">
        <f t="shared" si="7"/>
        <v>0</v>
      </c>
      <c r="T61" s="67">
        <f t="shared" si="8"/>
        <v>0</v>
      </c>
      <c r="U61" s="67">
        <f t="shared" si="9"/>
        <v>1.7358704547303594</v>
      </c>
      <c r="V61" s="67">
        <f t="shared" si="10"/>
        <v>6.1831200111365038E-2</v>
      </c>
      <c r="W61" s="100">
        <f t="shared" si="11"/>
        <v>4.1220800074243356E-2</v>
      </c>
    </row>
    <row r="62" spans="2:23">
      <c r="B62" s="96">
        <f>Amnt_Deposited!B57</f>
        <v>2043</v>
      </c>
      <c r="C62" s="99">
        <f>Amnt_Deposited!F57</f>
        <v>0</v>
      </c>
      <c r="D62" s="418">
        <f>Dry_Matter_Content!G49</f>
        <v>0.56999999999999995</v>
      </c>
      <c r="E62" s="284">
        <f>MCF!R61</f>
        <v>0.8</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0.8</v>
      </c>
      <c r="R62" s="67">
        <f t="shared" si="5"/>
        <v>0</v>
      </c>
      <c r="S62" s="67">
        <f t="shared" si="7"/>
        <v>0</v>
      </c>
      <c r="T62" s="67">
        <f t="shared" si="8"/>
        <v>0</v>
      </c>
      <c r="U62" s="67">
        <f t="shared" si="9"/>
        <v>1.6761659130091198</v>
      </c>
      <c r="V62" s="67">
        <f t="shared" si="10"/>
        <v>5.9704541721239533E-2</v>
      </c>
      <c r="W62" s="100">
        <f t="shared" si="11"/>
        <v>3.9803027814159689E-2</v>
      </c>
    </row>
    <row r="63" spans="2:23">
      <c r="B63" s="96">
        <f>Amnt_Deposited!B58</f>
        <v>2044</v>
      </c>
      <c r="C63" s="99">
        <f>Amnt_Deposited!F58</f>
        <v>0</v>
      </c>
      <c r="D63" s="418">
        <f>Dry_Matter_Content!G50</f>
        <v>0.56999999999999995</v>
      </c>
      <c r="E63" s="284">
        <f>MCF!R62</f>
        <v>0.8</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0.8</v>
      </c>
      <c r="R63" s="67">
        <f t="shared" si="5"/>
        <v>0</v>
      </c>
      <c r="S63" s="67">
        <f t="shared" si="7"/>
        <v>0</v>
      </c>
      <c r="T63" s="67">
        <f t="shared" si="8"/>
        <v>0</v>
      </c>
      <c r="U63" s="67">
        <f t="shared" si="9"/>
        <v>1.6185148841479151</v>
      </c>
      <c r="V63" s="67">
        <f t="shared" si="10"/>
        <v>5.7651028861204739E-2</v>
      </c>
      <c r="W63" s="100">
        <f t="shared" si="11"/>
        <v>3.8434019240803155E-2</v>
      </c>
    </row>
    <row r="64" spans="2:23">
      <c r="B64" s="96">
        <f>Amnt_Deposited!B59</f>
        <v>2045</v>
      </c>
      <c r="C64" s="99">
        <f>Amnt_Deposited!F59</f>
        <v>0</v>
      </c>
      <c r="D64" s="418">
        <f>Dry_Matter_Content!G51</f>
        <v>0.56999999999999995</v>
      </c>
      <c r="E64" s="284">
        <f>MCF!R63</f>
        <v>0.8</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0.8</v>
      </c>
      <c r="R64" s="67">
        <f t="shared" si="5"/>
        <v>0</v>
      </c>
      <c r="S64" s="67">
        <f t="shared" si="7"/>
        <v>0</v>
      </c>
      <c r="T64" s="67">
        <f t="shared" si="8"/>
        <v>0</v>
      </c>
      <c r="U64" s="67">
        <f t="shared" si="9"/>
        <v>1.5628467384267146</v>
      </c>
      <c r="V64" s="67">
        <f t="shared" si="10"/>
        <v>5.5668145721200581E-2</v>
      </c>
      <c r="W64" s="100">
        <f t="shared" si="11"/>
        <v>3.7112097147467049E-2</v>
      </c>
    </row>
    <row r="65" spans="2:23">
      <c r="B65" s="96">
        <f>Amnt_Deposited!B60</f>
        <v>2046</v>
      </c>
      <c r="C65" s="99">
        <f>Amnt_Deposited!F60</f>
        <v>0</v>
      </c>
      <c r="D65" s="418">
        <f>Dry_Matter_Content!G52</f>
        <v>0.56999999999999995</v>
      </c>
      <c r="E65" s="284">
        <f>MCF!R64</f>
        <v>0.8</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0.8</v>
      </c>
      <c r="R65" s="67">
        <f t="shared" si="5"/>
        <v>0</v>
      </c>
      <c r="S65" s="67">
        <f t="shared" si="7"/>
        <v>0</v>
      </c>
      <c r="T65" s="67">
        <f t="shared" si="8"/>
        <v>0</v>
      </c>
      <c r="U65" s="67">
        <f t="shared" si="9"/>
        <v>1.5090932754053079</v>
      </c>
      <c r="V65" s="67">
        <f t="shared" si="10"/>
        <v>5.375346302140676E-2</v>
      </c>
      <c r="W65" s="100">
        <f t="shared" si="11"/>
        <v>3.5835642014271168E-2</v>
      </c>
    </row>
    <row r="66" spans="2:23">
      <c r="B66" s="96">
        <f>Amnt_Deposited!B61</f>
        <v>2047</v>
      </c>
      <c r="C66" s="99">
        <f>Amnt_Deposited!F61</f>
        <v>0</v>
      </c>
      <c r="D66" s="418">
        <f>Dry_Matter_Content!G53</f>
        <v>0.56999999999999995</v>
      </c>
      <c r="E66" s="284">
        <f>MCF!R65</f>
        <v>0.8</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0.8</v>
      </c>
      <c r="R66" s="67">
        <f t="shared" si="5"/>
        <v>0</v>
      </c>
      <c r="S66" s="67">
        <f t="shared" si="7"/>
        <v>0</v>
      </c>
      <c r="T66" s="67">
        <f t="shared" si="8"/>
        <v>0</v>
      </c>
      <c r="U66" s="67">
        <f t="shared" si="9"/>
        <v>1.4571886403692367</v>
      </c>
      <c r="V66" s="67">
        <f t="shared" si="10"/>
        <v>5.1904635036071178E-2</v>
      </c>
      <c r="W66" s="100">
        <f t="shared" si="11"/>
        <v>3.4603090024047448E-2</v>
      </c>
    </row>
    <row r="67" spans="2:23">
      <c r="B67" s="96">
        <f>Amnt_Deposited!B62</f>
        <v>2048</v>
      </c>
      <c r="C67" s="99">
        <f>Amnt_Deposited!F62</f>
        <v>0</v>
      </c>
      <c r="D67" s="418">
        <f>Dry_Matter_Content!G54</f>
        <v>0.56999999999999995</v>
      </c>
      <c r="E67" s="284">
        <f>MCF!R66</f>
        <v>0.8</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0.8</v>
      </c>
      <c r="R67" s="67">
        <f t="shared" si="5"/>
        <v>0</v>
      </c>
      <c r="S67" s="67">
        <f t="shared" si="7"/>
        <v>0</v>
      </c>
      <c r="T67" s="67">
        <f t="shared" si="8"/>
        <v>0</v>
      </c>
      <c r="U67" s="67">
        <f t="shared" si="9"/>
        <v>1.407069243649534</v>
      </c>
      <c r="V67" s="67">
        <f t="shared" si="10"/>
        <v>5.0119396719702579E-2</v>
      </c>
      <c r="W67" s="100">
        <f t="shared" si="11"/>
        <v>3.3412931146468386E-2</v>
      </c>
    </row>
    <row r="68" spans="2:23">
      <c r="B68" s="96">
        <f>Amnt_Deposited!B63</f>
        <v>2049</v>
      </c>
      <c r="C68" s="99">
        <f>Amnt_Deposited!F63</f>
        <v>0</v>
      </c>
      <c r="D68" s="418">
        <f>Dry_Matter_Content!G55</f>
        <v>0.56999999999999995</v>
      </c>
      <c r="E68" s="284">
        <f>MCF!R67</f>
        <v>0.8</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0.8</v>
      </c>
      <c r="R68" s="67">
        <f t="shared" si="5"/>
        <v>0</v>
      </c>
      <c r="S68" s="67">
        <f t="shared" si="7"/>
        <v>0</v>
      </c>
      <c r="T68" s="67">
        <f t="shared" si="8"/>
        <v>0</v>
      </c>
      <c r="U68" s="67">
        <f t="shared" si="9"/>
        <v>1.3586736827174275</v>
      </c>
      <c r="V68" s="67">
        <f t="shared" si="10"/>
        <v>4.8395560932106514E-2</v>
      </c>
      <c r="W68" s="100">
        <f t="shared" si="11"/>
        <v>3.2263707288071007E-2</v>
      </c>
    </row>
    <row r="69" spans="2:23">
      <c r="B69" s="96">
        <f>Amnt_Deposited!B64</f>
        <v>2050</v>
      </c>
      <c r="C69" s="99">
        <f>Amnt_Deposited!F64</f>
        <v>0</v>
      </c>
      <c r="D69" s="418">
        <f>Dry_Matter_Content!G56</f>
        <v>0.56999999999999995</v>
      </c>
      <c r="E69" s="284">
        <f>MCF!R68</f>
        <v>0.8</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0.8</v>
      </c>
      <c r="R69" s="67">
        <f t="shared" si="5"/>
        <v>0</v>
      </c>
      <c r="S69" s="67">
        <f t="shared" si="7"/>
        <v>0</v>
      </c>
      <c r="T69" s="67">
        <f t="shared" si="8"/>
        <v>0</v>
      </c>
      <c r="U69" s="67">
        <f t="shared" si="9"/>
        <v>1.3119426669585623</v>
      </c>
      <c r="V69" s="67">
        <f t="shared" si="10"/>
        <v>4.6731015758865131E-2</v>
      </c>
      <c r="W69" s="100">
        <f t="shared" si="11"/>
        <v>3.1154010505910087E-2</v>
      </c>
    </row>
    <row r="70" spans="2:23">
      <c r="B70" s="96">
        <f>Amnt_Deposited!B65</f>
        <v>2051</v>
      </c>
      <c r="C70" s="99">
        <f>Amnt_Deposited!F65</f>
        <v>0</v>
      </c>
      <c r="D70" s="418">
        <f>Dry_Matter_Content!G57</f>
        <v>0.56999999999999995</v>
      </c>
      <c r="E70" s="284">
        <f>MCF!R69</f>
        <v>0.8</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0.8</v>
      </c>
      <c r="R70" s="67">
        <f t="shared" si="5"/>
        <v>0</v>
      </c>
      <c r="S70" s="67">
        <f t="shared" si="7"/>
        <v>0</v>
      </c>
      <c r="T70" s="67">
        <f t="shared" si="8"/>
        <v>0</v>
      </c>
      <c r="U70" s="67">
        <f t="shared" si="9"/>
        <v>1.2668189450345844</v>
      </c>
      <c r="V70" s="67">
        <f t="shared" si="10"/>
        <v>4.5123721923977865E-2</v>
      </c>
      <c r="W70" s="100">
        <f t="shared" si="11"/>
        <v>3.008248128265191E-2</v>
      </c>
    </row>
    <row r="71" spans="2:23">
      <c r="B71" s="96">
        <f>Amnt_Deposited!B66</f>
        <v>2052</v>
      </c>
      <c r="C71" s="99">
        <f>Amnt_Deposited!F66</f>
        <v>0</v>
      </c>
      <c r="D71" s="418">
        <f>Dry_Matter_Content!G58</f>
        <v>0.56999999999999995</v>
      </c>
      <c r="E71" s="284">
        <f>MCF!R70</f>
        <v>0.8</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0.8</v>
      </c>
      <c r="R71" s="67">
        <f t="shared" si="5"/>
        <v>0</v>
      </c>
      <c r="S71" s="67">
        <f t="shared" si="7"/>
        <v>0</v>
      </c>
      <c r="T71" s="67">
        <f t="shared" si="8"/>
        <v>0</v>
      </c>
      <c r="U71" s="67">
        <f t="shared" si="9"/>
        <v>1.2232472347430909</v>
      </c>
      <c r="V71" s="67">
        <f t="shared" si="10"/>
        <v>4.3571710291493322E-2</v>
      </c>
      <c r="W71" s="100">
        <f t="shared" si="11"/>
        <v>2.9047806860995548E-2</v>
      </c>
    </row>
    <row r="72" spans="2:23">
      <c r="B72" s="96">
        <f>Amnt_Deposited!B67</f>
        <v>2053</v>
      </c>
      <c r="C72" s="99">
        <f>Amnt_Deposited!F67</f>
        <v>0</v>
      </c>
      <c r="D72" s="418">
        <f>Dry_Matter_Content!G59</f>
        <v>0.56999999999999995</v>
      </c>
      <c r="E72" s="284">
        <f>MCF!R71</f>
        <v>0.8</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0.8</v>
      </c>
      <c r="R72" s="67">
        <f t="shared" si="5"/>
        <v>0</v>
      </c>
      <c r="S72" s="67">
        <f t="shared" si="7"/>
        <v>0</v>
      </c>
      <c r="T72" s="67">
        <f t="shared" si="8"/>
        <v>0</v>
      </c>
      <c r="U72" s="67">
        <f t="shared" si="9"/>
        <v>1.1811741552900195</v>
      </c>
      <c r="V72" s="67">
        <f t="shared" si="10"/>
        <v>4.2073079453071496E-2</v>
      </c>
      <c r="W72" s="100">
        <f t="shared" si="11"/>
        <v>2.8048719635380998E-2</v>
      </c>
    </row>
    <row r="73" spans="2:23">
      <c r="B73" s="96">
        <f>Amnt_Deposited!B68</f>
        <v>2054</v>
      </c>
      <c r="C73" s="99">
        <f>Amnt_Deposited!F68</f>
        <v>0</v>
      </c>
      <c r="D73" s="418">
        <f>Dry_Matter_Content!G60</f>
        <v>0.56999999999999995</v>
      </c>
      <c r="E73" s="284">
        <f>MCF!R72</f>
        <v>0.8</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0.8</v>
      </c>
      <c r="R73" s="67">
        <f t="shared" si="5"/>
        <v>0</v>
      </c>
      <c r="S73" s="67">
        <f t="shared" si="7"/>
        <v>0</v>
      </c>
      <c r="T73" s="67">
        <f t="shared" si="8"/>
        <v>0</v>
      </c>
      <c r="U73" s="67">
        <f t="shared" si="9"/>
        <v>1.1405481618914988</v>
      </c>
      <c r="V73" s="67">
        <f t="shared" si="10"/>
        <v>4.0625993398520771E-2</v>
      </c>
      <c r="W73" s="100">
        <f t="shared" si="11"/>
        <v>2.7083995599013845E-2</v>
      </c>
    </row>
    <row r="74" spans="2:23">
      <c r="B74" s="96">
        <f>Amnt_Deposited!B69</f>
        <v>2055</v>
      </c>
      <c r="C74" s="99">
        <f>Amnt_Deposited!F69</f>
        <v>0</v>
      </c>
      <c r="D74" s="418">
        <f>Dry_Matter_Content!G61</f>
        <v>0.56999999999999995</v>
      </c>
      <c r="E74" s="284">
        <f>MCF!R73</f>
        <v>0.8</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0.8</v>
      </c>
      <c r="R74" s="67">
        <f t="shared" si="5"/>
        <v>0</v>
      </c>
      <c r="S74" s="67">
        <f t="shared" si="7"/>
        <v>0</v>
      </c>
      <c r="T74" s="67">
        <f t="shared" si="8"/>
        <v>0</v>
      </c>
      <c r="U74" s="67">
        <f t="shared" si="9"/>
        <v>1.101319482625043</v>
      </c>
      <c r="V74" s="67">
        <f t="shared" si="10"/>
        <v>3.9228679266455797E-2</v>
      </c>
      <c r="W74" s="100">
        <f t="shared" si="11"/>
        <v>2.6152452844303863E-2</v>
      </c>
    </row>
    <row r="75" spans="2:23">
      <c r="B75" s="96">
        <f>Amnt_Deposited!B70</f>
        <v>2056</v>
      </c>
      <c r="C75" s="99">
        <f>Amnt_Deposited!F70</f>
        <v>0</v>
      </c>
      <c r="D75" s="418">
        <f>Dry_Matter_Content!G62</f>
        <v>0.56999999999999995</v>
      </c>
      <c r="E75" s="284">
        <f>MCF!R74</f>
        <v>0.8</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0.8</v>
      </c>
      <c r="R75" s="67">
        <f t="shared" si="5"/>
        <v>0</v>
      </c>
      <c r="S75" s="67">
        <f t="shared" si="7"/>
        <v>0</v>
      </c>
      <c r="T75" s="67">
        <f t="shared" si="8"/>
        <v>0</v>
      </c>
      <c r="U75" s="67">
        <f t="shared" si="9"/>
        <v>1.0634400574527223</v>
      </c>
      <c r="V75" s="67">
        <f t="shared" si="10"/>
        <v>3.7879425172320617E-2</v>
      </c>
      <c r="W75" s="100">
        <f t="shared" si="11"/>
        <v>2.525295011488041E-2</v>
      </c>
    </row>
    <row r="76" spans="2:23">
      <c r="B76" s="96">
        <f>Amnt_Deposited!B71</f>
        <v>2057</v>
      </c>
      <c r="C76" s="99">
        <f>Amnt_Deposited!F71</f>
        <v>0</v>
      </c>
      <c r="D76" s="418">
        <f>Dry_Matter_Content!G63</f>
        <v>0.56999999999999995</v>
      </c>
      <c r="E76" s="284">
        <f>MCF!R75</f>
        <v>0.8</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0.8</v>
      </c>
      <c r="R76" s="67">
        <f t="shared" si="5"/>
        <v>0</v>
      </c>
      <c r="S76" s="67">
        <f t="shared" si="7"/>
        <v>0</v>
      </c>
      <c r="T76" s="67">
        <f t="shared" si="8"/>
        <v>0</v>
      </c>
      <c r="U76" s="67">
        <f t="shared" si="9"/>
        <v>1.0268634793416063</v>
      </c>
      <c r="V76" s="67">
        <f t="shared" si="10"/>
        <v>3.657657811111599E-2</v>
      </c>
      <c r="W76" s="100">
        <f t="shared" si="11"/>
        <v>2.4384385407410659E-2</v>
      </c>
    </row>
    <row r="77" spans="2:23">
      <c r="B77" s="96">
        <f>Amnt_Deposited!B72</f>
        <v>2058</v>
      </c>
      <c r="C77" s="99">
        <f>Amnt_Deposited!F72</f>
        <v>0</v>
      </c>
      <c r="D77" s="418">
        <f>Dry_Matter_Content!G64</f>
        <v>0.56999999999999995</v>
      </c>
      <c r="E77" s="284">
        <f>MCF!R76</f>
        <v>0.8</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0.8</v>
      </c>
      <c r="R77" s="67">
        <f t="shared" si="5"/>
        <v>0</v>
      </c>
      <c r="S77" s="67">
        <f t="shared" si="7"/>
        <v>0</v>
      </c>
      <c r="T77" s="67">
        <f t="shared" si="8"/>
        <v>0</v>
      </c>
      <c r="U77" s="67">
        <f t="shared" si="9"/>
        <v>0.99154493740934468</v>
      </c>
      <c r="V77" s="67">
        <f t="shared" si="10"/>
        <v>3.5318541932261548E-2</v>
      </c>
      <c r="W77" s="100">
        <f t="shared" si="11"/>
        <v>2.3545694621507698E-2</v>
      </c>
    </row>
    <row r="78" spans="2:23">
      <c r="B78" s="96">
        <f>Amnt_Deposited!B73</f>
        <v>2059</v>
      </c>
      <c r="C78" s="99">
        <f>Amnt_Deposited!F73</f>
        <v>0</v>
      </c>
      <c r="D78" s="418">
        <f>Dry_Matter_Content!G65</f>
        <v>0.56999999999999995</v>
      </c>
      <c r="E78" s="284">
        <f>MCF!R77</f>
        <v>0.8</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0.8</v>
      </c>
      <c r="R78" s="67">
        <f t="shared" si="5"/>
        <v>0</v>
      </c>
      <c r="S78" s="67">
        <f t="shared" si="7"/>
        <v>0</v>
      </c>
      <c r="T78" s="67">
        <f t="shared" si="8"/>
        <v>0</v>
      </c>
      <c r="U78" s="67">
        <f t="shared" si="9"/>
        <v>0.95744116202523299</v>
      </c>
      <c r="V78" s="67">
        <f t="shared" si="10"/>
        <v>3.4103775384111724E-2</v>
      </c>
      <c r="W78" s="100">
        <f t="shared" si="11"/>
        <v>2.2735850256074483E-2</v>
      </c>
    </row>
    <row r="79" spans="2:23">
      <c r="B79" s="96">
        <f>Amnt_Deposited!B74</f>
        <v>2060</v>
      </c>
      <c r="C79" s="99">
        <f>Amnt_Deposited!F74</f>
        <v>0</v>
      </c>
      <c r="D79" s="418">
        <f>Dry_Matter_Content!G66</f>
        <v>0.56999999999999995</v>
      </c>
      <c r="E79" s="284">
        <f>MCF!R78</f>
        <v>0.8</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0.8</v>
      </c>
      <c r="R79" s="67">
        <f t="shared" si="5"/>
        <v>0</v>
      </c>
      <c r="S79" s="67">
        <f t="shared" si="7"/>
        <v>0</v>
      </c>
      <c r="T79" s="67">
        <f t="shared" si="8"/>
        <v>0</v>
      </c>
      <c r="U79" s="67">
        <f t="shared" si="9"/>
        <v>0.92451037179950324</v>
      </c>
      <c r="V79" s="67">
        <f t="shared" si="10"/>
        <v>3.2930790225729756E-2</v>
      </c>
      <c r="W79" s="100">
        <f t="shared" si="11"/>
        <v>2.1953860150486504E-2</v>
      </c>
    </row>
    <row r="80" spans="2:23">
      <c r="B80" s="96">
        <f>Amnt_Deposited!B75</f>
        <v>2061</v>
      </c>
      <c r="C80" s="99">
        <f>Amnt_Deposited!F75</f>
        <v>0</v>
      </c>
      <c r="D80" s="418">
        <f>Dry_Matter_Content!G67</f>
        <v>0.56999999999999995</v>
      </c>
      <c r="E80" s="284">
        <f>MCF!R79</f>
        <v>0.8</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0.8</v>
      </c>
      <c r="R80" s="67">
        <f t="shared" si="5"/>
        <v>0</v>
      </c>
      <c r="S80" s="67">
        <f t="shared" si="7"/>
        <v>0</v>
      </c>
      <c r="T80" s="67">
        <f t="shared" si="8"/>
        <v>0</v>
      </c>
      <c r="U80" s="67">
        <f t="shared" si="9"/>
        <v>0.89271222239589687</v>
      </c>
      <c r="V80" s="67">
        <f t="shared" si="10"/>
        <v>3.1798149403606382E-2</v>
      </c>
      <c r="W80" s="100">
        <f t="shared" si="11"/>
        <v>2.1198766269070919E-2</v>
      </c>
    </row>
    <row r="81" spans="2:23">
      <c r="B81" s="96">
        <f>Amnt_Deposited!B76</f>
        <v>2062</v>
      </c>
      <c r="C81" s="99">
        <f>Amnt_Deposited!F76</f>
        <v>0</v>
      </c>
      <c r="D81" s="418">
        <f>Dry_Matter_Content!G68</f>
        <v>0.56999999999999995</v>
      </c>
      <c r="E81" s="284">
        <f>MCF!R80</f>
        <v>0.8</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0.8</v>
      </c>
      <c r="R81" s="67">
        <f t="shared" si="5"/>
        <v>0</v>
      </c>
      <c r="S81" s="67">
        <f t="shared" si="7"/>
        <v>0</v>
      </c>
      <c r="T81" s="67">
        <f t="shared" si="8"/>
        <v>0</v>
      </c>
      <c r="U81" s="67">
        <f t="shared" si="9"/>
        <v>0.86200775710480726</v>
      </c>
      <c r="V81" s="67">
        <f t="shared" si="10"/>
        <v>3.0704465291089628E-2</v>
      </c>
      <c r="W81" s="100">
        <f t="shared" si="11"/>
        <v>2.0469643527393083E-2</v>
      </c>
    </row>
    <row r="82" spans="2:23">
      <c r="B82" s="96">
        <f>Amnt_Deposited!B77</f>
        <v>2063</v>
      </c>
      <c r="C82" s="99">
        <f>Amnt_Deposited!F77</f>
        <v>0</v>
      </c>
      <c r="D82" s="418">
        <f>Dry_Matter_Content!G69</f>
        <v>0.56999999999999995</v>
      </c>
      <c r="E82" s="284">
        <f>MCF!R81</f>
        <v>0.8</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0.8</v>
      </c>
      <c r="R82" s="67">
        <f t="shared" si="5"/>
        <v>0</v>
      </c>
      <c r="S82" s="67">
        <f t="shared" si="7"/>
        <v>0</v>
      </c>
      <c r="T82" s="67">
        <f t="shared" si="8"/>
        <v>0</v>
      </c>
      <c r="U82" s="67">
        <f t="shared" si="9"/>
        <v>0.83235935911643866</v>
      </c>
      <c r="V82" s="67">
        <f t="shared" si="10"/>
        <v>2.9648397988368602E-2</v>
      </c>
      <c r="W82" s="100">
        <f t="shared" si="11"/>
        <v>1.9765598658912399E-2</v>
      </c>
    </row>
    <row r="83" spans="2:23">
      <c r="B83" s="96">
        <f>Amnt_Deposited!B78</f>
        <v>2064</v>
      </c>
      <c r="C83" s="99">
        <f>Amnt_Deposited!F78</f>
        <v>0</v>
      </c>
      <c r="D83" s="418">
        <f>Dry_Matter_Content!G70</f>
        <v>0.56999999999999995</v>
      </c>
      <c r="E83" s="284">
        <f>MCF!R82</f>
        <v>0.8</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0.8</v>
      </c>
      <c r="R83" s="67">
        <f t="shared" ref="R83:R99" si="17">P83*$W$6*DOCF*Q83</f>
        <v>0</v>
      </c>
      <c r="S83" s="67">
        <f t="shared" si="7"/>
        <v>0</v>
      </c>
      <c r="T83" s="67">
        <f t="shared" si="8"/>
        <v>0</v>
      </c>
      <c r="U83" s="67">
        <f t="shared" si="9"/>
        <v>0.80373070543550995</v>
      </c>
      <c r="V83" s="67">
        <f t="shared" si="10"/>
        <v>2.8628653680928661E-2</v>
      </c>
      <c r="W83" s="100">
        <f t="shared" si="11"/>
        <v>1.9085769120619107E-2</v>
      </c>
    </row>
    <row r="84" spans="2:23">
      <c r="B84" s="96">
        <f>Amnt_Deposited!B79</f>
        <v>2065</v>
      </c>
      <c r="C84" s="99">
        <f>Amnt_Deposited!F79</f>
        <v>0</v>
      </c>
      <c r="D84" s="418">
        <f>Dry_Matter_Content!G71</f>
        <v>0.56999999999999995</v>
      </c>
      <c r="E84" s="284">
        <f>MCF!R83</f>
        <v>0.8</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0.8</v>
      </c>
      <c r="R84" s="67">
        <f t="shared" si="17"/>
        <v>0</v>
      </c>
      <c r="S84" s="67">
        <f t="shared" si="7"/>
        <v>0</v>
      </c>
      <c r="T84" s="67">
        <f t="shared" si="8"/>
        <v>0</v>
      </c>
      <c r="U84" s="67">
        <f t="shared" si="9"/>
        <v>0.77608672238104315</v>
      </c>
      <c r="V84" s="67">
        <f t="shared" si="10"/>
        <v>2.7643983054466831E-2</v>
      </c>
      <c r="W84" s="100">
        <f t="shared" si="11"/>
        <v>1.8429322036311219E-2</v>
      </c>
    </row>
    <row r="85" spans="2:23">
      <c r="B85" s="96">
        <f>Amnt_Deposited!B80</f>
        <v>2066</v>
      </c>
      <c r="C85" s="99">
        <f>Amnt_Deposited!F80</f>
        <v>0</v>
      </c>
      <c r="D85" s="418">
        <f>Dry_Matter_Content!G72</f>
        <v>0.56999999999999995</v>
      </c>
      <c r="E85" s="284">
        <f>MCF!R84</f>
        <v>0.8</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0.8</v>
      </c>
      <c r="R85" s="67">
        <f t="shared" si="17"/>
        <v>0</v>
      </c>
      <c r="S85" s="67">
        <f t="shared" ref="S85:S98" si="19">R85*$W$12</f>
        <v>0</v>
      </c>
      <c r="T85" s="67">
        <f t="shared" ref="T85:T98" si="20">R85*(1-$W$12)</f>
        <v>0</v>
      </c>
      <c r="U85" s="67">
        <f t="shared" ref="U85:U98" si="21">S85+U84*$W$10</f>
        <v>0.74939354261671765</v>
      </c>
      <c r="V85" s="67">
        <f t="shared" ref="V85:V98" si="22">U84*(1-$W$10)+T85</f>
        <v>2.6693179764325559E-2</v>
      </c>
      <c r="W85" s="100">
        <f t="shared" ref="W85:W99" si="23">V85*CH4_fraction*conv</f>
        <v>1.7795453176217037E-2</v>
      </c>
    </row>
    <row r="86" spans="2:23">
      <c r="B86" s="96">
        <f>Amnt_Deposited!B81</f>
        <v>2067</v>
      </c>
      <c r="C86" s="99">
        <f>Amnt_Deposited!F81</f>
        <v>0</v>
      </c>
      <c r="D86" s="418">
        <f>Dry_Matter_Content!G73</f>
        <v>0.56999999999999995</v>
      </c>
      <c r="E86" s="284">
        <f>MCF!R85</f>
        <v>0.8</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0.8</v>
      </c>
      <c r="R86" s="67">
        <f t="shared" si="17"/>
        <v>0</v>
      </c>
      <c r="S86" s="67">
        <f t="shared" si="19"/>
        <v>0</v>
      </c>
      <c r="T86" s="67">
        <f t="shared" si="20"/>
        <v>0</v>
      </c>
      <c r="U86" s="67">
        <f t="shared" si="21"/>
        <v>0.72361846365914806</v>
      </c>
      <c r="V86" s="67">
        <f t="shared" si="22"/>
        <v>2.5775078957569631E-2</v>
      </c>
      <c r="W86" s="100">
        <f t="shared" si="23"/>
        <v>1.7183385971713087E-2</v>
      </c>
    </row>
    <row r="87" spans="2:23">
      <c r="B87" s="96">
        <f>Amnt_Deposited!B82</f>
        <v>2068</v>
      </c>
      <c r="C87" s="99">
        <f>Amnt_Deposited!F82</f>
        <v>0</v>
      </c>
      <c r="D87" s="418">
        <f>Dry_Matter_Content!G74</f>
        <v>0.56999999999999995</v>
      </c>
      <c r="E87" s="284">
        <f>MCF!R86</f>
        <v>0.8</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0.8</v>
      </c>
      <c r="R87" s="67">
        <f t="shared" si="17"/>
        <v>0</v>
      </c>
      <c r="S87" s="67">
        <f t="shared" si="19"/>
        <v>0</v>
      </c>
      <c r="T87" s="67">
        <f t="shared" si="20"/>
        <v>0</v>
      </c>
      <c r="U87" s="67">
        <f t="shared" si="21"/>
        <v>0.69872990781325239</v>
      </c>
      <c r="V87" s="67">
        <f t="shared" si="22"/>
        <v>2.4888555845895669E-2</v>
      </c>
      <c r="W87" s="100">
        <f t="shared" si="23"/>
        <v>1.6592370563930446E-2</v>
      </c>
    </row>
    <row r="88" spans="2:23">
      <c r="B88" s="96">
        <f>Amnt_Deposited!B83</f>
        <v>2069</v>
      </c>
      <c r="C88" s="99">
        <f>Amnt_Deposited!F83</f>
        <v>0</v>
      </c>
      <c r="D88" s="418">
        <f>Dry_Matter_Content!G75</f>
        <v>0.56999999999999995</v>
      </c>
      <c r="E88" s="284">
        <f>MCF!R87</f>
        <v>0.8</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0.8</v>
      </c>
      <c r="R88" s="67">
        <f t="shared" si="17"/>
        <v>0</v>
      </c>
      <c r="S88" s="67">
        <f t="shared" si="19"/>
        <v>0</v>
      </c>
      <c r="T88" s="67">
        <f t="shared" si="20"/>
        <v>0</v>
      </c>
      <c r="U88" s="67">
        <f t="shared" si="21"/>
        <v>0.67469738348562658</v>
      </c>
      <c r="V88" s="67">
        <f t="shared" si="22"/>
        <v>2.4032524327625777E-2</v>
      </c>
      <c r="W88" s="100">
        <f t="shared" si="23"/>
        <v>1.6021682885083849E-2</v>
      </c>
    </row>
    <row r="89" spans="2:23">
      <c r="B89" s="96">
        <f>Amnt_Deposited!B84</f>
        <v>2070</v>
      </c>
      <c r="C89" s="99">
        <f>Amnt_Deposited!F84</f>
        <v>0</v>
      </c>
      <c r="D89" s="418">
        <f>Dry_Matter_Content!G76</f>
        <v>0.56999999999999995</v>
      </c>
      <c r="E89" s="284">
        <f>MCF!R88</f>
        <v>0.8</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0.8</v>
      </c>
      <c r="R89" s="67">
        <f t="shared" si="17"/>
        <v>0</v>
      </c>
      <c r="S89" s="67">
        <f t="shared" si="19"/>
        <v>0</v>
      </c>
      <c r="T89" s="67">
        <f t="shared" si="20"/>
        <v>0</v>
      </c>
      <c r="U89" s="67">
        <f t="shared" si="21"/>
        <v>0.65149144782852941</v>
      </c>
      <c r="V89" s="67">
        <f t="shared" si="22"/>
        <v>2.3205935657097179E-2</v>
      </c>
      <c r="W89" s="100">
        <f t="shared" si="23"/>
        <v>1.5470623771398118E-2</v>
      </c>
    </row>
    <row r="90" spans="2:23">
      <c r="B90" s="96">
        <f>Amnt_Deposited!B85</f>
        <v>2071</v>
      </c>
      <c r="C90" s="99">
        <f>Amnt_Deposited!F85</f>
        <v>0</v>
      </c>
      <c r="D90" s="418">
        <f>Dry_Matter_Content!G77</f>
        <v>0.56999999999999995</v>
      </c>
      <c r="E90" s="284">
        <f>MCF!R89</f>
        <v>0.8</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0.8</v>
      </c>
      <c r="R90" s="67">
        <f t="shared" si="17"/>
        <v>0</v>
      </c>
      <c r="S90" s="67">
        <f t="shared" si="19"/>
        <v>0</v>
      </c>
      <c r="T90" s="67">
        <f t="shared" si="20"/>
        <v>0</v>
      </c>
      <c r="U90" s="67">
        <f t="shared" si="21"/>
        <v>0.62908367066871174</v>
      </c>
      <c r="V90" s="67">
        <f t="shared" si="22"/>
        <v>2.2407777159817625E-2</v>
      </c>
      <c r="W90" s="100">
        <f t="shared" si="23"/>
        <v>1.4938518106545083E-2</v>
      </c>
    </row>
    <row r="91" spans="2:23">
      <c r="B91" s="96">
        <f>Amnt_Deposited!B86</f>
        <v>2072</v>
      </c>
      <c r="C91" s="99">
        <f>Amnt_Deposited!F86</f>
        <v>0</v>
      </c>
      <c r="D91" s="418">
        <f>Dry_Matter_Content!G78</f>
        <v>0.56999999999999995</v>
      </c>
      <c r="E91" s="284">
        <f>MCF!R90</f>
        <v>0.8</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0.8</v>
      </c>
      <c r="R91" s="67">
        <f t="shared" si="17"/>
        <v>0</v>
      </c>
      <c r="S91" s="67">
        <f t="shared" si="19"/>
        <v>0</v>
      </c>
      <c r="T91" s="67">
        <f t="shared" si="20"/>
        <v>0</v>
      </c>
      <c r="U91" s="67">
        <f t="shared" si="21"/>
        <v>0.60744659967689929</v>
      </c>
      <c r="V91" s="67">
        <f t="shared" si="22"/>
        <v>2.1637070991812488E-2</v>
      </c>
      <c r="W91" s="100">
        <f t="shared" si="23"/>
        <v>1.4424713994541658E-2</v>
      </c>
    </row>
    <row r="92" spans="2:23">
      <c r="B92" s="96">
        <f>Amnt_Deposited!B87</f>
        <v>2073</v>
      </c>
      <c r="C92" s="99">
        <f>Amnt_Deposited!F87</f>
        <v>0</v>
      </c>
      <c r="D92" s="418">
        <f>Dry_Matter_Content!G79</f>
        <v>0.56999999999999995</v>
      </c>
      <c r="E92" s="284">
        <f>MCF!R91</f>
        <v>0.8</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0.8</v>
      </c>
      <c r="R92" s="67">
        <f t="shared" si="17"/>
        <v>0</v>
      </c>
      <c r="S92" s="67">
        <f t="shared" si="19"/>
        <v>0</v>
      </c>
      <c r="T92" s="67">
        <f t="shared" si="20"/>
        <v>0</v>
      </c>
      <c r="U92" s="67">
        <f t="shared" si="21"/>
        <v>0.58655372673525563</v>
      </c>
      <c r="V92" s="67">
        <f t="shared" si="22"/>
        <v>2.0892872941643614E-2</v>
      </c>
      <c r="W92" s="100">
        <f t="shared" si="23"/>
        <v>1.3928581961095742E-2</v>
      </c>
    </row>
    <row r="93" spans="2:23">
      <c r="B93" s="96">
        <f>Amnt_Deposited!B88</f>
        <v>2074</v>
      </c>
      <c r="C93" s="99">
        <f>Amnt_Deposited!F88</f>
        <v>0</v>
      </c>
      <c r="D93" s="418">
        <f>Dry_Matter_Content!G80</f>
        <v>0.56999999999999995</v>
      </c>
      <c r="E93" s="284">
        <f>MCF!R92</f>
        <v>0.8</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0.8</v>
      </c>
      <c r="R93" s="67">
        <f t="shared" si="17"/>
        <v>0</v>
      </c>
      <c r="S93" s="67">
        <f t="shared" si="19"/>
        <v>0</v>
      </c>
      <c r="T93" s="67">
        <f t="shared" si="20"/>
        <v>0</v>
      </c>
      <c r="U93" s="67">
        <f t="shared" si="21"/>
        <v>0.56637945546162338</v>
      </c>
      <c r="V93" s="67">
        <f t="shared" si="22"/>
        <v>2.0174271273632229E-2</v>
      </c>
      <c r="W93" s="100">
        <f t="shared" si="23"/>
        <v>1.3449514182421485E-2</v>
      </c>
    </row>
    <row r="94" spans="2:23">
      <c r="B94" s="96">
        <f>Amnt_Deposited!B89</f>
        <v>2075</v>
      </c>
      <c r="C94" s="99">
        <f>Amnt_Deposited!F89</f>
        <v>0</v>
      </c>
      <c r="D94" s="418">
        <f>Dry_Matter_Content!G81</f>
        <v>0.56999999999999995</v>
      </c>
      <c r="E94" s="284">
        <f>MCF!R93</f>
        <v>0.8</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0.8</v>
      </c>
      <c r="R94" s="67">
        <f t="shared" si="17"/>
        <v>0</v>
      </c>
      <c r="S94" s="67">
        <f t="shared" si="19"/>
        <v>0</v>
      </c>
      <c r="T94" s="67">
        <f t="shared" si="20"/>
        <v>0</v>
      </c>
      <c r="U94" s="67">
        <f t="shared" si="21"/>
        <v>0.54689906985075465</v>
      </c>
      <c r="V94" s="67">
        <f t="shared" si="22"/>
        <v>1.9480385610868713E-2</v>
      </c>
      <c r="W94" s="100">
        <f t="shared" si="23"/>
        <v>1.2986923740579141E-2</v>
      </c>
    </row>
    <row r="95" spans="2:23">
      <c r="B95" s="96">
        <f>Amnt_Deposited!B90</f>
        <v>2076</v>
      </c>
      <c r="C95" s="99">
        <f>Amnt_Deposited!F90</f>
        <v>0</v>
      </c>
      <c r="D95" s="418">
        <f>Dry_Matter_Content!G82</f>
        <v>0.56999999999999995</v>
      </c>
      <c r="E95" s="284">
        <f>MCF!R94</f>
        <v>0.8</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0.8</v>
      </c>
      <c r="R95" s="67">
        <f t="shared" si="17"/>
        <v>0</v>
      </c>
      <c r="S95" s="67">
        <f t="shared" si="19"/>
        <v>0</v>
      </c>
      <c r="T95" s="67">
        <f t="shared" si="20"/>
        <v>0</v>
      </c>
      <c r="U95" s="67">
        <f t="shared" si="21"/>
        <v>0.52808870399411389</v>
      </c>
      <c r="V95" s="67">
        <f t="shared" si="22"/>
        <v>1.8810365856640789E-2</v>
      </c>
      <c r="W95" s="100">
        <f t="shared" si="23"/>
        <v>1.2540243904427192E-2</v>
      </c>
    </row>
    <row r="96" spans="2:23">
      <c r="B96" s="96">
        <f>Amnt_Deposited!B91</f>
        <v>2077</v>
      </c>
      <c r="C96" s="99">
        <f>Amnt_Deposited!F91</f>
        <v>0</v>
      </c>
      <c r="D96" s="418">
        <f>Dry_Matter_Content!G83</f>
        <v>0.56999999999999995</v>
      </c>
      <c r="E96" s="284">
        <f>MCF!R95</f>
        <v>0.8</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0.8</v>
      </c>
      <c r="R96" s="67">
        <f t="shared" si="17"/>
        <v>0</v>
      </c>
      <c r="S96" s="67">
        <f t="shared" si="19"/>
        <v>0</v>
      </c>
      <c r="T96" s="67">
        <f t="shared" si="20"/>
        <v>0</v>
      </c>
      <c r="U96" s="67">
        <f t="shared" si="21"/>
        <v>0.50992531284115516</v>
      </c>
      <c r="V96" s="67">
        <f t="shared" si="22"/>
        <v>1.8163391152958747E-2</v>
      </c>
      <c r="W96" s="100">
        <f t="shared" si="23"/>
        <v>1.2108927435305832E-2</v>
      </c>
    </row>
    <row r="97" spans="2:23">
      <c r="B97" s="96">
        <f>Amnt_Deposited!B92</f>
        <v>2078</v>
      </c>
      <c r="C97" s="99">
        <f>Amnt_Deposited!F92</f>
        <v>0</v>
      </c>
      <c r="D97" s="418">
        <f>Dry_Matter_Content!G84</f>
        <v>0.56999999999999995</v>
      </c>
      <c r="E97" s="284">
        <f>MCF!R96</f>
        <v>0.8</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0.8</v>
      </c>
      <c r="R97" s="67">
        <f t="shared" si="17"/>
        <v>0</v>
      </c>
      <c r="S97" s="67">
        <f t="shared" si="19"/>
        <v>0</v>
      </c>
      <c r="T97" s="67">
        <f t="shared" si="20"/>
        <v>0</v>
      </c>
      <c r="U97" s="67">
        <f t="shared" si="21"/>
        <v>0.49238664396625342</v>
      </c>
      <c r="V97" s="67">
        <f t="shared" si="22"/>
        <v>1.7538668874901731E-2</v>
      </c>
      <c r="W97" s="100">
        <f t="shared" si="23"/>
        <v>1.1692445916601154E-2</v>
      </c>
    </row>
    <row r="98" spans="2:23">
      <c r="B98" s="96">
        <f>Amnt_Deposited!B93</f>
        <v>2079</v>
      </c>
      <c r="C98" s="99">
        <f>Amnt_Deposited!F93</f>
        <v>0</v>
      </c>
      <c r="D98" s="418">
        <f>Dry_Matter_Content!G85</f>
        <v>0.56999999999999995</v>
      </c>
      <c r="E98" s="284">
        <f>MCF!R97</f>
        <v>0.8</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0.8</v>
      </c>
      <c r="R98" s="67">
        <f t="shared" si="17"/>
        <v>0</v>
      </c>
      <c r="S98" s="67">
        <f t="shared" si="19"/>
        <v>0</v>
      </c>
      <c r="T98" s="67">
        <f t="shared" si="20"/>
        <v>0</v>
      </c>
      <c r="U98" s="67">
        <f t="shared" si="21"/>
        <v>0.47545121030670029</v>
      </c>
      <c r="V98" s="67">
        <f t="shared" si="22"/>
        <v>1.693543365955311E-2</v>
      </c>
      <c r="W98" s="100">
        <f t="shared" si="23"/>
        <v>1.1290289106368739E-2</v>
      </c>
    </row>
    <row r="99" spans="2:23" ht="13.5" thickBot="1">
      <c r="B99" s="97">
        <f>Amnt_Deposited!B94</f>
        <v>2080</v>
      </c>
      <c r="C99" s="101">
        <f>Amnt_Deposited!F94</f>
        <v>0</v>
      </c>
      <c r="D99" s="418">
        <f>Dry_Matter_Content!G86</f>
        <v>0.56999999999999995</v>
      </c>
      <c r="E99" s="285">
        <f>MCF!R98</f>
        <v>0.8</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0.8</v>
      </c>
      <c r="R99" s="68">
        <f t="shared" si="17"/>
        <v>0</v>
      </c>
      <c r="S99" s="68">
        <f>R99*$W$12</f>
        <v>0</v>
      </c>
      <c r="T99" s="68">
        <f>R99*(1-$W$12)</f>
        <v>0</v>
      </c>
      <c r="U99" s="68">
        <f>S99+U98*$W$10</f>
        <v>0.45909826383836511</v>
      </c>
      <c r="V99" s="68">
        <f>U98*(1-$W$10)+T99</f>
        <v>1.6352946468335183E-2</v>
      </c>
      <c r="W99" s="102">
        <f t="shared" si="23"/>
        <v>1.0901964312223456E-2</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0.3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v>
      </c>
      <c r="D19" s="416">
        <f>Dry_Matter_Content!H6</f>
        <v>0.73</v>
      </c>
      <c r="E19" s="283">
        <f>MCF!R18</f>
        <v>0.8</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Amnt_Deposited!H14</f>
        <v>0</v>
      </c>
      <c r="Q19" s="283">
        <f>MCF!R18</f>
        <v>0.8</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Amnt_Deposited!H15</f>
        <v>0</v>
      </c>
      <c r="D20" s="418">
        <f>Dry_Matter_Content!H7</f>
        <v>0.73</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Amnt_Deposited!H15</f>
        <v>0</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Amnt_Deposited!H16</f>
        <v>0.18598370828399999</v>
      </c>
      <c r="D21" s="418">
        <f>Dry_Matter_Content!H8</f>
        <v>0.73</v>
      </c>
      <c r="E21" s="284">
        <f>MCF!R20</f>
        <v>0.8</v>
      </c>
      <c r="F21" s="67">
        <f t="shared" si="0"/>
        <v>1.6292172845678396E-2</v>
      </c>
      <c r="G21" s="67">
        <f t="shared" si="1"/>
        <v>1.6292172845678396E-2</v>
      </c>
      <c r="H21" s="67">
        <f t="shared" si="2"/>
        <v>0</v>
      </c>
      <c r="I21" s="67">
        <f t="shared" si="3"/>
        <v>1.6292172845678396E-2</v>
      </c>
      <c r="J21" s="67">
        <f t="shared" si="4"/>
        <v>0</v>
      </c>
      <c r="K21" s="100">
        <f t="shared" ref="K21:K84" si="6">J21*CH4_fraction*conv</f>
        <v>0</v>
      </c>
      <c r="O21" s="96">
        <f>Amnt_Deposited!B16</f>
        <v>2002</v>
      </c>
      <c r="P21" s="99">
        <f>Amnt_Deposited!H16</f>
        <v>0.18598370828399999</v>
      </c>
      <c r="Q21" s="284">
        <f>MCF!R20</f>
        <v>0.8</v>
      </c>
      <c r="R21" s="67">
        <f t="shared" si="5"/>
        <v>1.7854435995263998E-2</v>
      </c>
      <c r="S21" s="67">
        <f t="shared" ref="S21:S84" si="7">R21*$W$12</f>
        <v>1.7854435995263998E-2</v>
      </c>
      <c r="T21" s="67">
        <f t="shared" ref="T21:T84" si="8">R21*(1-$W$12)</f>
        <v>0</v>
      </c>
      <c r="U21" s="67">
        <f t="shared" ref="U21:U84" si="9">S21+U20*$W$10</f>
        <v>1.7854435995263998E-2</v>
      </c>
      <c r="V21" s="67">
        <f t="shared" ref="V21:V84" si="10">U20*(1-$W$10)+T21</f>
        <v>0</v>
      </c>
      <c r="W21" s="100">
        <f t="shared" ref="W21:W84" si="11">V21*CH4_fraction*conv</f>
        <v>0</v>
      </c>
    </row>
    <row r="22" spans="2:23">
      <c r="B22" s="96">
        <f>Amnt_Deposited!B17</f>
        <v>2003</v>
      </c>
      <c r="C22" s="99">
        <f>Amnt_Deposited!H17</f>
        <v>0.189172675692</v>
      </c>
      <c r="D22" s="418">
        <f>Dry_Matter_Content!H9</f>
        <v>0.73</v>
      </c>
      <c r="E22" s="284">
        <f>MCF!R21</f>
        <v>0.8</v>
      </c>
      <c r="F22" s="67">
        <f t="shared" si="0"/>
        <v>1.65715263906192E-2</v>
      </c>
      <c r="G22" s="67">
        <f t="shared" si="1"/>
        <v>1.65715263906192E-2</v>
      </c>
      <c r="H22" s="67">
        <f t="shared" si="2"/>
        <v>0</v>
      </c>
      <c r="I22" s="67">
        <f t="shared" si="3"/>
        <v>3.1762247664769247E-2</v>
      </c>
      <c r="J22" s="67">
        <f t="shared" si="4"/>
        <v>1.1014515715283529E-3</v>
      </c>
      <c r="K22" s="100">
        <f t="shared" si="6"/>
        <v>7.3430104768556852E-4</v>
      </c>
      <c r="N22" s="258"/>
      <c r="O22" s="96">
        <f>Amnt_Deposited!B17</f>
        <v>2003</v>
      </c>
      <c r="P22" s="99">
        <f>Amnt_Deposited!H17</f>
        <v>0.189172675692</v>
      </c>
      <c r="Q22" s="284">
        <f>MCF!R21</f>
        <v>0.8</v>
      </c>
      <c r="R22" s="67">
        <f t="shared" si="5"/>
        <v>1.8160576866432E-2</v>
      </c>
      <c r="S22" s="67">
        <f t="shared" si="7"/>
        <v>1.8160576866432E-2</v>
      </c>
      <c r="T22" s="67">
        <f t="shared" si="8"/>
        <v>0</v>
      </c>
      <c r="U22" s="67">
        <f t="shared" si="9"/>
        <v>3.4807942646322462E-2</v>
      </c>
      <c r="V22" s="67">
        <f t="shared" si="10"/>
        <v>1.2070702153735376E-3</v>
      </c>
      <c r="W22" s="100">
        <f t="shared" si="11"/>
        <v>8.047134769156917E-4</v>
      </c>
    </row>
    <row r="23" spans="2:23">
      <c r="B23" s="96">
        <f>Amnt_Deposited!B18</f>
        <v>2004</v>
      </c>
      <c r="C23" s="99">
        <f>Amnt_Deposited!H18</f>
        <v>0.19676228497199999</v>
      </c>
      <c r="D23" s="418">
        <f>Dry_Matter_Content!H10</f>
        <v>0.73</v>
      </c>
      <c r="E23" s="284">
        <f>MCF!R22</f>
        <v>0.8</v>
      </c>
      <c r="F23" s="67">
        <f t="shared" si="0"/>
        <v>1.7236376163547198E-2</v>
      </c>
      <c r="G23" s="67">
        <f t="shared" si="1"/>
        <v>1.7236376163547198E-2</v>
      </c>
      <c r="H23" s="67">
        <f t="shared" si="2"/>
        <v>0</v>
      </c>
      <c r="I23" s="67">
        <f t="shared" si="3"/>
        <v>4.685129959250018E-2</v>
      </c>
      <c r="J23" s="67">
        <f t="shared" si="4"/>
        <v>2.1473242358162636E-3</v>
      </c>
      <c r="K23" s="100">
        <f t="shared" si="6"/>
        <v>1.4315494905441757E-3</v>
      </c>
      <c r="N23" s="258"/>
      <c r="O23" s="96">
        <f>Amnt_Deposited!B18</f>
        <v>2004</v>
      </c>
      <c r="P23" s="99">
        <f>Amnt_Deposited!H18</f>
        <v>0.19676228497199999</v>
      </c>
      <c r="Q23" s="284">
        <f>MCF!R22</f>
        <v>0.8</v>
      </c>
      <c r="R23" s="67">
        <f t="shared" si="5"/>
        <v>1.8889179357311998E-2</v>
      </c>
      <c r="S23" s="67">
        <f t="shared" si="7"/>
        <v>1.8889179357311998E-2</v>
      </c>
      <c r="T23" s="67">
        <f t="shared" si="8"/>
        <v>0</v>
      </c>
      <c r="U23" s="67">
        <f t="shared" si="9"/>
        <v>5.1343889964383764E-2</v>
      </c>
      <c r="V23" s="67">
        <f t="shared" si="10"/>
        <v>2.3532320392506997E-3</v>
      </c>
      <c r="W23" s="100">
        <f t="shared" si="11"/>
        <v>1.5688213595004665E-3</v>
      </c>
    </row>
    <row r="24" spans="2:23">
      <c r="B24" s="96">
        <f>Amnt_Deposited!B19</f>
        <v>2005</v>
      </c>
      <c r="C24" s="99">
        <f>Amnt_Deposited!H19</f>
        <v>0.20383593397200003</v>
      </c>
      <c r="D24" s="418">
        <f>Dry_Matter_Content!H11</f>
        <v>0.73</v>
      </c>
      <c r="E24" s="284">
        <f>MCF!R23</f>
        <v>0.8</v>
      </c>
      <c r="F24" s="67">
        <f t="shared" si="0"/>
        <v>1.7856027815947202E-2</v>
      </c>
      <c r="G24" s="67">
        <f t="shared" si="1"/>
        <v>1.7856027815947202E-2</v>
      </c>
      <c r="H24" s="67">
        <f t="shared" si="2"/>
        <v>0</v>
      </c>
      <c r="I24" s="67">
        <f t="shared" si="3"/>
        <v>6.1539890010556444E-2</v>
      </c>
      <c r="J24" s="67">
        <f t="shared" si="4"/>
        <v>3.1674373978909393E-3</v>
      </c>
      <c r="K24" s="100">
        <f t="shared" si="6"/>
        <v>2.1116249319272926E-3</v>
      </c>
      <c r="N24" s="258"/>
      <c r="O24" s="96">
        <f>Amnt_Deposited!B19</f>
        <v>2005</v>
      </c>
      <c r="P24" s="99">
        <f>Amnt_Deposited!H19</f>
        <v>0.20383593397200003</v>
      </c>
      <c r="Q24" s="284">
        <f>MCF!R23</f>
        <v>0.8</v>
      </c>
      <c r="R24" s="67">
        <f t="shared" si="5"/>
        <v>1.9568249661312001E-2</v>
      </c>
      <c r="S24" s="67">
        <f t="shared" si="7"/>
        <v>1.9568249661312001E-2</v>
      </c>
      <c r="T24" s="67">
        <f t="shared" si="8"/>
        <v>0</v>
      </c>
      <c r="U24" s="67">
        <f t="shared" si="9"/>
        <v>6.7440975354034455E-2</v>
      </c>
      <c r="V24" s="67">
        <f t="shared" si="10"/>
        <v>3.4711642716613038E-3</v>
      </c>
      <c r="W24" s="100">
        <f t="shared" si="11"/>
        <v>2.3141095144408692E-3</v>
      </c>
    </row>
    <row r="25" spans="2:23">
      <c r="B25" s="96">
        <f>Amnt_Deposited!B20</f>
        <v>2006</v>
      </c>
      <c r="C25" s="99">
        <f>Amnt_Deposited!H20</f>
        <v>0.20606288511599999</v>
      </c>
      <c r="D25" s="418">
        <f>Dry_Matter_Content!H12</f>
        <v>0.73</v>
      </c>
      <c r="E25" s="284">
        <f>MCF!R24</f>
        <v>0.8</v>
      </c>
      <c r="F25" s="67">
        <f t="shared" si="0"/>
        <v>1.8051108736161597E-2</v>
      </c>
      <c r="G25" s="67">
        <f t="shared" si="1"/>
        <v>1.8051108736161597E-2</v>
      </c>
      <c r="H25" s="67">
        <f t="shared" si="2"/>
        <v>0</v>
      </c>
      <c r="I25" s="67">
        <f t="shared" si="3"/>
        <v>7.5430521859696231E-2</v>
      </c>
      <c r="J25" s="67">
        <f t="shared" si="4"/>
        <v>4.1604768870218134E-3</v>
      </c>
      <c r="K25" s="100">
        <f t="shared" si="6"/>
        <v>2.7736512580145423E-3</v>
      </c>
      <c r="N25" s="258"/>
      <c r="O25" s="96">
        <f>Amnt_Deposited!B20</f>
        <v>2006</v>
      </c>
      <c r="P25" s="99">
        <f>Amnt_Deposited!H20</f>
        <v>0.20606288511599999</v>
      </c>
      <c r="Q25" s="284">
        <f>MCF!R24</f>
        <v>0.8</v>
      </c>
      <c r="R25" s="67">
        <f t="shared" si="5"/>
        <v>1.9782036971136001E-2</v>
      </c>
      <c r="S25" s="67">
        <f t="shared" si="7"/>
        <v>1.9782036971136001E-2</v>
      </c>
      <c r="T25" s="67">
        <f t="shared" si="8"/>
        <v>0</v>
      </c>
      <c r="U25" s="67">
        <f t="shared" si="9"/>
        <v>8.2663585599667105E-2</v>
      </c>
      <c r="V25" s="67">
        <f t="shared" si="10"/>
        <v>4.5594267255033571E-3</v>
      </c>
      <c r="W25" s="100">
        <f t="shared" si="11"/>
        <v>3.0396178170022381E-3</v>
      </c>
    </row>
    <row r="26" spans="2:23">
      <c r="B26" s="96">
        <f>Amnt_Deposited!B21</f>
        <v>2007</v>
      </c>
      <c r="C26" s="99">
        <f>Amnt_Deposited!H21</f>
        <v>0.20822492512799998</v>
      </c>
      <c r="D26" s="418">
        <f>Dry_Matter_Content!H13</f>
        <v>0.73</v>
      </c>
      <c r="E26" s="284">
        <f>MCF!R25</f>
        <v>0.8</v>
      </c>
      <c r="F26" s="67">
        <f t="shared" si="0"/>
        <v>1.8240503441212797E-2</v>
      </c>
      <c r="G26" s="67">
        <f t="shared" si="1"/>
        <v>1.8240503441212797E-2</v>
      </c>
      <c r="H26" s="67">
        <f t="shared" si="2"/>
        <v>0</v>
      </c>
      <c r="I26" s="67">
        <f t="shared" si="3"/>
        <v>8.8571455855474102E-2</v>
      </c>
      <c r="J26" s="67">
        <f t="shared" si="4"/>
        <v>5.0995694454349294E-3</v>
      </c>
      <c r="K26" s="100">
        <f t="shared" si="6"/>
        <v>3.3997129636232862E-3</v>
      </c>
      <c r="N26" s="258"/>
      <c r="O26" s="96">
        <f>Amnt_Deposited!B21</f>
        <v>2007</v>
      </c>
      <c r="P26" s="99">
        <f>Amnt_Deposited!H21</f>
        <v>0.20822492512799998</v>
      </c>
      <c r="Q26" s="284">
        <f>MCF!R25</f>
        <v>0.8</v>
      </c>
      <c r="R26" s="67">
        <f t="shared" si="5"/>
        <v>1.9989592812287998E-2</v>
      </c>
      <c r="S26" s="67">
        <f t="shared" si="7"/>
        <v>1.9989592812287998E-2</v>
      </c>
      <c r="T26" s="67">
        <f t="shared" si="8"/>
        <v>0</v>
      </c>
      <c r="U26" s="67">
        <f t="shared" si="9"/>
        <v>9.7064609156683954E-2</v>
      </c>
      <c r="V26" s="67">
        <f t="shared" si="10"/>
        <v>5.5885692552711556E-3</v>
      </c>
      <c r="W26" s="100">
        <f t="shared" si="11"/>
        <v>3.7257128368474368E-3</v>
      </c>
    </row>
    <row r="27" spans="2:23">
      <c r="B27" s="96">
        <f>Amnt_Deposited!B22</f>
        <v>2008</v>
      </c>
      <c r="C27" s="99">
        <f>Amnt_Deposited!H22</f>
        <v>0.21030208135199999</v>
      </c>
      <c r="D27" s="418">
        <f>Dry_Matter_Content!H14</f>
        <v>0.73</v>
      </c>
      <c r="E27" s="284">
        <f>MCF!R26</f>
        <v>0.8</v>
      </c>
      <c r="F27" s="67">
        <f t="shared" si="0"/>
        <v>1.8422462326435199E-2</v>
      </c>
      <c r="G27" s="67">
        <f t="shared" si="1"/>
        <v>1.8422462326435199E-2</v>
      </c>
      <c r="H27" s="67">
        <f t="shared" si="2"/>
        <v>0</v>
      </c>
      <c r="I27" s="67">
        <f t="shared" si="3"/>
        <v>0.10100594038615177</v>
      </c>
      <c r="J27" s="67">
        <f t="shared" si="4"/>
        <v>5.9879777957575347E-3</v>
      </c>
      <c r="K27" s="100">
        <f t="shared" si="6"/>
        <v>3.9919851971716895E-3</v>
      </c>
      <c r="N27" s="258"/>
      <c r="O27" s="96">
        <f>Amnt_Deposited!B22</f>
        <v>2008</v>
      </c>
      <c r="P27" s="99">
        <f>Amnt_Deposited!H22</f>
        <v>0.21030208135199999</v>
      </c>
      <c r="Q27" s="284">
        <f>MCF!R26</f>
        <v>0.8</v>
      </c>
      <c r="R27" s="67">
        <f t="shared" si="5"/>
        <v>2.0188999809792E-2</v>
      </c>
      <c r="S27" s="67">
        <f t="shared" si="7"/>
        <v>2.0188999809792E-2</v>
      </c>
      <c r="T27" s="67">
        <f t="shared" si="8"/>
        <v>0</v>
      </c>
      <c r="U27" s="67">
        <f t="shared" si="9"/>
        <v>0.11069144151907043</v>
      </c>
      <c r="V27" s="67">
        <f t="shared" si="10"/>
        <v>6.5621674474055178E-3</v>
      </c>
      <c r="W27" s="100">
        <f t="shared" si="11"/>
        <v>4.3747782982703452E-3</v>
      </c>
    </row>
    <row r="28" spans="2:23">
      <c r="B28" s="96">
        <f>Amnt_Deposited!B23</f>
        <v>2009</v>
      </c>
      <c r="C28" s="99">
        <f>Amnt_Deposited!H23</f>
        <v>0.212262730416</v>
      </c>
      <c r="D28" s="418">
        <f>Dry_Matter_Content!H15</f>
        <v>0.73</v>
      </c>
      <c r="E28" s="284">
        <f>MCF!R27</f>
        <v>0.8</v>
      </c>
      <c r="F28" s="67">
        <f t="shared" si="0"/>
        <v>1.8594215184441598E-2</v>
      </c>
      <c r="G28" s="67">
        <f t="shared" si="1"/>
        <v>1.8594215184441598E-2</v>
      </c>
      <c r="H28" s="67">
        <f t="shared" si="2"/>
        <v>0</v>
      </c>
      <c r="I28" s="67">
        <f t="shared" si="3"/>
        <v>0.11277152977427814</v>
      </c>
      <c r="J28" s="67">
        <f t="shared" si="4"/>
        <v>6.8286257963152287E-3</v>
      </c>
      <c r="K28" s="100">
        <f t="shared" si="6"/>
        <v>4.5524171975434855E-3</v>
      </c>
      <c r="N28" s="258"/>
      <c r="O28" s="96">
        <f>Amnt_Deposited!B23</f>
        <v>2009</v>
      </c>
      <c r="P28" s="99">
        <f>Amnt_Deposited!H23</f>
        <v>0.212262730416</v>
      </c>
      <c r="Q28" s="284">
        <f>MCF!R27</f>
        <v>0.8</v>
      </c>
      <c r="R28" s="67">
        <f t="shared" si="5"/>
        <v>2.0377222119935999E-2</v>
      </c>
      <c r="S28" s="67">
        <f t="shared" si="7"/>
        <v>2.0377222119935999E-2</v>
      </c>
      <c r="T28" s="67">
        <f t="shared" si="8"/>
        <v>0</v>
      </c>
      <c r="U28" s="67">
        <f t="shared" si="9"/>
        <v>0.12358523810879796</v>
      </c>
      <c r="V28" s="67">
        <f t="shared" si="10"/>
        <v>7.4834255302084702E-3</v>
      </c>
      <c r="W28" s="100">
        <f t="shared" si="11"/>
        <v>4.9889503534723129E-3</v>
      </c>
    </row>
    <row r="29" spans="2:23">
      <c r="B29" s="96">
        <f>Amnt_Deposited!B24</f>
        <v>2010</v>
      </c>
      <c r="C29" s="99">
        <f>Amnt_Deposited!H24</f>
        <v>0.237877661736</v>
      </c>
      <c r="D29" s="418">
        <f>Dry_Matter_Content!H16</f>
        <v>0.73</v>
      </c>
      <c r="E29" s="284">
        <f>MCF!R28</f>
        <v>0.8</v>
      </c>
      <c r="F29" s="67">
        <f t="shared" si="0"/>
        <v>2.0838083168073604E-2</v>
      </c>
      <c r="G29" s="67">
        <f t="shared" si="1"/>
        <v>2.0838083168073604E-2</v>
      </c>
      <c r="H29" s="67">
        <f t="shared" si="2"/>
        <v>0</v>
      </c>
      <c r="I29" s="67">
        <f t="shared" si="3"/>
        <v>0.12598556059095017</v>
      </c>
      <c r="J29" s="67">
        <f t="shared" si="4"/>
        <v>7.6240523514015642E-3</v>
      </c>
      <c r="K29" s="100">
        <f t="shared" si="6"/>
        <v>5.0827015676010428E-3</v>
      </c>
      <c r="O29" s="96">
        <f>Amnt_Deposited!B24</f>
        <v>2010</v>
      </c>
      <c r="P29" s="99">
        <f>Amnt_Deposited!H24</f>
        <v>0.237877661736</v>
      </c>
      <c r="Q29" s="284">
        <f>MCF!R28</f>
        <v>0.8</v>
      </c>
      <c r="R29" s="67">
        <f t="shared" si="5"/>
        <v>2.2836255526656E-2</v>
      </c>
      <c r="S29" s="67">
        <f t="shared" si="7"/>
        <v>2.2836255526656E-2</v>
      </c>
      <c r="T29" s="67">
        <f t="shared" si="8"/>
        <v>0</v>
      </c>
      <c r="U29" s="67">
        <f t="shared" si="9"/>
        <v>0.13806636777090431</v>
      </c>
      <c r="V29" s="67">
        <f t="shared" si="10"/>
        <v>8.355125864549659E-3</v>
      </c>
      <c r="W29" s="100">
        <f t="shared" si="11"/>
        <v>5.5700839096997721E-3</v>
      </c>
    </row>
    <row r="30" spans="2:23">
      <c r="B30" s="96">
        <f>Amnt_Deposited!B25</f>
        <v>2011</v>
      </c>
      <c r="C30" s="99">
        <f>Amnt_Deposited!H25</f>
        <v>0.22087639224000002</v>
      </c>
      <c r="D30" s="418">
        <f>Dry_Matter_Content!H17</f>
        <v>0.73</v>
      </c>
      <c r="E30" s="284">
        <f>MCF!R29</f>
        <v>0.8</v>
      </c>
      <c r="F30" s="67">
        <f t="shared" si="0"/>
        <v>1.9348771960224002E-2</v>
      </c>
      <c r="G30" s="67">
        <f t="shared" si="1"/>
        <v>1.9348771960224002E-2</v>
      </c>
      <c r="H30" s="67">
        <f t="shared" si="2"/>
        <v>0</v>
      </c>
      <c r="I30" s="67">
        <f t="shared" si="3"/>
        <v>0.13681693005261233</v>
      </c>
      <c r="J30" s="67">
        <f t="shared" si="4"/>
        <v>8.5174024985618432E-3</v>
      </c>
      <c r="K30" s="100">
        <f t="shared" si="6"/>
        <v>5.6782683323745621E-3</v>
      </c>
      <c r="O30" s="96">
        <f>Amnt_Deposited!B25</f>
        <v>2011</v>
      </c>
      <c r="P30" s="99">
        <f>Amnt_Deposited!H25</f>
        <v>0.22087639224000002</v>
      </c>
      <c r="Q30" s="284">
        <f>MCF!R29</f>
        <v>0.8</v>
      </c>
      <c r="R30" s="67">
        <f t="shared" si="5"/>
        <v>2.1204133655040005E-2</v>
      </c>
      <c r="S30" s="67">
        <f t="shared" si="7"/>
        <v>2.1204133655040005E-2</v>
      </c>
      <c r="T30" s="67">
        <f t="shared" si="8"/>
        <v>0</v>
      </c>
      <c r="U30" s="67">
        <f t="shared" si="9"/>
        <v>0.14993636170149299</v>
      </c>
      <c r="V30" s="67">
        <f t="shared" si="10"/>
        <v>9.3341397244513357E-3</v>
      </c>
      <c r="W30" s="100">
        <f t="shared" si="11"/>
        <v>6.2227598163008902E-3</v>
      </c>
    </row>
    <row r="31" spans="2:23">
      <c r="B31" s="96">
        <f>Amnt_Deposited!B26</f>
        <v>2012</v>
      </c>
      <c r="C31" s="99">
        <f>Amnt_Deposited!H26</f>
        <v>0.22398728472000001</v>
      </c>
      <c r="D31" s="418">
        <f>Dry_Matter_Content!H18</f>
        <v>0.73</v>
      </c>
      <c r="E31" s="284">
        <f>MCF!R30</f>
        <v>0.8</v>
      </c>
      <c r="F31" s="67">
        <f t="shared" si="0"/>
        <v>1.9621286141472002E-2</v>
      </c>
      <c r="G31" s="67">
        <f t="shared" si="1"/>
        <v>1.9621286141472002E-2</v>
      </c>
      <c r="H31" s="67">
        <f t="shared" si="2"/>
        <v>0</v>
      </c>
      <c r="I31" s="67">
        <f t="shared" si="3"/>
        <v>0.14718854618103216</v>
      </c>
      <c r="J31" s="67">
        <f t="shared" si="4"/>
        <v>9.2496700130521876E-3</v>
      </c>
      <c r="K31" s="100">
        <f t="shared" si="6"/>
        <v>6.166446675368125E-3</v>
      </c>
      <c r="O31" s="96">
        <f>Amnt_Deposited!B26</f>
        <v>2012</v>
      </c>
      <c r="P31" s="99">
        <f>Amnt_Deposited!H26</f>
        <v>0.22398728472000001</v>
      </c>
      <c r="Q31" s="284">
        <f>MCF!R30</f>
        <v>0.8</v>
      </c>
      <c r="R31" s="67">
        <f t="shared" si="5"/>
        <v>2.1502779333120003E-2</v>
      </c>
      <c r="S31" s="67">
        <f t="shared" si="7"/>
        <v>2.1502779333120003E-2</v>
      </c>
      <c r="T31" s="67">
        <f t="shared" si="8"/>
        <v>0</v>
      </c>
      <c r="U31" s="67">
        <f t="shared" si="9"/>
        <v>0.16130251636277498</v>
      </c>
      <c r="V31" s="67">
        <f t="shared" si="10"/>
        <v>1.0136624671838014E-2</v>
      </c>
      <c r="W31" s="100">
        <f t="shared" si="11"/>
        <v>6.7577497812253426E-3</v>
      </c>
    </row>
    <row r="32" spans="2:23">
      <c r="B32" s="96">
        <f>Amnt_Deposited!B27</f>
        <v>2013</v>
      </c>
      <c r="C32" s="99">
        <f>Amnt_Deposited!H27</f>
        <v>0.22727218140000002</v>
      </c>
      <c r="D32" s="418">
        <f>Dry_Matter_Content!H19</f>
        <v>0.73</v>
      </c>
      <c r="E32" s="284">
        <f>MCF!R31</f>
        <v>0.8</v>
      </c>
      <c r="F32" s="67">
        <f t="shared" si="0"/>
        <v>1.9909043090640004E-2</v>
      </c>
      <c r="G32" s="67">
        <f t="shared" si="1"/>
        <v>1.9909043090640004E-2</v>
      </c>
      <c r="H32" s="67">
        <f t="shared" si="2"/>
        <v>0</v>
      </c>
      <c r="I32" s="67">
        <f t="shared" si="3"/>
        <v>0.15714673391077566</v>
      </c>
      <c r="J32" s="67">
        <f t="shared" si="4"/>
        <v>9.9508553608965104E-3</v>
      </c>
      <c r="K32" s="100">
        <f t="shared" si="6"/>
        <v>6.6339035739310069E-3</v>
      </c>
      <c r="O32" s="96">
        <f>Amnt_Deposited!B27</f>
        <v>2013</v>
      </c>
      <c r="P32" s="99">
        <f>Amnt_Deposited!H27</f>
        <v>0.22727218140000002</v>
      </c>
      <c r="Q32" s="284">
        <f>MCF!R31</f>
        <v>0.8</v>
      </c>
      <c r="R32" s="67">
        <f t="shared" si="5"/>
        <v>2.1818129414400003E-2</v>
      </c>
      <c r="S32" s="67">
        <f t="shared" si="7"/>
        <v>2.1818129414400003E-2</v>
      </c>
      <c r="T32" s="67">
        <f t="shared" si="8"/>
        <v>0</v>
      </c>
      <c r="U32" s="67">
        <f t="shared" si="9"/>
        <v>0.1722155988063295</v>
      </c>
      <c r="V32" s="67">
        <f t="shared" si="10"/>
        <v>1.0905046970845491E-2</v>
      </c>
      <c r="W32" s="100">
        <f t="shared" si="11"/>
        <v>7.2700313138969932E-3</v>
      </c>
    </row>
    <row r="33" spans="2:23">
      <c r="B33" s="96">
        <f>Amnt_Deposited!B28</f>
        <v>2014</v>
      </c>
      <c r="C33" s="99">
        <f>Amnt_Deposited!H28</f>
        <v>0.23016821652000002</v>
      </c>
      <c r="D33" s="418">
        <f>Dry_Matter_Content!H20</f>
        <v>0.73</v>
      </c>
      <c r="E33" s="284">
        <f>MCF!R32</f>
        <v>0.8</v>
      </c>
      <c r="F33" s="67">
        <f t="shared" si="0"/>
        <v>2.0162735767152003E-2</v>
      </c>
      <c r="G33" s="67">
        <f t="shared" si="1"/>
        <v>2.0162735767152003E-2</v>
      </c>
      <c r="H33" s="67">
        <f t="shared" si="2"/>
        <v>0</v>
      </c>
      <c r="I33" s="67">
        <f t="shared" si="3"/>
        <v>0.16668537928396374</v>
      </c>
      <c r="J33" s="67">
        <f t="shared" si="4"/>
        <v>1.0624090393963925E-2</v>
      </c>
      <c r="K33" s="100">
        <f t="shared" si="6"/>
        <v>7.0827269293092833E-3</v>
      </c>
      <c r="O33" s="96">
        <f>Amnt_Deposited!B28</f>
        <v>2014</v>
      </c>
      <c r="P33" s="99">
        <f>Amnt_Deposited!H28</f>
        <v>0.23016821652000002</v>
      </c>
      <c r="Q33" s="284">
        <f>MCF!R32</f>
        <v>0.8</v>
      </c>
      <c r="R33" s="67">
        <f t="shared" si="5"/>
        <v>2.2096148785920006E-2</v>
      </c>
      <c r="S33" s="67">
        <f t="shared" si="7"/>
        <v>2.2096148785920006E-2</v>
      </c>
      <c r="T33" s="67">
        <f t="shared" si="8"/>
        <v>0</v>
      </c>
      <c r="U33" s="67">
        <f t="shared" si="9"/>
        <v>0.18266890880434383</v>
      </c>
      <c r="V33" s="67">
        <f t="shared" si="10"/>
        <v>1.1642838787905672E-2</v>
      </c>
      <c r="W33" s="100">
        <f t="shared" si="11"/>
        <v>7.7618925252704481E-3</v>
      </c>
    </row>
    <row r="34" spans="2:23">
      <c r="B34" s="96">
        <f>Amnt_Deposited!B29</f>
        <v>2015</v>
      </c>
      <c r="C34" s="99">
        <f>Amnt_Deposited!H29</f>
        <v>0.23336989380000001</v>
      </c>
      <c r="D34" s="418">
        <f>Dry_Matter_Content!H21</f>
        <v>0.73</v>
      </c>
      <c r="E34" s="284">
        <f>MCF!R33</f>
        <v>0.8</v>
      </c>
      <c r="F34" s="67">
        <f t="shared" si="0"/>
        <v>2.0443202696880002E-2</v>
      </c>
      <c r="G34" s="67">
        <f t="shared" si="1"/>
        <v>2.0443202696880002E-2</v>
      </c>
      <c r="H34" s="67">
        <f t="shared" si="2"/>
        <v>0</v>
      </c>
      <c r="I34" s="67">
        <f t="shared" si="3"/>
        <v>0.17585962020992676</v>
      </c>
      <c r="J34" s="67">
        <f t="shared" si="4"/>
        <v>1.1268961770916972E-2</v>
      </c>
      <c r="K34" s="100">
        <f t="shared" si="6"/>
        <v>7.5126411806113146E-3</v>
      </c>
      <c r="O34" s="96">
        <f>Amnt_Deposited!B29</f>
        <v>2015</v>
      </c>
      <c r="P34" s="99">
        <f>Amnt_Deposited!H29</f>
        <v>0.23336989380000001</v>
      </c>
      <c r="Q34" s="284">
        <f>MCF!R33</f>
        <v>0.8</v>
      </c>
      <c r="R34" s="67">
        <f t="shared" si="5"/>
        <v>2.2403509804800003E-2</v>
      </c>
      <c r="S34" s="67">
        <f t="shared" si="7"/>
        <v>2.2403509804800003E-2</v>
      </c>
      <c r="T34" s="67">
        <f t="shared" si="8"/>
        <v>0</v>
      </c>
      <c r="U34" s="67">
        <f t="shared" si="9"/>
        <v>0.19272287146293343</v>
      </c>
      <c r="V34" s="67">
        <f t="shared" si="10"/>
        <v>1.234954714621038E-2</v>
      </c>
      <c r="W34" s="100">
        <f t="shared" si="11"/>
        <v>8.2330314308069197E-3</v>
      </c>
    </row>
    <row r="35" spans="2:23">
      <c r="B35" s="96">
        <f>Amnt_Deposited!B30</f>
        <v>2016</v>
      </c>
      <c r="C35" s="99">
        <f>Amnt_Deposited!H30</f>
        <v>0.23604199308000004</v>
      </c>
      <c r="D35" s="418">
        <f>Dry_Matter_Content!H22</f>
        <v>0.73</v>
      </c>
      <c r="E35" s="284">
        <f>MCF!R34</f>
        <v>0.8</v>
      </c>
      <c r="F35" s="67">
        <f t="shared" si="0"/>
        <v>2.0677278593808007E-2</v>
      </c>
      <c r="G35" s="67">
        <f t="shared" si="1"/>
        <v>2.0677278593808007E-2</v>
      </c>
      <c r="H35" s="67">
        <f t="shared" si="2"/>
        <v>0</v>
      </c>
      <c r="I35" s="67">
        <f t="shared" si="3"/>
        <v>0.1846477016485509</v>
      </c>
      <c r="J35" s="67">
        <f t="shared" si="4"/>
        <v>1.1889197155183847E-2</v>
      </c>
      <c r="K35" s="100">
        <f t="shared" si="6"/>
        <v>7.926131436789231E-3</v>
      </c>
      <c r="O35" s="96">
        <f>Amnt_Deposited!B30</f>
        <v>2016</v>
      </c>
      <c r="P35" s="99">
        <f>Amnt_Deposited!H30</f>
        <v>0.23604199308000004</v>
      </c>
      <c r="Q35" s="284">
        <f>MCF!R34</f>
        <v>0.8</v>
      </c>
      <c r="R35" s="67">
        <f t="shared" si="5"/>
        <v>2.2660031335680005E-2</v>
      </c>
      <c r="S35" s="67">
        <f t="shared" si="7"/>
        <v>2.2660031335680005E-2</v>
      </c>
      <c r="T35" s="67">
        <f t="shared" si="8"/>
        <v>0</v>
      </c>
      <c r="U35" s="67">
        <f t="shared" si="9"/>
        <v>0.20235364564224759</v>
      </c>
      <c r="V35" s="67">
        <f t="shared" si="10"/>
        <v>1.302925715636586E-2</v>
      </c>
      <c r="W35" s="100">
        <f t="shared" si="11"/>
        <v>8.6861714375772395E-3</v>
      </c>
    </row>
    <row r="36" spans="2:23">
      <c r="B36" s="96">
        <f>Amnt_Deposited!B31</f>
        <v>2017</v>
      </c>
      <c r="C36" s="99">
        <f>Amnt_Deposited!H31</f>
        <v>0.23946592196039043</v>
      </c>
      <c r="D36" s="418">
        <f>Dry_Matter_Content!H23</f>
        <v>0.73</v>
      </c>
      <c r="E36" s="284">
        <f>MCF!R35</f>
        <v>0.8</v>
      </c>
      <c r="F36" s="67">
        <f t="shared" si="0"/>
        <v>2.0977214763730202E-2</v>
      </c>
      <c r="G36" s="67">
        <f t="shared" si="1"/>
        <v>2.0977214763730202E-2</v>
      </c>
      <c r="H36" s="67">
        <f t="shared" si="2"/>
        <v>0</v>
      </c>
      <c r="I36" s="67">
        <f t="shared" si="3"/>
        <v>0.19314159064067646</v>
      </c>
      <c r="J36" s="67">
        <f t="shared" si="4"/>
        <v>1.2483325771604664E-2</v>
      </c>
      <c r="K36" s="100">
        <f t="shared" si="6"/>
        <v>8.3222171810697753E-3</v>
      </c>
      <c r="O36" s="96">
        <f>Amnt_Deposited!B31</f>
        <v>2017</v>
      </c>
      <c r="P36" s="99">
        <f>Amnt_Deposited!H31</f>
        <v>0.23946592196039043</v>
      </c>
      <c r="Q36" s="284">
        <f>MCF!R35</f>
        <v>0.8</v>
      </c>
      <c r="R36" s="67">
        <f t="shared" si="5"/>
        <v>2.2988728508197484E-2</v>
      </c>
      <c r="S36" s="67">
        <f t="shared" si="7"/>
        <v>2.2988728508197484E-2</v>
      </c>
      <c r="T36" s="67">
        <f t="shared" si="8"/>
        <v>0</v>
      </c>
      <c r="U36" s="67">
        <f t="shared" si="9"/>
        <v>0.21166201714046734</v>
      </c>
      <c r="V36" s="67">
        <f t="shared" si="10"/>
        <v>1.3680357009977715E-2</v>
      </c>
      <c r="W36" s="100">
        <f t="shared" si="11"/>
        <v>9.1202380066518103E-3</v>
      </c>
    </row>
    <row r="37" spans="2:23">
      <c r="B37" s="96">
        <f>Amnt_Deposited!B32</f>
        <v>2018</v>
      </c>
      <c r="C37" s="99">
        <f>Amnt_Deposited!H32</f>
        <v>0.23873460510178379</v>
      </c>
      <c r="D37" s="418">
        <f>Dry_Matter_Content!H24</f>
        <v>0.73</v>
      </c>
      <c r="E37" s="284">
        <f>MCF!R36</f>
        <v>0.8</v>
      </c>
      <c r="F37" s="67">
        <f t="shared" si="0"/>
        <v>2.0913151406916259E-2</v>
      </c>
      <c r="G37" s="67">
        <f t="shared" si="1"/>
        <v>2.0913151406916259E-2</v>
      </c>
      <c r="H37" s="67">
        <f t="shared" si="2"/>
        <v>0</v>
      </c>
      <c r="I37" s="67">
        <f t="shared" si="3"/>
        <v>0.20099717688708754</v>
      </c>
      <c r="J37" s="67">
        <f t="shared" si="4"/>
        <v>1.3057565160505187E-2</v>
      </c>
      <c r="K37" s="100">
        <f t="shared" si="6"/>
        <v>8.7050434403367905E-3</v>
      </c>
      <c r="O37" s="96">
        <f>Amnt_Deposited!B32</f>
        <v>2018</v>
      </c>
      <c r="P37" s="99">
        <f>Amnt_Deposited!H32</f>
        <v>0.23873460510178379</v>
      </c>
      <c r="Q37" s="284">
        <f>MCF!R36</f>
        <v>0.8</v>
      </c>
      <c r="R37" s="67">
        <f t="shared" si="5"/>
        <v>2.2918522089771243E-2</v>
      </c>
      <c r="S37" s="67">
        <f t="shared" si="7"/>
        <v>2.2918522089771243E-2</v>
      </c>
      <c r="T37" s="67">
        <f t="shared" si="8"/>
        <v>0</v>
      </c>
      <c r="U37" s="67">
        <f t="shared" si="9"/>
        <v>0.22027087878036988</v>
      </c>
      <c r="V37" s="67">
        <f t="shared" si="10"/>
        <v>1.4309660449868698E-2</v>
      </c>
      <c r="W37" s="100">
        <f t="shared" si="11"/>
        <v>9.5397736332457975E-3</v>
      </c>
    </row>
    <row r="38" spans="2:23">
      <c r="B38" s="96">
        <f>Amnt_Deposited!B33</f>
        <v>2019</v>
      </c>
      <c r="C38" s="99">
        <f>Amnt_Deposited!H33</f>
        <v>0.23790245584881162</v>
      </c>
      <c r="D38" s="418">
        <f>Dry_Matter_Content!H25</f>
        <v>0.73</v>
      </c>
      <c r="E38" s="284">
        <f>MCF!R37</f>
        <v>0.8</v>
      </c>
      <c r="F38" s="67">
        <f t="shared" si="0"/>
        <v>2.0840255132355899E-2</v>
      </c>
      <c r="G38" s="67">
        <f t="shared" si="1"/>
        <v>2.0840255132355899E-2</v>
      </c>
      <c r="H38" s="67">
        <f t="shared" si="2"/>
        <v>0</v>
      </c>
      <c r="I38" s="67">
        <f t="shared" si="3"/>
        <v>0.20824878068041905</v>
      </c>
      <c r="J38" s="67">
        <f t="shared" si="4"/>
        <v>1.3588651339024411E-2</v>
      </c>
      <c r="K38" s="100">
        <f t="shared" si="6"/>
        <v>9.0591008926829402E-3</v>
      </c>
      <c r="O38" s="96">
        <f>Amnt_Deposited!B33</f>
        <v>2019</v>
      </c>
      <c r="P38" s="99">
        <f>Amnt_Deposited!H33</f>
        <v>0.23790245584881162</v>
      </c>
      <c r="Q38" s="284">
        <f>MCF!R37</f>
        <v>0.8</v>
      </c>
      <c r="R38" s="67">
        <f t="shared" si="5"/>
        <v>2.2838635761485915E-2</v>
      </c>
      <c r="S38" s="67">
        <f t="shared" si="7"/>
        <v>2.2838635761485915E-2</v>
      </c>
      <c r="T38" s="67">
        <f t="shared" si="8"/>
        <v>0</v>
      </c>
      <c r="U38" s="67">
        <f t="shared" si="9"/>
        <v>0.22821784184155508</v>
      </c>
      <c r="V38" s="67">
        <f t="shared" si="10"/>
        <v>1.4891672700300724E-2</v>
      </c>
      <c r="W38" s="100">
        <f t="shared" si="11"/>
        <v>9.9277818002004824E-3</v>
      </c>
    </row>
    <row r="39" spans="2:23">
      <c r="B39" s="96">
        <f>Amnt_Deposited!B34</f>
        <v>2020</v>
      </c>
      <c r="C39" s="99">
        <f>Amnt_Deposited!H34</f>
        <v>0.23697468807056704</v>
      </c>
      <c r="D39" s="418">
        <f>Dry_Matter_Content!H26</f>
        <v>0.73</v>
      </c>
      <c r="E39" s="284">
        <f>MCF!R38</f>
        <v>0.8</v>
      </c>
      <c r="F39" s="67">
        <f t="shared" si="0"/>
        <v>2.0758982674981673E-2</v>
      </c>
      <c r="G39" s="67">
        <f t="shared" si="1"/>
        <v>2.0758982674981673E-2</v>
      </c>
      <c r="H39" s="67">
        <f t="shared" si="2"/>
        <v>0</v>
      </c>
      <c r="I39" s="67">
        <f t="shared" si="3"/>
        <v>0.21492885878435361</v>
      </c>
      <c r="J39" s="67">
        <f t="shared" si="4"/>
        <v>1.407890457104709E-2</v>
      </c>
      <c r="K39" s="100">
        <f t="shared" si="6"/>
        <v>9.3859363806980591E-3</v>
      </c>
      <c r="O39" s="96">
        <f>Amnt_Deposited!B34</f>
        <v>2020</v>
      </c>
      <c r="P39" s="99">
        <f>Amnt_Deposited!H34</f>
        <v>0.23697468807056704</v>
      </c>
      <c r="Q39" s="284">
        <f>MCF!R38</f>
        <v>0.8</v>
      </c>
      <c r="R39" s="67">
        <f t="shared" si="5"/>
        <v>2.2749570054774435E-2</v>
      </c>
      <c r="S39" s="67">
        <f t="shared" si="7"/>
        <v>2.2749570054774435E-2</v>
      </c>
      <c r="T39" s="67">
        <f t="shared" si="8"/>
        <v>0</v>
      </c>
      <c r="U39" s="67">
        <f t="shared" si="9"/>
        <v>0.23553847538011352</v>
      </c>
      <c r="V39" s="67">
        <f t="shared" si="10"/>
        <v>1.5428936516215986E-2</v>
      </c>
      <c r="W39" s="100">
        <f t="shared" si="11"/>
        <v>1.0285957677477323E-2</v>
      </c>
    </row>
    <row r="40" spans="2:23">
      <c r="B40" s="96">
        <f>Amnt_Deposited!B35</f>
        <v>2021</v>
      </c>
      <c r="C40" s="99">
        <f>Amnt_Deposited!H35</f>
        <v>0.23595632457147592</v>
      </c>
      <c r="D40" s="418">
        <f>Dry_Matter_Content!H27</f>
        <v>0.73</v>
      </c>
      <c r="E40" s="284">
        <f>MCF!R39</f>
        <v>0.8</v>
      </c>
      <c r="F40" s="67">
        <f t="shared" si="0"/>
        <v>2.0669774032461292E-2</v>
      </c>
      <c r="G40" s="67">
        <f t="shared" si="1"/>
        <v>2.0669774032461292E-2</v>
      </c>
      <c r="H40" s="67">
        <f t="shared" si="2"/>
        <v>0</v>
      </c>
      <c r="I40" s="67">
        <f t="shared" si="3"/>
        <v>0.22106811368243087</v>
      </c>
      <c r="J40" s="67">
        <f t="shared" si="4"/>
        <v>1.4530519134384022E-2</v>
      </c>
      <c r="K40" s="100">
        <f t="shared" si="6"/>
        <v>9.6870127562560145E-3</v>
      </c>
      <c r="O40" s="96">
        <f>Amnt_Deposited!B35</f>
        <v>2021</v>
      </c>
      <c r="P40" s="99">
        <f>Amnt_Deposited!H35</f>
        <v>0.23595632457147592</v>
      </c>
      <c r="Q40" s="284">
        <f>MCF!R39</f>
        <v>0.8</v>
      </c>
      <c r="R40" s="67">
        <f t="shared" si="5"/>
        <v>2.2651807158861687E-2</v>
      </c>
      <c r="S40" s="67">
        <f t="shared" si="7"/>
        <v>2.2651807158861687E-2</v>
      </c>
      <c r="T40" s="67">
        <f t="shared" si="8"/>
        <v>0</v>
      </c>
      <c r="U40" s="67">
        <f t="shared" si="9"/>
        <v>0.24226642595334891</v>
      </c>
      <c r="V40" s="67">
        <f t="shared" si="10"/>
        <v>1.5923856585626322E-2</v>
      </c>
      <c r="W40" s="100">
        <f t="shared" si="11"/>
        <v>1.0615904390417548E-2</v>
      </c>
    </row>
    <row r="41" spans="2:23">
      <c r="B41" s="96">
        <f>Amnt_Deposited!B36</f>
        <v>2022</v>
      </c>
      <c r="C41" s="99">
        <f>Amnt_Deposited!H36</f>
        <v>0.23485220323263081</v>
      </c>
      <c r="D41" s="418">
        <f>Dry_Matter_Content!H28</f>
        <v>0.73</v>
      </c>
      <c r="E41" s="284">
        <f>MCF!R40</f>
        <v>0.8</v>
      </c>
      <c r="F41" s="67">
        <f t="shared" si="0"/>
        <v>2.0573053003178458E-2</v>
      </c>
      <c r="G41" s="67">
        <f t="shared" si="1"/>
        <v>2.0573053003178458E-2</v>
      </c>
      <c r="H41" s="67">
        <f t="shared" si="2"/>
        <v>0</v>
      </c>
      <c r="I41" s="67">
        <f t="shared" si="3"/>
        <v>0.22669559597894262</v>
      </c>
      <c r="J41" s="67">
        <f t="shared" si="4"/>
        <v>1.4945570706666722E-2</v>
      </c>
      <c r="K41" s="100">
        <f t="shared" si="6"/>
        <v>9.9637138044444806E-3</v>
      </c>
      <c r="O41" s="96">
        <f>Amnt_Deposited!B36</f>
        <v>2022</v>
      </c>
      <c r="P41" s="99">
        <f>Amnt_Deposited!H36</f>
        <v>0.23485220323263081</v>
      </c>
      <c r="Q41" s="284">
        <f>MCF!R40</f>
        <v>0.8</v>
      </c>
      <c r="R41" s="67">
        <f t="shared" si="5"/>
        <v>2.254581151033256E-2</v>
      </c>
      <c r="S41" s="67">
        <f t="shared" si="7"/>
        <v>2.254581151033256E-2</v>
      </c>
      <c r="T41" s="67">
        <f t="shared" si="8"/>
        <v>0</v>
      </c>
      <c r="U41" s="67">
        <f t="shared" si="9"/>
        <v>0.24843352983993711</v>
      </c>
      <c r="V41" s="67">
        <f t="shared" si="10"/>
        <v>1.6378707623744354E-2</v>
      </c>
      <c r="W41" s="100">
        <f t="shared" si="11"/>
        <v>1.0919138415829569E-2</v>
      </c>
    </row>
    <row r="42" spans="2:23">
      <c r="B42" s="96">
        <f>Amnt_Deposited!B37</f>
        <v>2023</v>
      </c>
      <c r="C42" s="99">
        <f>Amnt_Deposited!H37</f>
        <v>0.23366698296902444</v>
      </c>
      <c r="D42" s="418">
        <f>Dry_Matter_Content!H29</f>
        <v>0.73</v>
      </c>
      <c r="E42" s="284">
        <f>MCF!R41</f>
        <v>0.8</v>
      </c>
      <c r="F42" s="67">
        <f t="shared" si="0"/>
        <v>2.046922770808654E-2</v>
      </c>
      <c r="G42" s="67">
        <f t="shared" si="1"/>
        <v>2.046922770808654E-2</v>
      </c>
      <c r="H42" s="67">
        <f t="shared" si="2"/>
        <v>0</v>
      </c>
      <c r="I42" s="67">
        <f t="shared" si="3"/>
        <v>0.23183880039874838</v>
      </c>
      <c r="J42" s="67">
        <f t="shared" si="4"/>
        <v>1.5326023288280784E-2</v>
      </c>
      <c r="K42" s="100">
        <f t="shared" si="6"/>
        <v>1.0217348858853855E-2</v>
      </c>
      <c r="O42" s="96">
        <f>Amnt_Deposited!B37</f>
        <v>2023</v>
      </c>
      <c r="P42" s="99">
        <f>Amnt_Deposited!H37</f>
        <v>0.23366698296902444</v>
      </c>
      <c r="Q42" s="284">
        <f>MCF!R41</f>
        <v>0.8</v>
      </c>
      <c r="R42" s="67">
        <f t="shared" si="5"/>
        <v>2.2432030365026348E-2</v>
      </c>
      <c r="S42" s="67">
        <f t="shared" si="7"/>
        <v>2.2432030365026348E-2</v>
      </c>
      <c r="T42" s="67">
        <f t="shared" si="8"/>
        <v>0</v>
      </c>
      <c r="U42" s="67">
        <f t="shared" si="9"/>
        <v>0.2540699182452037</v>
      </c>
      <c r="V42" s="67">
        <f t="shared" si="10"/>
        <v>1.6795641959759761E-2</v>
      </c>
      <c r="W42" s="100">
        <f t="shared" si="11"/>
        <v>1.119709463983984E-2</v>
      </c>
    </row>
    <row r="43" spans="2:23">
      <c r="B43" s="96">
        <f>Amnt_Deposited!B38</f>
        <v>2024</v>
      </c>
      <c r="C43" s="99">
        <f>Amnt_Deposited!H38</f>
        <v>0.23240514950796676</v>
      </c>
      <c r="D43" s="418">
        <f>Dry_Matter_Content!H30</f>
        <v>0.73</v>
      </c>
      <c r="E43" s="284">
        <f>MCF!R42</f>
        <v>0.8</v>
      </c>
      <c r="F43" s="67">
        <f t="shared" si="0"/>
        <v>2.0358691096897891E-2</v>
      </c>
      <c r="G43" s="67">
        <f t="shared" si="1"/>
        <v>2.0358691096897891E-2</v>
      </c>
      <c r="H43" s="67">
        <f t="shared" si="2"/>
        <v>0</v>
      </c>
      <c r="I43" s="67">
        <f t="shared" si="3"/>
        <v>0.23652375580309959</v>
      </c>
      <c r="J43" s="67">
        <f t="shared" si="4"/>
        <v>1.5673735692546695E-2</v>
      </c>
      <c r="K43" s="100">
        <f t="shared" si="6"/>
        <v>1.0449157128364462E-2</v>
      </c>
      <c r="O43" s="96">
        <f>Amnt_Deposited!B38</f>
        <v>2024</v>
      </c>
      <c r="P43" s="99">
        <f>Amnt_Deposited!H38</f>
        <v>0.23240514950796676</v>
      </c>
      <c r="Q43" s="284">
        <f>MCF!R42</f>
        <v>0.8</v>
      </c>
      <c r="R43" s="67">
        <f t="shared" si="5"/>
        <v>2.2310894352764808E-2</v>
      </c>
      <c r="S43" s="67">
        <f t="shared" si="7"/>
        <v>2.2310894352764808E-2</v>
      </c>
      <c r="T43" s="67">
        <f t="shared" si="8"/>
        <v>0</v>
      </c>
      <c r="U43" s="67">
        <f t="shared" si="9"/>
        <v>0.25920411594860227</v>
      </c>
      <c r="V43" s="67">
        <f t="shared" si="10"/>
        <v>1.717669664936624E-2</v>
      </c>
      <c r="W43" s="100">
        <f t="shared" si="11"/>
        <v>1.1451131099577492E-2</v>
      </c>
    </row>
    <row r="44" spans="2:23">
      <c r="B44" s="96">
        <f>Amnt_Deposited!B39</f>
        <v>2025</v>
      </c>
      <c r="C44" s="99">
        <f>Amnt_Deposited!H39</f>
        <v>0.23107102099382235</v>
      </c>
      <c r="D44" s="418">
        <f>Dry_Matter_Content!H31</f>
        <v>0.73</v>
      </c>
      <c r="E44" s="284">
        <f>MCF!R43</f>
        <v>0.8</v>
      </c>
      <c r="F44" s="67">
        <f t="shared" si="0"/>
        <v>2.0241821439058838E-2</v>
      </c>
      <c r="G44" s="67">
        <f t="shared" si="1"/>
        <v>2.0241821439058838E-2</v>
      </c>
      <c r="H44" s="67">
        <f t="shared" si="2"/>
        <v>0</v>
      </c>
      <c r="I44" s="67">
        <f t="shared" si="3"/>
        <v>0.24077510961081255</v>
      </c>
      <c r="J44" s="67">
        <f t="shared" si="4"/>
        <v>1.5990467631345862E-2</v>
      </c>
      <c r="K44" s="100">
        <f t="shared" si="6"/>
        <v>1.0660311754230574E-2</v>
      </c>
      <c r="O44" s="96">
        <f>Amnt_Deposited!B39</f>
        <v>2025</v>
      </c>
      <c r="P44" s="99">
        <f>Amnt_Deposited!H39</f>
        <v>0.23107102099382235</v>
      </c>
      <c r="Q44" s="284">
        <f>MCF!R43</f>
        <v>0.8</v>
      </c>
      <c r="R44" s="67">
        <f t="shared" si="5"/>
        <v>2.2182818015406947E-2</v>
      </c>
      <c r="S44" s="67">
        <f t="shared" si="7"/>
        <v>2.2182818015406947E-2</v>
      </c>
      <c r="T44" s="67">
        <f t="shared" si="8"/>
        <v>0</v>
      </c>
      <c r="U44" s="67">
        <f t="shared" si="9"/>
        <v>0.26386313382006854</v>
      </c>
      <c r="V44" s="67">
        <f t="shared" si="10"/>
        <v>1.7523800143940671E-2</v>
      </c>
      <c r="W44" s="100">
        <f t="shared" si="11"/>
        <v>1.1682533429293779E-2</v>
      </c>
    </row>
    <row r="45" spans="2:23">
      <c r="B45" s="96">
        <f>Amnt_Deposited!B40</f>
        <v>2026</v>
      </c>
      <c r="C45" s="99">
        <f>Amnt_Deposited!H40</f>
        <v>0.22966875342406395</v>
      </c>
      <c r="D45" s="418">
        <f>Dry_Matter_Content!H32</f>
        <v>0.73</v>
      </c>
      <c r="E45" s="284">
        <f>MCF!R44</f>
        <v>0.8</v>
      </c>
      <c r="F45" s="67">
        <f t="shared" si="0"/>
        <v>2.0118982799948004E-2</v>
      </c>
      <c r="G45" s="67">
        <f t="shared" si="1"/>
        <v>2.0118982799948004E-2</v>
      </c>
      <c r="H45" s="67">
        <f t="shared" si="2"/>
        <v>0</v>
      </c>
      <c r="I45" s="67">
        <f t="shared" si="3"/>
        <v>0.24461620698824693</v>
      </c>
      <c r="J45" s="67">
        <f t="shared" si="4"/>
        <v>1.6277885422513638E-2</v>
      </c>
      <c r="K45" s="100">
        <f t="shared" si="6"/>
        <v>1.0851923615009092E-2</v>
      </c>
      <c r="O45" s="96">
        <f>Amnt_Deposited!B40</f>
        <v>2026</v>
      </c>
      <c r="P45" s="99">
        <f>Amnt_Deposited!H40</f>
        <v>0.22966875342406395</v>
      </c>
      <c r="Q45" s="284">
        <f>MCF!R44</f>
        <v>0.8</v>
      </c>
      <c r="R45" s="67">
        <f t="shared" si="5"/>
        <v>2.2048200328710139E-2</v>
      </c>
      <c r="S45" s="67">
        <f t="shared" si="7"/>
        <v>2.2048200328710139E-2</v>
      </c>
      <c r="T45" s="67">
        <f t="shared" si="8"/>
        <v>0</v>
      </c>
      <c r="U45" s="67">
        <f t="shared" si="9"/>
        <v>0.26807255560355825</v>
      </c>
      <c r="V45" s="67">
        <f t="shared" si="10"/>
        <v>1.7838778545220424E-2</v>
      </c>
      <c r="W45" s="100">
        <f t="shared" si="11"/>
        <v>1.1892519030146948E-2</v>
      </c>
    </row>
    <row r="46" spans="2:23">
      <c r="B46" s="96">
        <f>Amnt_Deposited!B41</f>
        <v>2027</v>
      </c>
      <c r="C46" s="99">
        <f>Amnt_Deposited!H41</f>
        <v>0.2282023459214943</v>
      </c>
      <c r="D46" s="418">
        <f>Dry_Matter_Content!H33</f>
        <v>0.73</v>
      </c>
      <c r="E46" s="284">
        <f>MCF!R45</f>
        <v>0.8</v>
      </c>
      <c r="F46" s="67">
        <f t="shared" si="0"/>
        <v>1.99905255027229E-2</v>
      </c>
      <c r="G46" s="67">
        <f t="shared" si="1"/>
        <v>1.99905255027229E-2</v>
      </c>
      <c r="H46" s="67">
        <f t="shared" si="2"/>
        <v>0</v>
      </c>
      <c r="I46" s="67">
        <f t="shared" si="3"/>
        <v>0.24806916514739857</v>
      </c>
      <c r="J46" s="67">
        <f t="shared" si="4"/>
        <v>1.6537567343571258E-2</v>
      </c>
      <c r="K46" s="100">
        <f t="shared" si="6"/>
        <v>1.1025044895714171E-2</v>
      </c>
      <c r="O46" s="96">
        <f>Amnt_Deposited!B41</f>
        <v>2027</v>
      </c>
      <c r="P46" s="99">
        <f>Amnt_Deposited!H41</f>
        <v>0.2282023459214943</v>
      </c>
      <c r="Q46" s="284">
        <f>MCF!R45</f>
        <v>0.8</v>
      </c>
      <c r="R46" s="67">
        <f t="shared" si="5"/>
        <v>2.1907425208463453E-2</v>
      </c>
      <c r="S46" s="67">
        <f t="shared" si="7"/>
        <v>2.1907425208463453E-2</v>
      </c>
      <c r="T46" s="67">
        <f t="shared" si="8"/>
        <v>0</v>
      </c>
      <c r="U46" s="67">
        <f t="shared" si="9"/>
        <v>0.27185661933961486</v>
      </c>
      <c r="V46" s="67">
        <f t="shared" si="10"/>
        <v>1.8123361472406854E-2</v>
      </c>
      <c r="W46" s="100">
        <f t="shared" si="11"/>
        <v>1.2082240981604569E-2</v>
      </c>
    </row>
    <row r="47" spans="2:23">
      <c r="B47" s="96">
        <f>Amnt_Deposited!B42</f>
        <v>2028</v>
      </c>
      <c r="C47" s="99">
        <f>Amnt_Deposited!H42</f>
        <v>0.22667564584735742</v>
      </c>
      <c r="D47" s="418">
        <f>Dry_Matter_Content!H34</f>
        <v>0.73</v>
      </c>
      <c r="E47" s="284">
        <f>MCF!R46</f>
        <v>0.8</v>
      </c>
      <c r="F47" s="67">
        <f t="shared" si="0"/>
        <v>1.9856786576228511E-2</v>
      </c>
      <c r="G47" s="67">
        <f t="shared" si="1"/>
        <v>1.9856786576228511E-2</v>
      </c>
      <c r="H47" s="67">
        <f t="shared" si="2"/>
        <v>0</v>
      </c>
      <c r="I47" s="67">
        <f t="shared" si="3"/>
        <v>0.25115494306889102</v>
      </c>
      <c r="J47" s="67">
        <f t="shared" si="4"/>
        <v>1.6771008654736089E-2</v>
      </c>
      <c r="K47" s="100">
        <f t="shared" si="6"/>
        <v>1.1180672436490725E-2</v>
      </c>
      <c r="O47" s="96">
        <f>Amnt_Deposited!B42</f>
        <v>2028</v>
      </c>
      <c r="P47" s="99">
        <f>Amnt_Deposited!H42</f>
        <v>0.22667564584735742</v>
      </c>
      <c r="Q47" s="284">
        <f>MCF!R46</f>
        <v>0.8</v>
      </c>
      <c r="R47" s="67">
        <f t="shared" si="5"/>
        <v>2.1760862001346314E-2</v>
      </c>
      <c r="S47" s="67">
        <f t="shared" si="7"/>
        <v>2.1760862001346314E-2</v>
      </c>
      <c r="T47" s="67">
        <f t="shared" si="8"/>
        <v>0</v>
      </c>
      <c r="U47" s="67">
        <f t="shared" si="9"/>
        <v>0.27523829377412712</v>
      </c>
      <c r="V47" s="67">
        <f t="shared" si="10"/>
        <v>1.8379187566834067E-2</v>
      </c>
      <c r="W47" s="100">
        <f t="shared" si="11"/>
        <v>1.2252791711222712E-2</v>
      </c>
    </row>
    <row r="48" spans="2:23">
      <c r="B48" s="96">
        <f>Amnt_Deposited!B43</f>
        <v>2029</v>
      </c>
      <c r="C48" s="99">
        <f>Amnt_Deposited!H43</f>
        <v>0.2250923537599257</v>
      </c>
      <c r="D48" s="418">
        <f>Dry_Matter_Content!H35</f>
        <v>0.73</v>
      </c>
      <c r="E48" s="284">
        <f>MCF!R47</f>
        <v>0.8</v>
      </c>
      <c r="F48" s="67">
        <f t="shared" si="0"/>
        <v>1.9718090189369489E-2</v>
      </c>
      <c r="G48" s="67">
        <f t="shared" si="1"/>
        <v>1.9718090189369489E-2</v>
      </c>
      <c r="H48" s="67">
        <f t="shared" si="2"/>
        <v>0</v>
      </c>
      <c r="I48" s="67">
        <f t="shared" si="3"/>
        <v>0.25389340694563378</v>
      </c>
      <c r="J48" s="67">
        <f t="shared" si="4"/>
        <v>1.6979626312626755E-2</v>
      </c>
      <c r="K48" s="100">
        <f t="shared" si="6"/>
        <v>1.1319750875084503E-2</v>
      </c>
      <c r="O48" s="96">
        <f>Amnt_Deposited!B43</f>
        <v>2029</v>
      </c>
      <c r="P48" s="99">
        <f>Amnt_Deposited!H43</f>
        <v>0.2250923537599257</v>
      </c>
      <c r="Q48" s="284">
        <f>MCF!R47</f>
        <v>0.8</v>
      </c>
      <c r="R48" s="67">
        <f t="shared" si="5"/>
        <v>2.1608865960952867E-2</v>
      </c>
      <c r="S48" s="67">
        <f t="shared" si="7"/>
        <v>2.1608865960952867E-2</v>
      </c>
      <c r="T48" s="67">
        <f t="shared" si="8"/>
        <v>0</v>
      </c>
      <c r="U48" s="67">
        <f t="shared" si="9"/>
        <v>0.2782393500774068</v>
      </c>
      <c r="V48" s="67">
        <f t="shared" si="10"/>
        <v>1.8607809657673155E-2</v>
      </c>
      <c r="W48" s="100">
        <f t="shared" si="11"/>
        <v>1.2405206438448769E-2</v>
      </c>
    </row>
    <row r="49" spans="2:23">
      <c r="B49" s="96">
        <f>Amnt_Deposited!B44</f>
        <v>2030</v>
      </c>
      <c r="C49" s="99">
        <f>Amnt_Deposited!H44</f>
        <v>0.22346560800000001</v>
      </c>
      <c r="D49" s="418">
        <f>Dry_Matter_Content!H36</f>
        <v>0.73</v>
      </c>
      <c r="E49" s="284">
        <f>MCF!R48</f>
        <v>0.8</v>
      </c>
      <c r="F49" s="67">
        <f t="shared" si="0"/>
        <v>1.9575587260800002E-2</v>
      </c>
      <c r="G49" s="67">
        <f t="shared" si="1"/>
        <v>1.9575587260800002E-2</v>
      </c>
      <c r="H49" s="67">
        <f t="shared" si="2"/>
        <v>0</v>
      </c>
      <c r="I49" s="67">
        <f t="shared" si="3"/>
        <v>0.25630423081177489</v>
      </c>
      <c r="J49" s="67">
        <f t="shared" si="4"/>
        <v>1.7164763394658882E-2</v>
      </c>
      <c r="K49" s="100">
        <f t="shared" si="6"/>
        <v>1.1443175596439254E-2</v>
      </c>
      <c r="O49" s="96">
        <f>Amnt_Deposited!B44</f>
        <v>2030</v>
      </c>
      <c r="P49" s="99">
        <f>Amnt_Deposited!H44</f>
        <v>0.22346560800000001</v>
      </c>
      <c r="Q49" s="284">
        <f>MCF!R48</f>
        <v>0.8</v>
      </c>
      <c r="R49" s="67">
        <f t="shared" si="5"/>
        <v>2.1452698368000001E-2</v>
      </c>
      <c r="S49" s="67">
        <f t="shared" si="7"/>
        <v>2.1452698368000001E-2</v>
      </c>
      <c r="T49" s="67">
        <f t="shared" si="8"/>
        <v>0</v>
      </c>
      <c r="U49" s="67">
        <f t="shared" si="9"/>
        <v>0.28088134883482174</v>
      </c>
      <c r="V49" s="67">
        <f t="shared" si="10"/>
        <v>1.8810699610585069E-2</v>
      </c>
      <c r="W49" s="100">
        <f t="shared" si="11"/>
        <v>1.2540466407056711E-2</v>
      </c>
    </row>
    <row r="50" spans="2:23">
      <c r="B50" s="96">
        <f>Amnt_Deposited!B45</f>
        <v>2031</v>
      </c>
      <c r="C50" s="99">
        <f>Amnt_Deposited!H45</f>
        <v>0</v>
      </c>
      <c r="D50" s="418">
        <f>Dry_Matter_Content!H37</f>
        <v>0.73</v>
      </c>
      <c r="E50" s="284">
        <f>MCF!R49</f>
        <v>0.8</v>
      </c>
      <c r="F50" s="67">
        <f t="shared" si="0"/>
        <v>0</v>
      </c>
      <c r="G50" s="67">
        <f t="shared" si="1"/>
        <v>0</v>
      </c>
      <c r="H50" s="67">
        <f t="shared" si="2"/>
        <v>0</v>
      </c>
      <c r="I50" s="67">
        <f t="shared" si="3"/>
        <v>0.23897648082464665</v>
      </c>
      <c r="J50" s="67">
        <f t="shared" si="4"/>
        <v>1.7327749987128254E-2</v>
      </c>
      <c r="K50" s="100">
        <f t="shared" si="6"/>
        <v>1.1551833324752169E-2</v>
      </c>
      <c r="O50" s="96">
        <f>Amnt_Deposited!B45</f>
        <v>2031</v>
      </c>
      <c r="P50" s="99">
        <f>Amnt_Deposited!H45</f>
        <v>0</v>
      </c>
      <c r="Q50" s="284">
        <f>MCF!R49</f>
        <v>0.8</v>
      </c>
      <c r="R50" s="67">
        <f t="shared" si="5"/>
        <v>0</v>
      </c>
      <c r="S50" s="67">
        <f t="shared" si="7"/>
        <v>0</v>
      </c>
      <c r="T50" s="67">
        <f t="shared" si="8"/>
        <v>0</v>
      </c>
      <c r="U50" s="67">
        <f t="shared" si="9"/>
        <v>0.26189203378043463</v>
      </c>
      <c r="V50" s="67">
        <f t="shared" si="10"/>
        <v>1.8989315054387126E-2</v>
      </c>
      <c r="W50" s="100">
        <f t="shared" si="11"/>
        <v>1.2659543369591417E-2</v>
      </c>
    </row>
    <row r="51" spans="2:23">
      <c r="B51" s="96">
        <f>Amnt_Deposited!B46</f>
        <v>2032</v>
      </c>
      <c r="C51" s="99">
        <f>Amnt_Deposited!H46</f>
        <v>0</v>
      </c>
      <c r="D51" s="418">
        <f>Dry_Matter_Content!H38</f>
        <v>0.73</v>
      </c>
      <c r="E51" s="284">
        <f>MCF!R50</f>
        <v>0.8</v>
      </c>
      <c r="F51" s="67">
        <f t="shared" ref="F51:F82" si="12">C51*D51*$K$6*DOCF*E51</f>
        <v>0</v>
      </c>
      <c r="G51" s="67">
        <f t="shared" si="1"/>
        <v>0</v>
      </c>
      <c r="H51" s="67">
        <f t="shared" si="2"/>
        <v>0</v>
      </c>
      <c r="I51" s="67">
        <f t="shared" si="3"/>
        <v>0.22282019382377288</v>
      </c>
      <c r="J51" s="67">
        <f t="shared" si="4"/>
        <v>1.6156287000873761E-2</v>
      </c>
      <c r="K51" s="100">
        <f t="shared" si="6"/>
        <v>1.0770858000582507E-2</v>
      </c>
      <c r="O51" s="96">
        <f>Amnt_Deposited!B46</f>
        <v>2032</v>
      </c>
      <c r="P51" s="99">
        <f>Amnt_Deposited!H46</f>
        <v>0</v>
      </c>
      <c r="Q51" s="284">
        <f>MCF!R50</f>
        <v>0.8</v>
      </c>
      <c r="R51" s="67">
        <f t="shared" ref="R51:R82" si="13">P51*$W$6*DOCF*Q51</f>
        <v>0</v>
      </c>
      <c r="S51" s="67">
        <f t="shared" si="7"/>
        <v>0</v>
      </c>
      <c r="T51" s="67">
        <f t="shared" si="8"/>
        <v>0</v>
      </c>
      <c r="U51" s="67">
        <f t="shared" si="9"/>
        <v>0.24418651377947709</v>
      </c>
      <c r="V51" s="67">
        <f t="shared" si="10"/>
        <v>1.7705520000957542E-2</v>
      </c>
      <c r="W51" s="100">
        <f t="shared" si="11"/>
        <v>1.1803680000638361E-2</v>
      </c>
    </row>
    <row r="52" spans="2:23">
      <c r="B52" s="96">
        <f>Amnt_Deposited!B47</f>
        <v>2033</v>
      </c>
      <c r="C52" s="99">
        <f>Amnt_Deposited!H47</f>
        <v>0</v>
      </c>
      <c r="D52" s="418">
        <f>Dry_Matter_Content!H39</f>
        <v>0.73</v>
      </c>
      <c r="E52" s="284">
        <f>MCF!R51</f>
        <v>0.8</v>
      </c>
      <c r="F52" s="67">
        <f t="shared" si="12"/>
        <v>0</v>
      </c>
      <c r="G52" s="67">
        <f t="shared" si="1"/>
        <v>0</v>
      </c>
      <c r="H52" s="67">
        <f t="shared" si="2"/>
        <v>0</v>
      </c>
      <c r="I52" s="67">
        <f t="shared" si="3"/>
        <v>0.20775617167153138</v>
      </c>
      <c r="J52" s="67">
        <f t="shared" si="4"/>
        <v>1.5064022152241502E-2</v>
      </c>
      <c r="K52" s="100">
        <f t="shared" si="6"/>
        <v>1.0042681434827668E-2</v>
      </c>
      <c r="O52" s="96">
        <f>Amnt_Deposited!B47</f>
        <v>2033</v>
      </c>
      <c r="P52" s="99">
        <f>Amnt_Deposited!H47</f>
        <v>0</v>
      </c>
      <c r="Q52" s="284">
        <f>MCF!R51</f>
        <v>0.8</v>
      </c>
      <c r="R52" s="67">
        <f t="shared" si="13"/>
        <v>0</v>
      </c>
      <c r="S52" s="67">
        <f t="shared" si="7"/>
        <v>0</v>
      </c>
      <c r="T52" s="67">
        <f t="shared" si="8"/>
        <v>0</v>
      </c>
      <c r="U52" s="67">
        <f t="shared" si="9"/>
        <v>0.2276779963523631</v>
      </c>
      <c r="V52" s="67">
        <f t="shared" si="10"/>
        <v>1.6508517427113973E-2</v>
      </c>
      <c r="W52" s="100">
        <f t="shared" si="11"/>
        <v>1.1005678284742648E-2</v>
      </c>
    </row>
    <row r="53" spans="2:23">
      <c r="B53" s="96">
        <f>Amnt_Deposited!B48</f>
        <v>2034</v>
      </c>
      <c r="C53" s="99">
        <f>Amnt_Deposited!H48</f>
        <v>0</v>
      </c>
      <c r="D53" s="418">
        <f>Dry_Matter_Content!H40</f>
        <v>0.73</v>
      </c>
      <c r="E53" s="284">
        <f>MCF!R52</f>
        <v>0.8</v>
      </c>
      <c r="F53" s="67">
        <f t="shared" si="12"/>
        <v>0</v>
      </c>
      <c r="G53" s="67">
        <f t="shared" si="1"/>
        <v>0</v>
      </c>
      <c r="H53" s="67">
        <f t="shared" si="2"/>
        <v>0</v>
      </c>
      <c r="I53" s="67">
        <f t="shared" si="3"/>
        <v>0.1937105705138551</v>
      </c>
      <c r="J53" s="67">
        <f t="shared" si="4"/>
        <v>1.4045601157676278E-2</v>
      </c>
      <c r="K53" s="100">
        <f t="shared" si="6"/>
        <v>9.3637341051175174E-3</v>
      </c>
      <c r="O53" s="96">
        <f>Amnt_Deposited!B48</f>
        <v>2034</v>
      </c>
      <c r="P53" s="99">
        <f>Amnt_Deposited!H48</f>
        <v>0</v>
      </c>
      <c r="Q53" s="284">
        <f>MCF!R52</f>
        <v>0.8</v>
      </c>
      <c r="R53" s="67">
        <f t="shared" si="13"/>
        <v>0</v>
      </c>
      <c r="S53" s="67">
        <f t="shared" si="7"/>
        <v>0</v>
      </c>
      <c r="T53" s="67">
        <f t="shared" si="8"/>
        <v>0</v>
      </c>
      <c r="U53" s="67">
        <f t="shared" si="9"/>
        <v>0.2122855567275124</v>
      </c>
      <c r="V53" s="67">
        <f t="shared" si="10"/>
        <v>1.5392439624850712E-2</v>
      </c>
      <c r="W53" s="100">
        <f t="shared" si="11"/>
        <v>1.0261626416567141E-2</v>
      </c>
    </row>
    <row r="54" spans="2:23">
      <c r="B54" s="96">
        <f>Amnt_Deposited!B49</f>
        <v>2035</v>
      </c>
      <c r="C54" s="99">
        <f>Amnt_Deposited!H49</f>
        <v>0</v>
      </c>
      <c r="D54" s="418">
        <f>Dry_Matter_Content!H41</f>
        <v>0.73</v>
      </c>
      <c r="E54" s="284">
        <f>MCF!R53</f>
        <v>0.8</v>
      </c>
      <c r="F54" s="67">
        <f t="shared" si="12"/>
        <v>0</v>
      </c>
      <c r="G54" s="67">
        <f t="shared" si="1"/>
        <v>0</v>
      </c>
      <c r="H54" s="67">
        <f t="shared" si="2"/>
        <v>0</v>
      </c>
      <c r="I54" s="67">
        <f t="shared" si="3"/>
        <v>0.18061453879757391</v>
      </c>
      <c r="J54" s="67">
        <f t="shared" si="4"/>
        <v>1.3096031716281193E-2</v>
      </c>
      <c r="K54" s="100">
        <f t="shared" si="6"/>
        <v>8.7306878108541278E-3</v>
      </c>
      <c r="O54" s="96">
        <f>Amnt_Deposited!B49</f>
        <v>2035</v>
      </c>
      <c r="P54" s="99">
        <f>Amnt_Deposited!H49</f>
        <v>0</v>
      </c>
      <c r="Q54" s="284">
        <f>MCF!R53</f>
        <v>0.8</v>
      </c>
      <c r="R54" s="67">
        <f t="shared" si="13"/>
        <v>0</v>
      </c>
      <c r="S54" s="67">
        <f t="shared" si="7"/>
        <v>0</v>
      </c>
      <c r="T54" s="67">
        <f t="shared" si="8"/>
        <v>0</v>
      </c>
      <c r="U54" s="67">
        <f t="shared" si="9"/>
        <v>0.19793374114802617</v>
      </c>
      <c r="V54" s="67">
        <f t="shared" si="10"/>
        <v>1.4351815579486237E-2</v>
      </c>
      <c r="W54" s="100">
        <f t="shared" si="11"/>
        <v>9.5678770529908242E-3</v>
      </c>
    </row>
    <row r="55" spans="2:23">
      <c r="B55" s="96">
        <f>Amnt_Deposited!B50</f>
        <v>2036</v>
      </c>
      <c r="C55" s="99">
        <f>Amnt_Deposited!H50</f>
        <v>0</v>
      </c>
      <c r="D55" s="418">
        <f>Dry_Matter_Content!H42</f>
        <v>0.73</v>
      </c>
      <c r="E55" s="284">
        <f>MCF!R54</f>
        <v>0.8</v>
      </c>
      <c r="F55" s="67">
        <f t="shared" si="12"/>
        <v>0</v>
      </c>
      <c r="G55" s="67">
        <f t="shared" si="1"/>
        <v>0</v>
      </c>
      <c r="H55" s="67">
        <f t="shared" si="2"/>
        <v>0</v>
      </c>
      <c r="I55" s="67">
        <f t="shared" si="3"/>
        <v>0.16840387976002105</v>
      </c>
      <c r="J55" s="67">
        <f t="shared" si="4"/>
        <v>1.2210659037552874E-2</v>
      </c>
      <c r="K55" s="100">
        <f t="shared" si="6"/>
        <v>8.1404393583685824E-3</v>
      </c>
      <c r="O55" s="96">
        <f>Amnt_Deposited!B50</f>
        <v>2036</v>
      </c>
      <c r="P55" s="99">
        <f>Amnt_Deposited!H50</f>
        <v>0</v>
      </c>
      <c r="Q55" s="284">
        <f>MCF!R54</f>
        <v>0.8</v>
      </c>
      <c r="R55" s="67">
        <f t="shared" si="13"/>
        <v>0</v>
      </c>
      <c r="S55" s="67">
        <f t="shared" si="7"/>
        <v>0</v>
      </c>
      <c r="T55" s="67">
        <f t="shared" si="8"/>
        <v>0</v>
      </c>
      <c r="U55" s="67">
        <f t="shared" si="9"/>
        <v>0.18455219699728329</v>
      </c>
      <c r="V55" s="67">
        <f t="shared" si="10"/>
        <v>1.3381544150742873E-2</v>
      </c>
      <c r="W55" s="100">
        <f t="shared" si="11"/>
        <v>8.9210294338285812E-3</v>
      </c>
    </row>
    <row r="56" spans="2:23">
      <c r="B56" s="96">
        <f>Amnt_Deposited!B51</f>
        <v>2037</v>
      </c>
      <c r="C56" s="99">
        <f>Amnt_Deposited!H51</f>
        <v>0</v>
      </c>
      <c r="D56" s="418">
        <f>Dry_Matter_Content!H43</f>
        <v>0.73</v>
      </c>
      <c r="E56" s="284">
        <f>MCF!R55</f>
        <v>0.8</v>
      </c>
      <c r="F56" s="67">
        <f t="shared" si="12"/>
        <v>0</v>
      </c>
      <c r="G56" s="67">
        <f t="shared" si="1"/>
        <v>0</v>
      </c>
      <c r="H56" s="67">
        <f t="shared" si="2"/>
        <v>0</v>
      </c>
      <c r="I56" s="67">
        <f t="shared" si="3"/>
        <v>0.15701873673642805</v>
      </c>
      <c r="J56" s="67">
        <f t="shared" si="4"/>
        <v>1.1385143023593015E-2</v>
      </c>
      <c r="K56" s="100">
        <f t="shared" si="6"/>
        <v>7.59009534906201E-3</v>
      </c>
      <c r="O56" s="96">
        <f>Amnt_Deposited!B51</f>
        <v>2037</v>
      </c>
      <c r="P56" s="99">
        <f>Amnt_Deposited!H51</f>
        <v>0</v>
      </c>
      <c r="Q56" s="284">
        <f>MCF!R55</f>
        <v>0.8</v>
      </c>
      <c r="R56" s="67">
        <f t="shared" si="13"/>
        <v>0</v>
      </c>
      <c r="S56" s="67">
        <f t="shared" si="7"/>
        <v>0</v>
      </c>
      <c r="T56" s="67">
        <f t="shared" si="8"/>
        <v>0</v>
      </c>
      <c r="U56" s="67">
        <f t="shared" si="9"/>
        <v>0.17207532793033203</v>
      </c>
      <c r="V56" s="67">
        <f t="shared" si="10"/>
        <v>1.2476869066951246E-2</v>
      </c>
      <c r="W56" s="100">
        <f t="shared" si="11"/>
        <v>8.317912711300831E-3</v>
      </c>
    </row>
    <row r="57" spans="2:23">
      <c r="B57" s="96">
        <f>Amnt_Deposited!B52</f>
        <v>2038</v>
      </c>
      <c r="C57" s="99">
        <f>Amnt_Deposited!H52</f>
        <v>0</v>
      </c>
      <c r="D57" s="418">
        <f>Dry_Matter_Content!H44</f>
        <v>0.73</v>
      </c>
      <c r="E57" s="284">
        <f>MCF!R56</f>
        <v>0.8</v>
      </c>
      <c r="F57" s="67">
        <f t="shared" si="12"/>
        <v>0</v>
      </c>
      <c r="G57" s="67">
        <f t="shared" si="1"/>
        <v>0</v>
      </c>
      <c r="H57" s="67">
        <f t="shared" si="2"/>
        <v>0</v>
      </c>
      <c r="I57" s="67">
        <f t="shared" si="3"/>
        <v>0.14640329974248459</v>
      </c>
      <c r="J57" s="67">
        <f t="shared" si="4"/>
        <v>1.0615436993943451E-2</v>
      </c>
      <c r="K57" s="100">
        <f t="shared" si="6"/>
        <v>7.0769579959623005E-3</v>
      </c>
      <c r="O57" s="96">
        <f>Amnt_Deposited!B52</f>
        <v>2038</v>
      </c>
      <c r="P57" s="99">
        <f>Amnt_Deposited!H52</f>
        <v>0</v>
      </c>
      <c r="Q57" s="284">
        <f>MCF!R56</f>
        <v>0.8</v>
      </c>
      <c r="R57" s="67">
        <f t="shared" si="13"/>
        <v>0</v>
      </c>
      <c r="S57" s="67">
        <f t="shared" si="7"/>
        <v>0</v>
      </c>
      <c r="T57" s="67">
        <f t="shared" si="8"/>
        <v>0</v>
      </c>
      <c r="U57" s="67">
        <f t="shared" si="9"/>
        <v>0.16044197232053101</v>
      </c>
      <c r="V57" s="67">
        <f t="shared" si="10"/>
        <v>1.1633355609801036E-2</v>
      </c>
      <c r="W57" s="100">
        <f t="shared" si="11"/>
        <v>7.7555704065340233E-3</v>
      </c>
    </row>
    <row r="58" spans="2:23">
      <c r="B58" s="96">
        <f>Amnt_Deposited!B53</f>
        <v>2039</v>
      </c>
      <c r="C58" s="99">
        <f>Amnt_Deposited!H53</f>
        <v>0</v>
      </c>
      <c r="D58" s="418">
        <f>Dry_Matter_Content!H45</f>
        <v>0.73</v>
      </c>
      <c r="E58" s="284">
        <f>MCF!R57</f>
        <v>0.8</v>
      </c>
      <c r="F58" s="67">
        <f t="shared" si="12"/>
        <v>0</v>
      </c>
      <c r="G58" s="67">
        <f t="shared" si="1"/>
        <v>0</v>
      </c>
      <c r="H58" s="67">
        <f t="shared" si="2"/>
        <v>0</v>
      </c>
      <c r="I58" s="67">
        <f t="shared" si="3"/>
        <v>0.13650553189373074</v>
      </c>
      <c r="J58" s="67">
        <f t="shared" si="4"/>
        <v>9.8977678487538502E-3</v>
      </c>
      <c r="K58" s="100">
        <f t="shared" si="6"/>
        <v>6.5985118991692335E-3</v>
      </c>
      <c r="O58" s="96">
        <f>Amnt_Deposited!B53</f>
        <v>2039</v>
      </c>
      <c r="P58" s="99">
        <f>Amnt_Deposited!H53</f>
        <v>0</v>
      </c>
      <c r="Q58" s="284">
        <f>MCF!R57</f>
        <v>0.8</v>
      </c>
      <c r="R58" s="67">
        <f t="shared" si="13"/>
        <v>0</v>
      </c>
      <c r="S58" s="67">
        <f t="shared" si="7"/>
        <v>0</v>
      </c>
      <c r="T58" s="67">
        <f t="shared" si="8"/>
        <v>0</v>
      </c>
      <c r="U58" s="67">
        <f t="shared" si="9"/>
        <v>0.14959510344518431</v>
      </c>
      <c r="V58" s="67">
        <f t="shared" si="10"/>
        <v>1.0846868875346681E-2</v>
      </c>
      <c r="W58" s="100">
        <f t="shared" si="11"/>
        <v>7.2312459168977876E-3</v>
      </c>
    </row>
    <row r="59" spans="2:23">
      <c r="B59" s="96">
        <f>Amnt_Deposited!B54</f>
        <v>2040</v>
      </c>
      <c r="C59" s="99">
        <f>Amnt_Deposited!H54</f>
        <v>0</v>
      </c>
      <c r="D59" s="418">
        <f>Dry_Matter_Content!H46</f>
        <v>0.73</v>
      </c>
      <c r="E59" s="284">
        <f>MCF!R58</f>
        <v>0.8</v>
      </c>
      <c r="F59" s="67">
        <f t="shared" si="12"/>
        <v>0</v>
      </c>
      <c r="G59" s="67">
        <f t="shared" si="1"/>
        <v>0</v>
      </c>
      <c r="H59" s="67">
        <f t="shared" si="2"/>
        <v>0</v>
      </c>
      <c r="I59" s="67">
        <f t="shared" si="3"/>
        <v>0.12727691432068886</v>
      </c>
      <c r="J59" s="67">
        <f t="shared" si="4"/>
        <v>9.2286175730418828E-3</v>
      </c>
      <c r="K59" s="100">
        <f t="shared" si="6"/>
        <v>6.1524117153612546E-3</v>
      </c>
      <c r="O59" s="96">
        <f>Amnt_Deposited!B54</f>
        <v>2040</v>
      </c>
      <c r="P59" s="99">
        <f>Amnt_Deposited!H54</f>
        <v>0</v>
      </c>
      <c r="Q59" s="284">
        <f>MCF!R58</f>
        <v>0.8</v>
      </c>
      <c r="R59" s="67">
        <f t="shared" si="13"/>
        <v>0</v>
      </c>
      <c r="S59" s="67">
        <f t="shared" si="7"/>
        <v>0</v>
      </c>
      <c r="T59" s="67">
        <f t="shared" si="8"/>
        <v>0</v>
      </c>
      <c r="U59" s="67">
        <f t="shared" si="9"/>
        <v>0.1394815499404809</v>
      </c>
      <c r="V59" s="67">
        <f t="shared" si="10"/>
        <v>1.0113553504703429E-2</v>
      </c>
      <c r="W59" s="100">
        <f t="shared" si="11"/>
        <v>6.7423690031356192E-3</v>
      </c>
    </row>
    <row r="60" spans="2:23">
      <c r="B60" s="96">
        <f>Amnt_Deposited!B55</f>
        <v>2041</v>
      </c>
      <c r="C60" s="99">
        <f>Amnt_Deposited!H55</f>
        <v>0</v>
      </c>
      <c r="D60" s="418">
        <f>Dry_Matter_Content!H47</f>
        <v>0.73</v>
      </c>
      <c r="E60" s="284">
        <f>MCF!R59</f>
        <v>0.8</v>
      </c>
      <c r="F60" s="67">
        <f t="shared" si="12"/>
        <v>0</v>
      </c>
      <c r="G60" s="67">
        <f t="shared" si="1"/>
        <v>0</v>
      </c>
      <c r="H60" s="67">
        <f t="shared" si="2"/>
        <v>0</v>
      </c>
      <c r="I60" s="67">
        <f t="shared" si="3"/>
        <v>0.11867220832930918</v>
      </c>
      <c r="J60" s="67">
        <f t="shared" si="4"/>
        <v>8.6047059913796822E-3</v>
      </c>
      <c r="K60" s="100">
        <f t="shared" si="6"/>
        <v>5.7364706609197881E-3</v>
      </c>
      <c r="O60" s="96">
        <f>Amnt_Deposited!B55</f>
        <v>2041</v>
      </c>
      <c r="P60" s="99">
        <f>Amnt_Deposited!H55</f>
        <v>0</v>
      </c>
      <c r="Q60" s="284">
        <f>MCF!R59</f>
        <v>0.8</v>
      </c>
      <c r="R60" s="67">
        <f t="shared" si="13"/>
        <v>0</v>
      </c>
      <c r="S60" s="67">
        <f t="shared" si="7"/>
        <v>0</v>
      </c>
      <c r="T60" s="67">
        <f t="shared" si="8"/>
        <v>0</v>
      </c>
      <c r="U60" s="67">
        <f t="shared" si="9"/>
        <v>0.13005173515540727</v>
      </c>
      <c r="V60" s="67">
        <f t="shared" si="10"/>
        <v>9.4298147850736206E-3</v>
      </c>
      <c r="W60" s="100">
        <f t="shared" si="11"/>
        <v>6.2865431900490801E-3</v>
      </c>
    </row>
    <row r="61" spans="2:23">
      <c r="B61" s="96">
        <f>Amnt_Deposited!B56</f>
        <v>2042</v>
      </c>
      <c r="C61" s="99">
        <f>Amnt_Deposited!H56</f>
        <v>0</v>
      </c>
      <c r="D61" s="418">
        <f>Dry_Matter_Content!H48</f>
        <v>0.73</v>
      </c>
      <c r="E61" s="284">
        <f>MCF!R60</f>
        <v>0.8</v>
      </c>
      <c r="F61" s="67">
        <f t="shared" si="12"/>
        <v>0</v>
      </c>
      <c r="G61" s="67">
        <f t="shared" si="1"/>
        <v>0</v>
      </c>
      <c r="H61" s="67">
        <f t="shared" si="2"/>
        <v>0</v>
      </c>
      <c r="I61" s="67">
        <f t="shared" si="3"/>
        <v>0.11064923364083908</v>
      </c>
      <c r="J61" s="67">
        <f t="shared" si="4"/>
        <v>8.0229746884701025E-3</v>
      </c>
      <c r="K61" s="100">
        <f t="shared" si="6"/>
        <v>5.3486497923134011E-3</v>
      </c>
      <c r="O61" s="96">
        <f>Amnt_Deposited!B56</f>
        <v>2042</v>
      </c>
      <c r="P61" s="99">
        <f>Amnt_Deposited!H56</f>
        <v>0</v>
      </c>
      <c r="Q61" s="284">
        <f>MCF!R60</f>
        <v>0.8</v>
      </c>
      <c r="R61" s="67">
        <f t="shared" si="13"/>
        <v>0</v>
      </c>
      <c r="S61" s="67">
        <f t="shared" si="7"/>
        <v>0</v>
      </c>
      <c r="T61" s="67">
        <f t="shared" si="8"/>
        <v>0</v>
      </c>
      <c r="U61" s="67">
        <f t="shared" si="9"/>
        <v>0.1212594341269469</v>
      </c>
      <c r="V61" s="67">
        <f t="shared" si="10"/>
        <v>8.7923010284603823E-3</v>
      </c>
      <c r="W61" s="100">
        <f t="shared" si="11"/>
        <v>5.8615340189735882E-3</v>
      </c>
    </row>
    <row r="62" spans="2:23">
      <c r="B62" s="96">
        <f>Amnt_Deposited!B57</f>
        <v>2043</v>
      </c>
      <c r="C62" s="99">
        <f>Amnt_Deposited!H57</f>
        <v>0</v>
      </c>
      <c r="D62" s="418">
        <f>Dry_Matter_Content!H49</f>
        <v>0.73</v>
      </c>
      <c r="E62" s="284">
        <f>MCF!R61</f>
        <v>0.8</v>
      </c>
      <c r="F62" s="67">
        <f t="shared" si="12"/>
        <v>0</v>
      </c>
      <c r="G62" s="67">
        <f t="shared" si="1"/>
        <v>0</v>
      </c>
      <c r="H62" s="67">
        <f t="shared" si="2"/>
        <v>0</v>
      </c>
      <c r="I62" s="67">
        <f t="shared" si="3"/>
        <v>0.1031686616240477</v>
      </c>
      <c r="J62" s="67">
        <f t="shared" si="4"/>
        <v>7.4805720167913734E-3</v>
      </c>
      <c r="K62" s="100">
        <f t="shared" si="6"/>
        <v>4.9870480111942487E-3</v>
      </c>
      <c r="O62" s="96">
        <f>Amnt_Deposited!B57</f>
        <v>2043</v>
      </c>
      <c r="P62" s="99">
        <f>Amnt_Deposited!H57</f>
        <v>0</v>
      </c>
      <c r="Q62" s="284">
        <f>MCF!R61</f>
        <v>0.8</v>
      </c>
      <c r="R62" s="67">
        <f t="shared" si="13"/>
        <v>0</v>
      </c>
      <c r="S62" s="67">
        <f t="shared" si="7"/>
        <v>0</v>
      </c>
      <c r="T62" s="67">
        <f t="shared" si="8"/>
        <v>0</v>
      </c>
      <c r="U62" s="67">
        <f t="shared" si="9"/>
        <v>0.11306154698525772</v>
      </c>
      <c r="V62" s="67">
        <f t="shared" si="10"/>
        <v>8.1978871416891735E-3</v>
      </c>
      <c r="W62" s="100">
        <f t="shared" si="11"/>
        <v>5.4652580944594487E-3</v>
      </c>
    </row>
    <row r="63" spans="2:23">
      <c r="B63" s="96">
        <f>Amnt_Deposited!B58</f>
        <v>2044</v>
      </c>
      <c r="C63" s="99">
        <f>Amnt_Deposited!H58</f>
        <v>0</v>
      </c>
      <c r="D63" s="418">
        <f>Dry_Matter_Content!H50</f>
        <v>0.73</v>
      </c>
      <c r="E63" s="284">
        <f>MCF!R62</f>
        <v>0.8</v>
      </c>
      <c r="F63" s="67">
        <f t="shared" si="12"/>
        <v>0</v>
      </c>
      <c r="G63" s="67">
        <f t="shared" si="1"/>
        <v>0</v>
      </c>
      <c r="H63" s="67">
        <f t="shared" si="2"/>
        <v>0</v>
      </c>
      <c r="I63" s="67">
        <f t="shared" si="3"/>
        <v>9.6193822506230042E-2</v>
      </c>
      <c r="J63" s="67">
        <f t="shared" si="4"/>
        <v>6.9748391178176515E-3</v>
      </c>
      <c r="K63" s="100">
        <f t="shared" si="6"/>
        <v>4.6498927452117674E-3</v>
      </c>
      <c r="O63" s="96">
        <f>Amnt_Deposited!B58</f>
        <v>2044</v>
      </c>
      <c r="P63" s="99">
        <f>Amnt_Deposited!H58</f>
        <v>0</v>
      </c>
      <c r="Q63" s="284">
        <f>MCF!R62</f>
        <v>0.8</v>
      </c>
      <c r="R63" s="67">
        <f t="shared" si="13"/>
        <v>0</v>
      </c>
      <c r="S63" s="67">
        <f t="shared" si="7"/>
        <v>0</v>
      </c>
      <c r="T63" s="67">
        <f t="shared" si="8"/>
        <v>0</v>
      </c>
      <c r="U63" s="67">
        <f t="shared" si="9"/>
        <v>0.10541788767806029</v>
      </c>
      <c r="V63" s="67">
        <f t="shared" si="10"/>
        <v>7.6436593071974243E-3</v>
      </c>
      <c r="W63" s="100">
        <f t="shared" si="11"/>
        <v>5.095772871464949E-3</v>
      </c>
    </row>
    <row r="64" spans="2:23">
      <c r="B64" s="96">
        <f>Amnt_Deposited!B59</f>
        <v>2045</v>
      </c>
      <c r="C64" s="99">
        <f>Amnt_Deposited!H59</f>
        <v>0</v>
      </c>
      <c r="D64" s="418">
        <f>Dry_Matter_Content!H51</f>
        <v>0.73</v>
      </c>
      <c r="E64" s="284">
        <f>MCF!R63</f>
        <v>0.8</v>
      </c>
      <c r="F64" s="67">
        <f t="shared" si="12"/>
        <v>0</v>
      </c>
      <c r="G64" s="67">
        <f t="shared" si="1"/>
        <v>0</v>
      </c>
      <c r="H64" s="67">
        <f t="shared" si="2"/>
        <v>0</v>
      </c>
      <c r="I64" s="67">
        <f t="shared" si="3"/>
        <v>8.969052561793861E-2</v>
      </c>
      <c r="J64" s="67">
        <f t="shared" si="4"/>
        <v>6.5032968882914348E-3</v>
      </c>
      <c r="K64" s="100">
        <f t="shared" si="6"/>
        <v>4.3355312588609562E-3</v>
      </c>
      <c r="O64" s="96">
        <f>Amnt_Deposited!B59</f>
        <v>2045</v>
      </c>
      <c r="P64" s="99">
        <f>Amnt_Deposited!H59</f>
        <v>0</v>
      </c>
      <c r="Q64" s="284">
        <f>MCF!R63</f>
        <v>0.8</v>
      </c>
      <c r="R64" s="67">
        <f t="shared" si="13"/>
        <v>0</v>
      </c>
      <c r="S64" s="67">
        <f t="shared" si="7"/>
        <v>0</v>
      </c>
      <c r="T64" s="67">
        <f t="shared" si="8"/>
        <v>0</v>
      </c>
      <c r="U64" s="67">
        <f t="shared" si="9"/>
        <v>9.8290986978562825E-2</v>
      </c>
      <c r="V64" s="67">
        <f t="shared" si="10"/>
        <v>7.1269006994974602E-3</v>
      </c>
      <c r="W64" s="100">
        <f t="shared" si="11"/>
        <v>4.7512671329983068E-3</v>
      </c>
    </row>
    <row r="65" spans="2:23">
      <c r="B65" s="96">
        <f>Amnt_Deposited!B60</f>
        <v>2046</v>
      </c>
      <c r="C65" s="99">
        <f>Amnt_Deposited!H60</f>
        <v>0</v>
      </c>
      <c r="D65" s="418">
        <f>Dry_Matter_Content!H52</f>
        <v>0.73</v>
      </c>
      <c r="E65" s="284">
        <f>MCF!R64</f>
        <v>0.8</v>
      </c>
      <c r="F65" s="67">
        <f t="shared" si="12"/>
        <v>0</v>
      </c>
      <c r="G65" s="67">
        <f t="shared" si="1"/>
        <v>0</v>
      </c>
      <c r="H65" s="67">
        <f t="shared" si="2"/>
        <v>0</v>
      </c>
      <c r="I65" s="67">
        <f t="shared" si="3"/>
        <v>8.3626891790282099E-2</v>
      </c>
      <c r="J65" s="67">
        <f t="shared" si="4"/>
        <v>6.0636338276565177E-3</v>
      </c>
      <c r="K65" s="100">
        <f t="shared" si="6"/>
        <v>4.0424225517710112E-3</v>
      </c>
      <c r="O65" s="96">
        <f>Amnt_Deposited!B60</f>
        <v>2046</v>
      </c>
      <c r="P65" s="99">
        <f>Amnt_Deposited!H60</f>
        <v>0</v>
      </c>
      <c r="Q65" s="284">
        <f>MCF!R64</f>
        <v>0.8</v>
      </c>
      <c r="R65" s="67">
        <f t="shared" si="13"/>
        <v>0</v>
      </c>
      <c r="S65" s="67">
        <f t="shared" si="7"/>
        <v>0</v>
      </c>
      <c r="T65" s="67">
        <f t="shared" si="8"/>
        <v>0</v>
      </c>
      <c r="U65" s="67">
        <f t="shared" si="9"/>
        <v>9.1645908811268009E-2</v>
      </c>
      <c r="V65" s="67">
        <f t="shared" si="10"/>
        <v>6.6450781672948113E-3</v>
      </c>
      <c r="W65" s="100">
        <f t="shared" si="11"/>
        <v>4.4300521115298742E-3</v>
      </c>
    </row>
    <row r="66" spans="2:23">
      <c r="B66" s="96">
        <f>Amnt_Deposited!B61</f>
        <v>2047</v>
      </c>
      <c r="C66" s="99">
        <f>Amnt_Deposited!H61</f>
        <v>0</v>
      </c>
      <c r="D66" s="418">
        <f>Dry_Matter_Content!H53</f>
        <v>0.73</v>
      </c>
      <c r="E66" s="284">
        <f>MCF!R65</f>
        <v>0.8</v>
      </c>
      <c r="F66" s="67">
        <f t="shared" si="12"/>
        <v>0</v>
      </c>
      <c r="G66" s="67">
        <f t="shared" si="1"/>
        <v>0</v>
      </c>
      <c r="H66" s="67">
        <f t="shared" si="2"/>
        <v>0</v>
      </c>
      <c r="I66" s="67">
        <f t="shared" si="3"/>
        <v>7.7973197083202508E-2</v>
      </c>
      <c r="J66" s="67">
        <f t="shared" si="4"/>
        <v>5.6536947070795875E-3</v>
      </c>
      <c r="K66" s="100">
        <f t="shared" si="6"/>
        <v>3.7691298047197249E-3</v>
      </c>
      <c r="O66" s="96">
        <f>Amnt_Deposited!B61</f>
        <v>2047</v>
      </c>
      <c r="P66" s="99">
        <f>Amnt_Deposited!H61</f>
        <v>0</v>
      </c>
      <c r="Q66" s="284">
        <f>MCF!R65</f>
        <v>0.8</v>
      </c>
      <c r="R66" s="67">
        <f t="shared" si="13"/>
        <v>0</v>
      </c>
      <c r="S66" s="67">
        <f t="shared" si="7"/>
        <v>0</v>
      </c>
      <c r="T66" s="67">
        <f t="shared" si="8"/>
        <v>0</v>
      </c>
      <c r="U66" s="67">
        <f t="shared" si="9"/>
        <v>8.5450078995290377E-2</v>
      </c>
      <c r="V66" s="67">
        <f t="shared" si="10"/>
        <v>6.1958298159776274E-3</v>
      </c>
      <c r="W66" s="100">
        <f t="shared" si="11"/>
        <v>4.1305532106517516E-3</v>
      </c>
    </row>
    <row r="67" spans="2:23">
      <c r="B67" s="96">
        <f>Amnt_Deposited!B62</f>
        <v>2048</v>
      </c>
      <c r="C67" s="99">
        <f>Amnt_Deposited!H62</f>
        <v>0</v>
      </c>
      <c r="D67" s="418">
        <f>Dry_Matter_Content!H54</f>
        <v>0.73</v>
      </c>
      <c r="E67" s="284">
        <f>MCF!R66</f>
        <v>0.8</v>
      </c>
      <c r="F67" s="67">
        <f t="shared" si="12"/>
        <v>0</v>
      </c>
      <c r="G67" s="67">
        <f t="shared" si="1"/>
        <v>0</v>
      </c>
      <c r="H67" s="67">
        <f t="shared" si="2"/>
        <v>0</v>
      </c>
      <c r="I67" s="67">
        <f t="shared" si="3"/>
        <v>7.2701727078686537E-2</v>
      </c>
      <c r="J67" s="67">
        <f t="shared" si="4"/>
        <v>5.2714700045159773E-3</v>
      </c>
      <c r="K67" s="100">
        <f t="shared" si="6"/>
        <v>3.5143133363439846E-3</v>
      </c>
      <c r="O67" s="96">
        <f>Amnt_Deposited!B62</f>
        <v>2048</v>
      </c>
      <c r="P67" s="99">
        <f>Amnt_Deposited!H62</f>
        <v>0</v>
      </c>
      <c r="Q67" s="284">
        <f>MCF!R66</f>
        <v>0.8</v>
      </c>
      <c r="R67" s="67">
        <f t="shared" si="13"/>
        <v>0</v>
      </c>
      <c r="S67" s="67">
        <f t="shared" si="7"/>
        <v>0</v>
      </c>
      <c r="T67" s="67">
        <f t="shared" si="8"/>
        <v>0</v>
      </c>
      <c r="U67" s="67">
        <f t="shared" si="9"/>
        <v>7.9673125565683831E-2</v>
      </c>
      <c r="V67" s="67">
        <f t="shared" si="10"/>
        <v>5.7769534296065479E-3</v>
      </c>
      <c r="W67" s="100">
        <f t="shared" si="11"/>
        <v>3.8513022864043651E-3</v>
      </c>
    </row>
    <row r="68" spans="2:23">
      <c r="B68" s="96">
        <f>Amnt_Deposited!B63</f>
        <v>2049</v>
      </c>
      <c r="C68" s="99">
        <f>Amnt_Deposited!H63</f>
        <v>0</v>
      </c>
      <c r="D68" s="418">
        <f>Dry_Matter_Content!H55</f>
        <v>0.73</v>
      </c>
      <c r="E68" s="284">
        <f>MCF!R67</f>
        <v>0.8</v>
      </c>
      <c r="F68" s="67">
        <f t="shared" si="12"/>
        <v>0</v>
      </c>
      <c r="G68" s="67">
        <f t="shared" si="1"/>
        <v>0</v>
      </c>
      <c r="H68" s="67">
        <f t="shared" si="2"/>
        <v>0</v>
      </c>
      <c r="I68" s="67">
        <f t="shared" si="3"/>
        <v>6.7786641024656258E-2</v>
      </c>
      <c r="J68" s="67">
        <f t="shared" si="4"/>
        <v>4.9150860540302793E-3</v>
      </c>
      <c r="K68" s="100">
        <f t="shared" si="6"/>
        <v>3.2767240360201859E-3</v>
      </c>
      <c r="O68" s="96">
        <f>Amnt_Deposited!B63</f>
        <v>2049</v>
      </c>
      <c r="P68" s="99">
        <f>Amnt_Deposited!H63</f>
        <v>0</v>
      </c>
      <c r="Q68" s="284">
        <f>MCF!R67</f>
        <v>0.8</v>
      </c>
      <c r="R68" s="67">
        <f t="shared" si="13"/>
        <v>0</v>
      </c>
      <c r="S68" s="67">
        <f t="shared" si="7"/>
        <v>0</v>
      </c>
      <c r="T68" s="67">
        <f t="shared" si="8"/>
        <v>0</v>
      </c>
      <c r="U68" s="67">
        <f t="shared" si="9"/>
        <v>7.4286729890034209E-2</v>
      </c>
      <c r="V68" s="67">
        <f t="shared" si="10"/>
        <v>5.3863956756496183E-3</v>
      </c>
      <c r="W68" s="100">
        <f t="shared" si="11"/>
        <v>3.5909304504330788E-3</v>
      </c>
    </row>
    <row r="69" spans="2:23">
      <c r="B69" s="96">
        <f>Amnt_Deposited!B64</f>
        <v>2050</v>
      </c>
      <c r="C69" s="99">
        <f>Amnt_Deposited!H64</f>
        <v>0</v>
      </c>
      <c r="D69" s="418">
        <f>Dry_Matter_Content!H56</f>
        <v>0.73</v>
      </c>
      <c r="E69" s="284">
        <f>MCF!R68</f>
        <v>0.8</v>
      </c>
      <c r="F69" s="67">
        <f t="shared" si="12"/>
        <v>0</v>
      </c>
      <c r="G69" s="67">
        <f t="shared" si="1"/>
        <v>0</v>
      </c>
      <c r="H69" s="67">
        <f t="shared" si="2"/>
        <v>0</v>
      </c>
      <c r="I69" s="67">
        <f t="shared" si="3"/>
        <v>6.3203845163572511E-2</v>
      </c>
      <c r="J69" s="67">
        <f t="shared" si="4"/>
        <v>4.5827958610837457E-3</v>
      </c>
      <c r="K69" s="100">
        <f t="shared" si="6"/>
        <v>3.055197240722497E-3</v>
      </c>
      <c r="O69" s="96">
        <f>Amnt_Deposited!B64</f>
        <v>2050</v>
      </c>
      <c r="P69" s="99">
        <f>Amnt_Deposited!H64</f>
        <v>0</v>
      </c>
      <c r="Q69" s="284">
        <f>MCF!R68</f>
        <v>0.8</v>
      </c>
      <c r="R69" s="67">
        <f t="shared" si="13"/>
        <v>0</v>
      </c>
      <c r="S69" s="67">
        <f t="shared" si="7"/>
        <v>0</v>
      </c>
      <c r="T69" s="67">
        <f t="shared" si="8"/>
        <v>0</v>
      </c>
      <c r="U69" s="67">
        <f t="shared" si="9"/>
        <v>6.9264487850490386E-2</v>
      </c>
      <c r="V69" s="67">
        <f t="shared" si="10"/>
        <v>5.022242039543828E-3</v>
      </c>
      <c r="W69" s="100">
        <f t="shared" si="11"/>
        <v>3.3481613596958852E-3</v>
      </c>
    </row>
    <row r="70" spans="2:23">
      <c r="B70" s="96">
        <f>Amnt_Deposited!B65</f>
        <v>2051</v>
      </c>
      <c r="C70" s="99">
        <f>Amnt_Deposited!H65</f>
        <v>0</v>
      </c>
      <c r="D70" s="418">
        <f>Dry_Matter_Content!H57</f>
        <v>0.73</v>
      </c>
      <c r="E70" s="284">
        <f>MCF!R69</f>
        <v>0.8</v>
      </c>
      <c r="F70" s="67">
        <f t="shared" si="12"/>
        <v>0</v>
      </c>
      <c r="G70" s="67">
        <f t="shared" si="1"/>
        <v>0</v>
      </c>
      <c r="H70" s="67">
        <f t="shared" si="2"/>
        <v>0</v>
      </c>
      <c r="I70" s="67">
        <f t="shared" si="3"/>
        <v>5.8930874624807471E-2</v>
      </c>
      <c r="J70" s="67">
        <f t="shared" si="4"/>
        <v>4.2729705387650431E-3</v>
      </c>
      <c r="K70" s="100">
        <f t="shared" si="6"/>
        <v>2.8486470258433619E-3</v>
      </c>
      <c r="O70" s="96">
        <f>Amnt_Deposited!B65</f>
        <v>2051</v>
      </c>
      <c r="P70" s="99">
        <f>Amnt_Deposited!H65</f>
        <v>0</v>
      </c>
      <c r="Q70" s="284">
        <f>MCF!R69</f>
        <v>0.8</v>
      </c>
      <c r="R70" s="67">
        <f t="shared" si="13"/>
        <v>0</v>
      </c>
      <c r="S70" s="67">
        <f t="shared" si="7"/>
        <v>0</v>
      </c>
      <c r="T70" s="67">
        <f t="shared" si="8"/>
        <v>0</v>
      </c>
      <c r="U70" s="67">
        <f t="shared" si="9"/>
        <v>6.4581780410747872E-2</v>
      </c>
      <c r="V70" s="67">
        <f t="shared" si="10"/>
        <v>4.682707439742511E-3</v>
      </c>
      <c r="W70" s="100">
        <f t="shared" si="11"/>
        <v>3.1218049598283407E-3</v>
      </c>
    </row>
    <row r="71" spans="2:23">
      <c r="B71" s="96">
        <f>Amnt_Deposited!B66</f>
        <v>2052</v>
      </c>
      <c r="C71" s="99">
        <f>Amnt_Deposited!H66</f>
        <v>0</v>
      </c>
      <c r="D71" s="418">
        <f>Dry_Matter_Content!H58</f>
        <v>0.73</v>
      </c>
      <c r="E71" s="284">
        <f>MCF!R70</f>
        <v>0.8</v>
      </c>
      <c r="F71" s="67">
        <f t="shared" si="12"/>
        <v>0</v>
      </c>
      <c r="G71" s="67">
        <f t="shared" si="1"/>
        <v>0</v>
      </c>
      <c r="H71" s="67">
        <f t="shared" si="2"/>
        <v>0</v>
      </c>
      <c r="I71" s="67">
        <f t="shared" si="3"/>
        <v>5.4946783301822753E-2</v>
      </c>
      <c r="J71" s="67">
        <f t="shared" si="4"/>
        <v>3.9840913229847166E-3</v>
      </c>
      <c r="K71" s="100">
        <f t="shared" si="6"/>
        <v>2.6560608819898111E-3</v>
      </c>
      <c r="O71" s="96">
        <f>Amnt_Deposited!B66</f>
        <v>2052</v>
      </c>
      <c r="P71" s="99">
        <f>Amnt_Deposited!H66</f>
        <v>0</v>
      </c>
      <c r="Q71" s="284">
        <f>MCF!R70</f>
        <v>0.8</v>
      </c>
      <c r="R71" s="67">
        <f t="shared" si="13"/>
        <v>0</v>
      </c>
      <c r="S71" s="67">
        <f t="shared" si="7"/>
        <v>0</v>
      </c>
      <c r="T71" s="67">
        <f t="shared" si="8"/>
        <v>0</v>
      </c>
      <c r="U71" s="67">
        <f t="shared" si="9"/>
        <v>6.0215652933504352E-2</v>
      </c>
      <c r="V71" s="67">
        <f t="shared" si="10"/>
        <v>4.3661274772435225E-3</v>
      </c>
      <c r="W71" s="100">
        <f t="shared" si="11"/>
        <v>2.9107516514956817E-3</v>
      </c>
    </row>
    <row r="72" spans="2:23">
      <c r="B72" s="96">
        <f>Amnt_Deposited!B67</f>
        <v>2053</v>
      </c>
      <c r="C72" s="99">
        <f>Amnt_Deposited!H67</f>
        <v>0</v>
      </c>
      <c r="D72" s="418">
        <f>Dry_Matter_Content!H59</f>
        <v>0.73</v>
      </c>
      <c r="E72" s="284">
        <f>MCF!R71</f>
        <v>0.8</v>
      </c>
      <c r="F72" s="67">
        <f t="shared" si="12"/>
        <v>0</v>
      </c>
      <c r="G72" s="67">
        <f t="shared" si="1"/>
        <v>0</v>
      </c>
      <c r="H72" s="67">
        <f t="shared" si="2"/>
        <v>0</v>
      </c>
      <c r="I72" s="67">
        <f t="shared" si="3"/>
        <v>5.1232041174330889E-2</v>
      </c>
      <c r="J72" s="67">
        <f t="shared" si="4"/>
        <v>3.714742127491863E-3</v>
      </c>
      <c r="K72" s="100">
        <f t="shared" si="6"/>
        <v>2.476494751661242E-3</v>
      </c>
      <c r="O72" s="96">
        <f>Amnt_Deposited!B67</f>
        <v>2053</v>
      </c>
      <c r="P72" s="99">
        <f>Amnt_Deposited!H67</f>
        <v>0</v>
      </c>
      <c r="Q72" s="284">
        <f>MCF!R71</f>
        <v>0.8</v>
      </c>
      <c r="R72" s="67">
        <f t="shared" si="13"/>
        <v>0</v>
      </c>
      <c r="S72" s="67">
        <f t="shared" si="7"/>
        <v>0</v>
      </c>
      <c r="T72" s="67">
        <f t="shared" si="8"/>
        <v>0</v>
      </c>
      <c r="U72" s="67">
        <f t="shared" si="9"/>
        <v>5.6144702656800945E-2</v>
      </c>
      <c r="V72" s="67">
        <f t="shared" si="10"/>
        <v>4.0709502767034096E-3</v>
      </c>
      <c r="W72" s="100">
        <f t="shared" si="11"/>
        <v>2.7139668511356064E-3</v>
      </c>
    </row>
    <row r="73" spans="2:23">
      <c r="B73" s="96">
        <f>Amnt_Deposited!B68</f>
        <v>2054</v>
      </c>
      <c r="C73" s="99">
        <f>Amnt_Deposited!H68</f>
        <v>0</v>
      </c>
      <c r="D73" s="418">
        <f>Dry_Matter_Content!H60</f>
        <v>0.73</v>
      </c>
      <c r="E73" s="284">
        <f>MCF!R72</f>
        <v>0.8</v>
      </c>
      <c r="F73" s="67">
        <f t="shared" si="12"/>
        <v>0</v>
      </c>
      <c r="G73" s="67">
        <f t="shared" si="1"/>
        <v>0</v>
      </c>
      <c r="H73" s="67">
        <f t="shared" si="2"/>
        <v>0</v>
      </c>
      <c r="I73" s="67">
        <f t="shared" si="3"/>
        <v>4.77684385721132E-2</v>
      </c>
      <c r="J73" s="67">
        <f t="shared" si="4"/>
        <v>3.4636026022176873E-3</v>
      </c>
      <c r="K73" s="100">
        <f t="shared" si="6"/>
        <v>2.3090684014784582E-3</v>
      </c>
      <c r="O73" s="96">
        <f>Amnt_Deposited!B68</f>
        <v>2054</v>
      </c>
      <c r="P73" s="99">
        <f>Amnt_Deposited!H68</f>
        <v>0</v>
      </c>
      <c r="Q73" s="284">
        <f>MCF!R72</f>
        <v>0.8</v>
      </c>
      <c r="R73" s="67">
        <f t="shared" si="13"/>
        <v>0</v>
      </c>
      <c r="S73" s="67">
        <f t="shared" si="7"/>
        <v>0</v>
      </c>
      <c r="T73" s="67">
        <f t="shared" si="8"/>
        <v>0</v>
      </c>
      <c r="U73" s="67">
        <f t="shared" si="9"/>
        <v>5.2348973777658278E-2</v>
      </c>
      <c r="V73" s="67">
        <f t="shared" si="10"/>
        <v>3.7957288791426692E-3</v>
      </c>
      <c r="W73" s="100">
        <f t="shared" si="11"/>
        <v>2.530485919428446E-3</v>
      </c>
    </row>
    <row r="74" spans="2:23">
      <c r="B74" s="96">
        <f>Amnt_Deposited!B69</f>
        <v>2055</v>
      </c>
      <c r="C74" s="99">
        <f>Amnt_Deposited!H69</f>
        <v>0</v>
      </c>
      <c r="D74" s="418">
        <f>Dry_Matter_Content!H61</f>
        <v>0.73</v>
      </c>
      <c r="E74" s="284">
        <f>MCF!R73</f>
        <v>0.8</v>
      </c>
      <c r="F74" s="67">
        <f t="shared" si="12"/>
        <v>0</v>
      </c>
      <c r="G74" s="67">
        <f t="shared" si="1"/>
        <v>0</v>
      </c>
      <c r="H74" s="67">
        <f t="shared" si="2"/>
        <v>0</v>
      </c>
      <c r="I74" s="67">
        <f t="shared" si="3"/>
        <v>4.4538996911195269E-2</v>
      </c>
      <c r="J74" s="67">
        <f t="shared" si="4"/>
        <v>3.2294416609179319E-3</v>
      </c>
      <c r="K74" s="100">
        <f t="shared" si="6"/>
        <v>2.152961107278621E-3</v>
      </c>
      <c r="O74" s="96">
        <f>Amnt_Deposited!B69</f>
        <v>2055</v>
      </c>
      <c r="P74" s="99">
        <f>Amnt_Deposited!H69</f>
        <v>0</v>
      </c>
      <c r="Q74" s="284">
        <f>MCF!R73</f>
        <v>0.8</v>
      </c>
      <c r="R74" s="67">
        <f t="shared" si="13"/>
        <v>0</v>
      </c>
      <c r="S74" s="67">
        <f t="shared" si="7"/>
        <v>0</v>
      </c>
      <c r="T74" s="67">
        <f t="shared" si="8"/>
        <v>0</v>
      </c>
      <c r="U74" s="67">
        <f t="shared" si="9"/>
        <v>4.8809859628707118E-2</v>
      </c>
      <c r="V74" s="67">
        <f t="shared" si="10"/>
        <v>3.5391141489511569E-3</v>
      </c>
      <c r="W74" s="100">
        <f t="shared" si="11"/>
        <v>2.3594094326341046E-3</v>
      </c>
    </row>
    <row r="75" spans="2:23">
      <c r="B75" s="96">
        <f>Amnt_Deposited!B70</f>
        <v>2056</v>
      </c>
      <c r="C75" s="99">
        <f>Amnt_Deposited!H70</f>
        <v>0</v>
      </c>
      <c r="D75" s="418">
        <f>Dry_Matter_Content!H62</f>
        <v>0.73</v>
      </c>
      <c r="E75" s="284">
        <f>MCF!R74</f>
        <v>0.8</v>
      </c>
      <c r="F75" s="67">
        <f t="shared" si="12"/>
        <v>0</v>
      </c>
      <c r="G75" s="67">
        <f t="shared" si="1"/>
        <v>0</v>
      </c>
      <c r="H75" s="67">
        <f t="shared" si="2"/>
        <v>0</v>
      </c>
      <c r="I75" s="67">
        <f t="shared" si="3"/>
        <v>4.1527885464808588E-2</v>
      </c>
      <c r="J75" s="67">
        <f t="shared" si="4"/>
        <v>3.011111446386681E-3</v>
      </c>
      <c r="K75" s="100">
        <f t="shared" si="6"/>
        <v>2.0074076309244539E-3</v>
      </c>
      <c r="O75" s="96">
        <f>Amnt_Deposited!B70</f>
        <v>2056</v>
      </c>
      <c r="P75" s="99">
        <f>Amnt_Deposited!H70</f>
        <v>0</v>
      </c>
      <c r="Q75" s="284">
        <f>MCF!R74</f>
        <v>0.8</v>
      </c>
      <c r="R75" s="67">
        <f t="shared" si="13"/>
        <v>0</v>
      </c>
      <c r="S75" s="67">
        <f t="shared" si="7"/>
        <v>0</v>
      </c>
      <c r="T75" s="67">
        <f t="shared" si="8"/>
        <v>0</v>
      </c>
      <c r="U75" s="67">
        <f t="shared" si="9"/>
        <v>4.551001146828336E-2</v>
      </c>
      <c r="V75" s="67">
        <f t="shared" si="10"/>
        <v>3.2998481604237582E-3</v>
      </c>
      <c r="W75" s="100">
        <f t="shared" si="11"/>
        <v>2.1998987736158385E-3</v>
      </c>
    </row>
    <row r="76" spans="2:23">
      <c r="B76" s="96">
        <f>Amnt_Deposited!B71</f>
        <v>2057</v>
      </c>
      <c r="C76" s="99">
        <f>Amnt_Deposited!H71</f>
        <v>0</v>
      </c>
      <c r="D76" s="418">
        <f>Dry_Matter_Content!H63</f>
        <v>0.73</v>
      </c>
      <c r="E76" s="284">
        <f>MCF!R75</f>
        <v>0.8</v>
      </c>
      <c r="F76" s="67">
        <f t="shared" si="12"/>
        <v>0</v>
      </c>
      <c r="G76" s="67">
        <f t="shared" si="1"/>
        <v>0</v>
      </c>
      <c r="H76" s="67">
        <f t="shared" si="2"/>
        <v>0</v>
      </c>
      <c r="I76" s="67">
        <f t="shared" si="3"/>
        <v>3.8720343761149585E-2</v>
      </c>
      <c r="J76" s="67">
        <f t="shared" si="4"/>
        <v>2.8075417036590024E-3</v>
      </c>
      <c r="K76" s="100">
        <f t="shared" si="6"/>
        <v>1.8716944691060016E-3</v>
      </c>
      <c r="O76" s="96">
        <f>Amnt_Deposited!B71</f>
        <v>2057</v>
      </c>
      <c r="P76" s="99">
        <f>Amnt_Deposited!H71</f>
        <v>0</v>
      </c>
      <c r="Q76" s="284">
        <f>MCF!R75</f>
        <v>0.8</v>
      </c>
      <c r="R76" s="67">
        <f t="shared" si="13"/>
        <v>0</v>
      </c>
      <c r="S76" s="67">
        <f t="shared" si="7"/>
        <v>0</v>
      </c>
      <c r="T76" s="67">
        <f t="shared" si="8"/>
        <v>0</v>
      </c>
      <c r="U76" s="67">
        <f t="shared" si="9"/>
        <v>4.2433253436876234E-2</v>
      </c>
      <c r="V76" s="67">
        <f t="shared" si="10"/>
        <v>3.076758031407124E-3</v>
      </c>
      <c r="W76" s="100">
        <f t="shared" si="11"/>
        <v>2.0511720209380824E-3</v>
      </c>
    </row>
    <row r="77" spans="2:23">
      <c r="B77" s="96">
        <f>Amnt_Deposited!B72</f>
        <v>2058</v>
      </c>
      <c r="C77" s="99">
        <f>Amnt_Deposited!H72</f>
        <v>0</v>
      </c>
      <c r="D77" s="418">
        <f>Dry_Matter_Content!H64</f>
        <v>0.73</v>
      </c>
      <c r="E77" s="284">
        <f>MCF!R76</f>
        <v>0.8</v>
      </c>
      <c r="F77" s="67">
        <f t="shared" si="12"/>
        <v>0</v>
      </c>
      <c r="G77" s="67">
        <f t="shared" si="1"/>
        <v>0</v>
      </c>
      <c r="H77" s="67">
        <f t="shared" si="2"/>
        <v>0</v>
      </c>
      <c r="I77" s="67">
        <f t="shared" si="3"/>
        <v>3.6102609227529711E-2</v>
      </c>
      <c r="J77" s="67">
        <f t="shared" si="4"/>
        <v>2.617734533619871E-3</v>
      </c>
      <c r="K77" s="100">
        <f t="shared" si="6"/>
        <v>1.7451563557465805E-3</v>
      </c>
      <c r="O77" s="96">
        <f>Amnt_Deposited!B72</f>
        <v>2058</v>
      </c>
      <c r="P77" s="99">
        <f>Amnt_Deposited!H72</f>
        <v>0</v>
      </c>
      <c r="Q77" s="284">
        <f>MCF!R76</f>
        <v>0.8</v>
      </c>
      <c r="R77" s="67">
        <f t="shared" si="13"/>
        <v>0</v>
      </c>
      <c r="S77" s="67">
        <f t="shared" si="7"/>
        <v>0</v>
      </c>
      <c r="T77" s="67">
        <f t="shared" si="8"/>
        <v>0</v>
      </c>
      <c r="U77" s="67">
        <f t="shared" si="9"/>
        <v>3.9564503263046238E-2</v>
      </c>
      <c r="V77" s="67">
        <f t="shared" si="10"/>
        <v>2.868750173829994E-3</v>
      </c>
      <c r="W77" s="100">
        <f t="shared" si="11"/>
        <v>1.9125001158866626E-3</v>
      </c>
    </row>
    <row r="78" spans="2:23">
      <c r="B78" s="96">
        <f>Amnt_Deposited!B73</f>
        <v>2059</v>
      </c>
      <c r="C78" s="99">
        <f>Amnt_Deposited!H73</f>
        <v>0</v>
      </c>
      <c r="D78" s="418">
        <f>Dry_Matter_Content!H65</f>
        <v>0.73</v>
      </c>
      <c r="E78" s="284">
        <f>MCF!R77</f>
        <v>0.8</v>
      </c>
      <c r="F78" s="67">
        <f t="shared" si="12"/>
        <v>0</v>
      </c>
      <c r="G78" s="67">
        <f t="shared" si="1"/>
        <v>0</v>
      </c>
      <c r="H78" s="67">
        <f t="shared" si="2"/>
        <v>0</v>
      </c>
      <c r="I78" s="67">
        <f t="shared" si="3"/>
        <v>3.3661849726228162E-2</v>
      </c>
      <c r="J78" s="67">
        <f t="shared" si="4"/>
        <v>2.4407595013015474E-3</v>
      </c>
      <c r="K78" s="100">
        <f t="shared" si="6"/>
        <v>1.6271730008676983E-3</v>
      </c>
      <c r="O78" s="96">
        <f>Amnt_Deposited!B73</f>
        <v>2059</v>
      </c>
      <c r="P78" s="99">
        <f>Amnt_Deposited!H73</f>
        <v>0</v>
      </c>
      <c r="Q78" s="284">
        <f>MCF!R77</f>
        <v>0.8</v>
      </c>
      <c r="R78" s="67">
        <f t="shared" si="13"/>
        <v>0</v>
      </c>
      <c r="S78" s="67">
        <f t="shared" si="7"/>
        <v>0</v>
      </c>
      <c r="T78" s="67">
        <f t="shared" si="8"/>
        <v>0</v>
      </c>
      <c r="U78" s="67">
        <f t="shared" si="9"/>
        <v>3.688969833011304E-2</v>
      </c>
      <c r="V78" s="67">
        <f t="shared" si="10"/>
        <v>2.674804932933201E-3</v>
      </c>
      <c r="W78" s="100">
        <f t="shared" si="11"/>
        <v>1.7832032886221339E-3</v>
      </c>
    </row>
    <row r="79" spans="2:23">
      <c r="B79" s="96">
        <f>Amnt_Deposited!B74</f>
        <v>2060</v>
      </c>
      <c r="C79" s="99">
        <f>Amnt_Deposited!H74</f>
        <v>0</v>
      </c>
      <c r="D79" s="418">
        <f>Dry_Matter_Content!H66</f>
        <v>0.73</v>
      </c>
      <c r="E79" s="284">
        <f>MCF!R78</f>
        <v>0.8</v>
      </c>
      <c r="F79" s="67">
        <f t="shared" si="12"/>
        <v>0</v>
      </c>
      <c r="G79" s="67">
        <f t="shared" si="1"/>
        <v>0</v>
      </c>
      <c r="H79" s="67">
        <f t="shared" si="2"/>
        <v>0</v>
      </c>
      <c r="I79" s="67">
        <f t="shared" si="3"/>
        <v>3.1386100651337873E-2</v>
      </c>
      <c r="J79" s="67">
        <f t="shared" si="4"/>
        <v>2.2757490748902868E-3</v>
      </c>
      <c r="K79" s="100">
        <f t="shared" si="6"/>
        <v>1.5171660499268577E-3</v>
      </c>
      <c r="O79" s="96">
        <f>Amnt_Deposited!B74</f>
        <v>2060</v>
      </c>
      <c r="P79" s="99">
        <f>Amnt_Deposited!H74</f>
        <v>0</v>
      </c>
      <c r="Q79" s="284">
        <f>MCF!R78</f>
        <v>0.8</v>
      </c>
      <c r="R79" s="67">
        <f t="shared" si="13"/>
        <v>0</v>
      </c>
      <c r="S79" s="67">
        <f t="shared" si="7"/>
        <v>0</v>
      </c>
      <c r="T79" s="67">
        <f t="shared" si="8"/>
        <v>0</v>
      </c>
      <c r="U79" s="67">
        <f t="shared" si="9"/>
        <v>3.4395726741192179E-2</v>
      </c>
      <c r="V79" s="67">
        <f t="shared" si="10"/>
        <v>2.4939715889208615E-3</v>
      </c>
      <c r="W79" s="100">
        <f t="shared" si="11"/>
        <v>1.6626477259472409E-3</v>
      </c>
    </row>
    <row r="80" spans="2:23">
      <c r="B80" s="96">
        <f>Amnt_Deposited!B75</f>
        <v>2061</v>
      </c>
      <c r="C80" s="99">
        <f>Amnt_Deposited!H75</f>
        <v>0</v>
      </c>
      <c r="D80" s="418">
        <f>Dry_Matter_Content!H67</f>
        <v>0.73</v>
      </c>
      <c r="E80" s="284">
        <f>MCF!R79</f>
        <v>0.8</v>
      </c>
      <c r="F80" s="67">
        <f t="shared" si="12"/>
        <v>0</v>
      </c>
      <c r="G80" s="67">
        <f t="shared" si="1"/>
        <v>0</v>
      </c>
      <c r="H80" s="67">
        <f t="shared" si="2"/>
        <v>0</v>
      </c>
      <c r="I80" s="67">
        <f t="shared" si="3"/>
        <v>2.9264206278253491E-2</v>
      </c>
      <c r="J80" s="67">
        <f t="shared" si="4"/>
        <v>2.1218943730843824E-3</v>
      </c>
      <c r="K80" s="100">
        <f t="shared" si="6"/>
        <v>1.4145962487229216E-3</v>
      </c>
      <c r="O80" s="96">
        <f>Amnt_Deposited!B75</f>
        <v>2061</v>
      </c>
      <c r="P80" s="99">
        <f>Amnt_Deposited!H75</f>
        <v>0</v>
      </c>
      <c r="Q80" s="284">
        <f>MCF!R79</f>
        <v>0.8</v>
      </c>
      <c r="R80" s="67">
        <f t="shared" si="13"/>
        <v>0</v>
      </c>
      <c r="S80" s="67">
        <f t="shared" si="7"/>
        <v>0</v>
      </c>
      <c r="T80" s="67">
        <f t="shared" si="8"/>
        <v>0</v>
      </c>
      <c r="U80" s="67">
        <f t="shared" si="9"/>
        <v>3.2070363044661349E-2</v>
      </c>
      <c r="V80" s="67">
        <f t="shared" si="10"/>
        <v>2.3253636965308295E-3</v>
      </c>
      <c r="W80" s="100">
        <f t="shared" si="11"/>
        <v>1.5502424643538864E-3</v>
      </c>
    </row>
    <row r="81" spans="2:23">
      <c r="B81" s="96">
        <f>Amnt_Deposited!B76</f>
        <v>2062</v>
      </c>
      <c r="C81" s="99">
        <f>Amnt_Deposited!H76</f>
        <v>0</v>
      </c>
      <c r="D81" s="418">
        <f>Dry_Matter_Content!H68</f>
        <v>0.73</v>
      </c>
      <c r="E81" s="284">
        <f>MCF!R80</f>
        <v>0.8</v>
      </c>
      <c r="F81" s="67">
        <f t="shared" si="12"/>
        <v>0</v>
      </c>
      <c r="G81" s="67">
        <f t="shared" si="1"/>
        <v>0</v>
      </c>
      <c r="H81" s="67">
        <f t="shared" si="2"/>
        <v>0</v>
      </c>
      <c r="I81" s="67">
        <f t="shared" si="3"/>
        <v>2.7285765078296408E-2</v>
      </c>
      <c r="J81" s="67">
        <f t="shared" si="4"/>
        <v>1.9784411999570848E-3</v>
      </c>
      <c r="K81" s="100">
        <f t="shared" si="6"/>
        <v>1.3189607999713898E-3</v>
      </c>
      <c r="O81" s="96">
        <f>Amnt_Deposited!B76</f>
        <v>2062</v>
      </c>
      <c r="P81" s="99">
        <f>Amnt_Deposited!H76</f>
        <v>0</v>
      </c>
      <c r="Q81" s="284">
        <f>MCF!R80</f>
        <v>0.8</v>
      </c>
      <c r="R81" s="67">
        <f t="shared" si="13"/>
        <v>0</v>
      </c>
      <c r="S81" s="67">
        <f t="shared" si="7"/>
        <v>0</v>
      </c>
      <c r="T81" s="67">
        <f t="shared" si="8"/>
        <v>0</v>
      </c>
      <c r="U81" s="67">
        <f t="shared" si="9"/>
        <v>2.9902208304982351E-2</v>
      </c>
      <c r="V81" s="67">
        <f t="shared" si="10"/>
        <v>2.1681547396789963E-3</v>
      </c>
      <c r="W81" s="100">
        <f t="shared" si="11"/>
        <v>1.4454364931193308E-3</v>
      </c>
    </row>
    <row r="82" spans="2:23">
      <c r="B82" s="96">
        <f>Amnt_Deposited!B77</f>
        <v>2063</v>
      </c>
      <c r="C82" s="99">
        <f>Amnt_Deposited!H77</f>
        <v>0</v>
      </c>
      <c r="D82" s="418">
        <f>Dry_Matter_Content!H69</f>
        <v>0.73</v>
      </c>
      <c r="E82" s="284">
        <f>MCF!R81</f>
        <v>0.8</v>
      </c>
      <c r="F82" s="67">
        <f t="shared" si="12"/>
        <v>0</v>
      </c>
      <c r="G82" s="67">
        <f t="shared" si="1"/>
        <v>0</v>
      </c>
      <c r="H82" s="67">
        <f t="shared" si="2"/>
        <v>0</v>
      </c>
      <c r="I82" s="67">
        <f t="shared" si="3"/>
        <v>2.5441078730409114E-2</v>
      </c>
      <c r="J82" s="67">
        <f t="shared" si="4"/>
        <v>1.8446863478872944E-3</v>
      </c>
      <c r="K82" s="100">
        <f t="shared" si="6"/>
        <v>1.2297908985915294E-3</v>
      </c>
      <c r="O82" s="96">
        <f>Amnt_Deposited!B77</f>
        <v>2063</v>
      </c>
      <c r="P82" s="99">
        <f>Amnt_Deposited!H77</f>
        <v>0</v>
      </c>
      <c r="Q82" s="284">
        <f>MCF!R81</f>
        <v>0.8</v>
      </c>
      <c r="R82" s="67">
        <f t="shared" si="13"/>
        <v>0</v>
      </c>
      <c r="S82" s="67">
        <f t="shared" si="7"/>
        <v>0</v>
      </c>
      <c r="T82" s="67">
        <f t="shared" si="8"/>
        <v>0</v>
      </c>
      <c r="U82" s="67">
        <f t="shared" si="9"/>
        <v>2.7880634225105866E-2</v>
      </c>
      <c r="V82" s="67">
        <f t="shared" si="10"/>
        <v>2.021574079876486E-3</v>
      </c>
      <c r="W82" s="100">
        <f t="shared" si="11"/>
        <v>1.3477160532509905E-3</v>
      </c>
    </row>
    <row r="83" spans="2:23">
      <c r="B83" s="96">
        <f>Amnt_Deposited!B78</f>
        <v>2064</v>
      </c>
      <c r="C83" s="99">
        <f>Amnt_Deposited!H78</f>
        <v>0</v>
      </c>
      <c r="D83" s="418">
        <f>Dry_Matter_Content!H70</f>
        <v>0.73</v>
      </c>
      <c r="E83" s="284">
        <f>MCF!R82</f>
        <v>0.8</v>
      </c>
      <c r="F83" s="67">
        <f t="shared" ref="F83:F99" si="14">C83*D83*$K$6*DOCF*E83</f>
        <v>0</v>
      </c>
      <c r="G83" s="67">
        <f t="shared" ref="G83:G99" si="15">F83*$K$12</f>
        <v>0</v>
      </c>
      <c r="H83" s="67">
        <f t="shared" ref="H83:H99" si="16">F83*(1-$K$12)</f>
        <v>0</v>
      </c>
      <c r="I83" s="67">
        <f t="shared" ref="I83:I99" si="17">G83+I82*$K$10</f>
        <v>2.3721104579974128E-2</v>
      </c>
      <c r="J83" s="67">
        <f t="shared" ref="J83:J99" si="18">I82*(1-$K$10)+H83</f>
        <v>1.7199741504349874E-3</v>
      </c>
      <c r="K83" s="100">
        <f t="shared" si="6"/>
        <v>1.1466494336233248E-3</v>
      </c>
      <c r="O83" s="96">
        <f>Amnt_Deposited!B78</f>
        <v>2064</v>
      </c>
      <c r="P83" s="99">
        <f>Amnt_Deposited!H78</f>
        <v>0</v>
      </c>
      <c r="Q83" s="284">
        <f>MCF!R82</f>
        <v>0.8</v>
      </c>
      <c r="R83" s="67">
        <f t="shared" ref="R83:R99" si="19">P83*$W$6*DOCF*Q83</f>
        <v>0</v>
      </c>
      <c r="S83" s="67">
        <f t="shared" si="7"/>
        <v>0</v>
      </c>
      <c r="T83" s="67">
        <f t="shared" si="8"/>
        <v>0</v>
      </c>
      <c r="U83" s="67">
        <f t="shared" si="9"/>
        <v>2.5995731046546976E-2</v>
      </c>
      <c r="V83" s="67">
        <f t="shared" si="10"/>
        <v>1.8849031785588895E-3</v>
      </c>
      <c r="W83" s="100">
        <f t="shared" si="11"/>
        <v>1.2566021190392597E-3</v>
      </c>
    </row>
    <row r="84" spans="2:23">
      <c r="B84" s="96">
        <f>Amnt_Deposited!B79</f>
        <v>2065</v>
      </c>
      <c r="C84" s="99">
        <f>Amnt_Deposited!H79</f>
        <v>0</v>
      </c>
      <c r="D84" s="418">
        <f>Dry_Matter_Content!H71</f>
        <v>0.73</v>
      </c>
      <c r="E84" s="284">
        <f>MCF!R83</f>
        <v>0.8</v>
      </c>
      <c r="F84" s="67">
        <f t="shared" si="14"/>
        <v>0</v>
      </c>
      <c r="G84" s="67">
        <f t="shared" si="15"/>
        <v>0</v>
      </c>
      <c r="H84" s="67">
        <f t="shared" si="16"/>
        <v>0</v>
      </c>
      <c r="I84" s="67">
        <f t="shared" si="17"/>
        <v>2.211741131171056E-2</v>
      </c>
      <c r="J84" s="67">
        <f t="shared" si="18"/>
        <v>1.6036932682635661E-3</v>
      </c>
      <c r="K84" s="100">
        <f t="shared" si="6"/>
        <v>1.069128845509044E-3</v>
      </c>
      <c r="O84" s="96">
        <f>Amnt_Deposited!B79</f>
        <v>2065</v>
      </c>
      <c r="P84" s="99">
        <f>Amnt_Deposited!H79</f>
        <v>0</v>
      </c>
      <c r="Q84" s="284">
        <f>MCF!R83</f>
        <v>0.8</v>
      </c>
      <c r="R84" s="67">
        <f t="shared" si="19"/>
        <v>0</v>
      </c>
      <c r="S84" s="67">
        <f t="shared" si="7"/>
        <v>0</v>
      </c>
      <c r="T84" s="67">
        <f t="shared" si="8"/>
        <v>0</v>
      </c>
      <c r="U84" s="67">
        <f t="shared" si="9"/>
        <v>2.4238258971737588E-2</v>
      </c>
      <c r="V84" s="67">
        <f t="shared" si="10"/>
        <v>1.7574720748093867E-3</v>
      </c>
      <c r="W84" s="100">
        <f t="shared" si="11"/>
        <v>1.1716480498729243E-3</v>
      </c>
    </row>
    <row r="85" spans="2:23">
      <c r="B85" s="96">
        <f>Amnt_Deposited!B80</f>
        <v>2066</v>
      </c>
      <c r="C85" s="99">
        <f>Amnt_Deposited!H80</f>
        <v>0</v>
      </c>
      <c r="D85" s="418">
        <f>Dry_Matter_Content!H72</f>
        <v>0.73</v>
      </c>
      <c r="E85" s="284">
        <f>MCF!R84</f>
        <v>0.8</v>
      </c>
      <c r="F85" s="67">
        <f t="shared" si="14"/>
        <v>0</v>
      </c>
      <c r="G85" s="67">
        <f t="shared" si="15"/>
        <v>0</v>
      </c>
      <c r="H85" s="67">
        <f t="shared" si="16"/>
        <v>0</v>
      </c>
      <c r="I85" s="67">
        <f t="shared" si="17"/>
        <v>2.0622137619356839E-2</v>
      </c>
      <c r="J85" s="67">
        <f t="shared" si="18"/>
        <v>1.4952736923537209E-3</v>
      </c>
      <c r="K85" s="100">
        <f t="shared" ref="K85:K99" si="20">J85*CH4_fraction*conv</f>
        <v>9.9684912823581385E-4</v>
      </c>
      <c r="O85" s="96">
        <f>Amnt_Deposited!B80</f>
        <v>2066</v>
      </c>
      <c r="P85" s="99">
        <f>Amnt_Deposited!H80</f>
        <v>0</v>
      </c>
      <c r="Q85" s="284">
        <f>MCF!R84</f>
        <v>0.8</v>
      </c>
      <c r="R85" s="67">
        <f t="shared" si="19"/>
        <v>0</v>
      </c>
      <c r="S85" s="67">
        <f t="shared" ref="S85:S98" si="21">R85*$W$12</f>
        <v>0</v>
      </c>
      <c r="T85" s="67">
        <f t="shared" ref="T85:T98" si="22">R85*(1-$W$12)</f>
        <v>0</v>
      </c>
      <c r="U85" s="67">
        <f t="shared" ref="U85:U98" si="23">S85+U84*$W$10</f>
        <v>2.2599602870528031E-2</v>
      </c>
      <c r="V85" s="67">
        <f t="shared" ref="V85:V98" si="24">U84*(1-$W$10)+T85</f>
        <v>1.6386561012095564E-3</v>
      </c>
      <c r="W85" s="100">
        <f t="shared" ref="W85:W99" si="25">V85*CH4_fraction*conv</f>
        <v>1.0924374008063709E-3</v>
      </c>
    </row>
    <row r="86" spans="2:23">
      <c r="B86" s="96">
        <f>Amnt_Deposited!B81</f>
        <v>2067</v>
      </c>
      <c r="C86" s="99">
        <f>Amnt_Deposited!H81</f>
        <v>0</v>
      </c>
      <c r="D86" s="418">
        <f>Dry_Matter_Content!H73</f>
        <v>0.73</v>
      </c>
      <c r="E86" s="284">
        <f>MCF!R85</f>
        <v>0.8</v>
      </c>
      <c r="F86" s="67">
        <f t="shared" si="14"/>
        <v>0</v>
      </c>
      <c r="G86" s="67">
        <f t="shared" si="15"/>
        <v>0</v>
      </c>
      <c r="H86" s="67">
        <f t="shared" si="16"/>
        <v>0</v>
      </c>
      <c r="I86" s="67">
        <f t="shared" si="17"/>
        <v>1.9227953669538281E-2</v>
      </c>
      <c r="J86" s="67">
        <f t="shared" si="18"/>
        <v>1.3941839498185576E-3</v>
      </c>
      <c r="K86" s="100">
        <f t="shared" si="20"/>
        <v>9.2945596654570506E-4</v>
      </c>
      <c r="O86" s="96">
        <f>Amnt_Deposited!B81</f>
        <v>2067</v>
      </c>
      <c r="P86" s="99">
        <f>Amnt_Deposited!H81</f>
        <v>0</v>
      </c>
      <c r="Q86" s="284">
        <f>MCF!R85</f>
        <v>0.8</v>
      </c>
      <c r="R86" s="67">
        <f t="shared" si="19"/>
        <v>0</v>
      </c>
      <c r="S86" s="67">
        <f t="shared" si="21"/>
        <v>0</v>
      </c>
      <c r="T86" s="67">
        <f t="shared" si="22"/>
        <v>0</v>
      </c>
      <c r="U86" s="67">
        <f t="shared" si="23"/>
        <v>2.1071730048809065E-2</v>
      </c>
      <c r="V86" s="67">
        <f t="shared" si="24"/>
        <v>1.5278728217189665E-3</v>
      </c>
      <c r="W86" s="100">
        <f t="shared" si="25"/>
        <v>1.0185818811459775E-3</v>
      </c>
    </row>
    <row r="87" spans="2:23">
      <c r="B87" s="96">
        <f>Amnt_Deposited!B82</f>
        <v>2068</v>
      </c>
      <c r="C87" s="99">
        <f>Amnt_Deposited!H82</f>
        <v>0</v>
      </c>
      <c r="D87" s="418">
        <f>Dry_Matter_Content!H74</f>
        <v>0.73</v>
      </c>
      <c r="E87" s="284">
        <f>MCF!R86</f>
        <v>0.8</v>
      </c>
      <c r="F87" s="67">
        <f t="shared" si="14"/>
        <v>0</v>
      </c>
      <c r="G87" s="67">
        <f t="shared" si="15"/>
        <v>0</v>
      </c>
      <c r="H87" s="67">
        <f t="shared" si="16"/>
        <v>0</v>
      </c>
      <c r="I87" s="67">
        <f t="shared" si="17"/>
        <v>1.7928025170915393E-2</v>
      </c>
      <c r="J87" s="67">
        <f t="shared" si="18"/>
        <v>1.2999284986228879E-3</v>
      </c>
      <c r="K87" s="100">
        <f t="shared" si="20"/>
        <v>8.6661899908192525E-4</v>
      </c>
      <c r="O87" s="96">
        <f>Amnt_Deposited!B82</f>
        <v>2068</v>
      </c>
      <c r="P87" s="99">
        <f>Amnt_Deposited!H82</f>
        <v>0</v>
      </c>
      <c r="Q87" s="284">
        <f>MCF!R86</f>
        <v>0.8</v>
      </c>
      <c r="R87" s="67">
        <f t="shared" si="19"/>
        <v>0</v>
      </c>
      <c r="S87" s="67">
        <f t="shared" si="21"/>
        <v>0</v>
      </c>
      <c r="T87" s="67">
        <f t="shared" si="22"/>
        <v>0</v>
      </c>
      <c r="U87" s="67">
        <f t="shared" si="23"/>
        <v>1.9647150872236039E-2</v>
      </c>
      <c r="V87" s="67">
        <f t="shared" si="24"/>
        <v>1.4245791765730271E-3</v>
      </c>
      <c r="W87" s="100">
        <f t="shared" si="25"/>
        <v>9.4971945104868464E-4</v>
      </c>
    </row>
    <row r="88" spans="2:23">
      <c r="B88" s="96">
        <f>Amnt_Deposited!B83</f>
        <v>2069</v>
      </c>
      <c r="C88" s="99">
        <f>Amnt_Deposited!H83</f>
        <v>0</v>
      </c>
      <c r="D88" s="418">
        <f>Dry_Matter_Content!H75</f>
        <v>0.73</v>
      </c>
      <c r="E88" s="284">
        <f>MCF!R87</f>
        <v>0.8</v>
      </c>
      <c r="F88" s="67">
        <f t="shared" si="14"/>
        <v>0</v>
      </c>
      <c r="G88" s="67">
        <f t="shared" si="15"/>
        <v>0</v>
      </c>
      <c r="H88" s="67">
        <f t="shared" si="16"/>
        <v>0</v>
      </c>
      <c r="I88" s="67">
        <f t="shared" si="17"/>
        <v>1.6715979872479796E-2</v>
      </c>
      <c r="J88" s="67">
        <f t="shared" si="18"/>
        <v>1.2120452984355986E-3</v>
      </c>
      <c r="K88" s="100">
        <f t="shared" si="20"/>
        <v>8.0803019895706572E-4</v>
      </c>
      <c r="O88" s="96">
        <f>Amnt_Deposited!B83</f>
        <v>2069</v>
      </c>
      <c r="P88" s="99">
        <f>Amnt_Deposited!H83</f>
        <v>0</v>
      </c>
      <c r="Q88" s="284">
        <f>MCF!R87</f>
        <v>0.8</v>
      </c>
      <c r="R88" s="67">
        <f t="shared" si="19"/>
        <v>0</v>
      </c>
      <c r="S88" s="67">
        <f t="shared" si="21"/>
        <v>0</v>
      </c>
      <c r="T88" s="67">
        <f t="shared" si="22"/>
        <v>0</v>
      </c>
      <c r="U88" s="67">
        <f t="shared" si="23"/>
        <v>1.8318882052032644E-2</v>
      </c>
      <c r="V88" s="67">
        <f t="shared" si="24"/>
        <v>1.3282688202033951E-3</v>
      </c>
      <c r="W88" s="100">
        <f t="shared" si="25"/>
        <v>8.8551254680226338E-4</v>
      </c>
    </row>
    <row r="89" spans="2:23">
      <c r="B89" s="96">
        <f>Amnt_Deposited!B84</f>
        <v>2070</v>
      </c>
      <c r="C89" s="99">
        <f>Amnt_Deposited!H84</f>
        <v>0</v>
      </c>
      <c r="D89" s="418">
        <f>Dry_Matter_Content!H76</f>
        <v>0.73</v>
      </c>
      <c r="E89" s="284">
        <f>MCF!R88</f>
        <v>0.8</v>
      </c>
      <c r="F89" s="67">
        <f t="shared" si="14"/>
        <v>0</v>
      </c>
      <c r="G89" s="67">
        <f t="shared" si="15"/>
        <v>0</v>
      </c>
      <c r="H89" s="67">
        <f t="shared" si="16"/>
        <v>0</v>
      </c>
      <c r="I89" s="67">
        <f t="shared" si="17"/>
        <v>1.5585876326772382E-2</v>
      </c>
      <c r="J89" s="67">
        <f t="shared" si="18"/>
        <v>1.1301035457074128E-3</v>
      </c>
      <c r="K89" s="100">
        <f t="shared" si="20"/>
        <v>7.5340236380494181E-4</v>
      </c>
      <c r="O89" s="96">
        <f>Amnt_Deposited!B84</f>
        <v>2070</v>
      </c>
      <c r="P89" s="99">
        <f>Amnt_Deposited!H84</f>
        <v>0</v>
      </c>
      <c r="Q89" s="284">
        <f>MCF!R88</f>
        <v>0.8</v>
      </c>
      <c r="R89" s="67">
        <f t="shared" si="19"/>
        <v>0</v>
      </c>
      <c r="S89" s="67">
        <f t="shared" si="21"/>
        <v>0</v>
      </c>
      <c r="T89" s="67">
        <f t="shared" si="22"/>
        <v>0</v>
      </c>
      <c r="U89" s="67">
        <f t="shared" si="23"/>
        <v>1.7080412412901234E-2</v>
      </c>
      <c r="V89" s="67">
        <f t="shared" si="24"/>
        <v>1.2384696391314108E-3</v>
      </c>
      <c r="W89" s="100">
        <f t="shared" si="25"/>
        <v>8.2564642608760723E-4</v>
      </c>
    </row>
    <row r="90" spans="2:23">
      <c r="B90" s="96">
        <f>Amnt_Deposited!B85</f>
        <v>2071</v>
      </c>
      <c r="C90" s="99">
        <f>Amnt_Deposited!H85</f>
        <v>0</v>
      </c>
      <c r="D90" s="418">
        <f>Dry_Matter_Content!H77</f>
        <v>0.73</v>
      </c>
      <c r="E90" s="284">
        <f>MCF!R89</f>
        <v>0.8</v>
      </c>
      <c r="F90" s="67">
        <f t="shared" si="14"/>
        <v>0</v>
      </c>
      <c r="G90" s="67">
        <f t="shared" si="15"/>
        <v>0</v>
      </c>
      <c r="H90" s="67">
        <f t="shared" si="16"/>
        <v>0</v>
      </c>
      <c r="I90" s="67">
        <f t="shared" si="17"/>
        <v>1.4532174764900992E-2</v>
      </c>
      <c r="J90" s="67">
        <f t="shared" si="18"/>
        <v>1.053701561871391E-3</v>
      </c>
      <c r="K90" s="100">
        <f t="shared" si="20"/>
        <v>7.0246770791426065E-4</v>
      </c>
      <c r="O90" s="96">
        <f>Amnt_Deposited!B85</f>
        <v>2071</v>
      </c>
      <c r="P90" s="99">
        <f>Amnt_Deposited!H85</f>
        <v>0</v>
      </c>
      <c r="Q90" s="284">
        <f>MCF!R89</f>
        <v>0.8</v>
      </c>
      <c r="R90" s="67">
        <f t="shared" si="19"/>
        <v>0</v>
      </c>
      <c r="S90" s="67">
        <f t="shared" si="21"/>
        <v>0</v>
      </c>
      <c r="T90" s="67">
        <f t="shared" si="22"/>
        <v>0</v>
      </c>
      <c r="U90" s="67">
        <f t="shared" si="23"/>
        <v>1.5925670975233956E-2</v>
      </c>
      <c r="V90" s="67">
        <f t="shared" si="24"/>
        <v>1.1547414376672773E-3</v>
      </c>
      <c r="W90" s="100">
        <f t="shared" si="25"/>
        <v>7.6982762511151816E-4</v>
      </c>
    </row>
    <row r="91" spans="2:23">
      <c r="B91" s="96">
        <f>Amnt_Deposited!B86</f>
        <v>2072</v>
      </c>
      <c r="C91" s="99">
        <f>Amnt_Deposited!H86</f>
        <v>0</v>
      </c>
      <c r="D91" s="418">
        <f>Dry_Matter_Content!H78</f>
        <v>0.73</v>
      </c>
      <c r="E91" s="284">
        <f>MCF!R90</f>
        <v>0.8</v>
      </c>
      <c r="F91" s="67">
        <f t="shared" si="14"/>
        <v>0</v>
      </c>
      <c r="G91" s="67">
        <f t="shared" si="15"/>
        <v>0</v>
      </c>
      <c r="H91" s="67">
        <f t="shared" si="16"/>
        <v>0</v>
      </c>
      <c r="I91" s="67">
        <f t="shared" si="17"/>
        <v>1.3549709940586862E-2</v>
      </c>
      <c r="J91" s="67">
        <f t="shared" si="18"/>
        <v>9.8246482431413014E-4</v>
      </c>
      <c r="K91" s="100">
        <f t="shared" si="20"/>
        <v>6.5497654954275336E-4</v>
      </c>
      <c r="O91" s="96">
        <f>Amnt_Deposited!B86</f>
        <v>2072</v>
      </c>
      <c r="P91" s="99">
        <f>Amnt_Deposited!H86</f>
        <v>0</v>
      </c>
      <c r="Q91" s="284">
        <f>MCF!R90</f>
        <v>0.8</v>
      </c>
      <c r="R91" s="67">
        <f t="shared" si="19"/>
        <v>0</v>
      </c>
      <c r="S91" s="67">
        <f t="shared" si="21"/>
        <v>0</v>
      </c>
      <c r="T91" s="67">
        <f t="shared" si="22"/>
        <v>0</v>
      </c>
      <c r="U91" s="67">
        <f t="shared" si="23"/>
        <v>1.4848997195163676E-2</v>
      </c>
      <c r="V91" s="67">
        <f t="shared" si="24"/>
        <v>1.0766737800702792E-3</v>
      </c>
      <c r="W91" s="100">
        <f t="shared" si="25"/>
        <v>7.1778252004685273E-4</v>
      </c>
    </row>
    <row r="92" spans="2:23">
      <c r="B92" s="96">
        <f>Amnt_Deposited!B87</f>
        <v>2073</v>
      </c>
      <c r="C92" s="99">
        <f>Amnt_Deposited!H87</f>
        <v>0</v>
      </c>
      <c r="D92" s="418">
        <f>Dry_Matter_Content!H79</f>
        <v>0.73</v>
      </c>
      <c r="E92" s="284">
        <f>MCF!R91</f>
        <v>0.8</v>
      </c>
      <c r="F92" s="67">
        <f t="shared" si="14"/>
        <v>0</v>
      </c>
      <c r="G92" s="67">
        <f t="shared" si="15"/>
        <v>0</v>
      </c>
      <c r="H92" s="67">
        <f t="shared" si="16"/>
        <v>0</v>
      </c>
      <c r="I92" s="67">
        <f t="shared" si="17"/>
        <v>1.2633665810121384E-2</v>
      </c>
      <c r="J92" s="67">
        <f t="shared" si="18"/>
        <v>9.1604413046547835E-4</v>
      </c>
      <c r="K92" s="100">
        <f t="shared" si="20"/>
        <v>6.1069608697698549E-4</v>
      </c>
      <c r="O92" s="96">
        <f>Amnt_Deposited!B87</f>
        <v>2073</v>
      </c>
      <c r="P92" s="99">
        <f>Amnt_Deposited!H87</f>
        <v>0</v>
      </c>
      <c r="Q92" s="284">
        <f>MCF!R91</f>
        <v>0.8</v>
      </c>
      <c r="R92" s="67">
        <f t="shared" si="19"/>
        <v>0</v>
      </c>
      <c r="S92" s="67">
        <f t="shared" si="21"/>
        <v>0</v>
      </c>
      <c r="T92" s="67">
        <f t="shared" si="22"/>
        <v>0</v>
      </c>
      <c r="U92" s="67">
        <f t="shared" si="23"/>
        <v>1.3845113216571371E-2</v>
      </c>
      <c r="V92" s="67">
        <f t="shared" si="24"/>
        <v>1.0038839785923045E-3</v>
      </c>
      <c r="W92" s="100">
        <f t="shared" si="25"/>
        <v>6.6925598572820295E-4</v>
      </c>
    </row>
    <row r="93" spans="2:23">
      <c r="B93" s="96">
        <f>Amnt_Deposited!B88</f>
        <v>2074</v>
      </c>
      <c r="C93" s="99">
        <f>Amnt_Deposited!H88</f>
        <v>0</v>
      </c>
      <c r="D93" s="418">
        <f>Dry_Matter_Content!H80</f>
        <v>0.73</v>
      </c>
      <c r="E93" s="284">
        <f>MCF!R92</f>
        <v>0.8</v>
      </c>
      <c r="F93" s="67">
        <f t="shared" si="14"/>
        <v>0</v>
      </c>
      <c r="G93" s="67">
        <f t="shared" si="15"/>
        <v>0</v>
      </c>
      <c r="H93" s="67">
        <f t="shared" si="16"/>
        <v>0</v>
      </c>
      <c r="I93" s="67">
        <f t="shared" si="17"/>
        <v>1.1779551924114253E-2</v>
      </c>
      <c r="J93" s="67">
        <f t="shared" si="18"/>
        <v>8.5411388600713017E-4</v>
      </c>
      <c r="K93" s="100">
        <f t="shared" si="20"/>
        <v>5.6940925733808671E-4</v>
      </c>
      <c r="O93" s="96">
        <f>Amnt_Deposited!B88</f>
        <v>2074</v>
      </c>
      <c r="P93" s="99">
        <f>Amnt_Deposited!H88</f>
        <v>0</v>
      </c>
      <c r="Q93" s="284">
        <f>MCF!R92</f>
        <v>0.8</v>
      </c>
      <c r="R93" s="67">
        <f t="shared" si="19"/>
        <v>0</v>
      </c>
      <c r="S93" s="67">
        <f t="shared" si="21"/>
        <v>0</v>
      </c>
      <c r="T93" s="67">
        <f t="shared" si="22"/>
        <v>0</v>
      </c>
      <c r="U93" s="67">
        <f t="shared" si="23"/>
        <v>1.2909097999029312E-2</v>
      </c>
      <c r="V93" s="67">
        <f t="shared" si="24"/>
        <v>9.3601521754205989E-4</v>
      </c>
      <c r="W93" s="100">
        <f t="shared" si="25"/>
        <v>6.2401014502803985E-4</v>
      </c>
    </row>
    <row r="94" spans="2:23">
      <c r="B94" s="96">
        <f>Amnt_Deposited!B89</f>
        <v>2075</v>
      </c>
      <c r="C94" s="99">
        <f>Amnt_Deposited!H89</f>
        <v>0</v>
      </c>
      <c r="D94" s="418">
        <f>Dry_Matter_Content!H81</f>
        <v>0.73</v>
      </c>
      <c r="E94" s="284">
        <f>MCF!R93</f>
        <v>0.8</v>
      </c>
      <c r="F94" s="67">
        <f t="shared" si="14"/>
        <v>0</v>
      </c>
      <c r="G94" s="67">
        <f t="shared" si="15"/>
        <v>0</v>
      </c>
      <c r="H94" s="67">
        <f t="shared" si="16"/>
        <v>0</v>
      </c>
      <c r="I94" s="67">
        <f t="shared" si="17"/>
        <v>1.0983181415305351E-2</v>
      </c>
      <c r="J94" s="67">
        <f t="shared" si="18"/>
        <v>7.9637050880890172E-4</v>
      </c>
      <c r="K94" s="100">
        <f t="shared" si="20"/>
        <v>5.3091367253926781E-4</v>
      </c>
      <c r="O94" s="96">
        <f>Amnt_Deposited!B89</f>
        <v>2075</v>
      </c>
      <c r="P94" s="99">
        <f>Amnt_Deposited!H89</f>
        <v>0</v>
      </c>
      <c r="Q94" s="284">
        <f>MCF!R93</f>
        <v>0.8</v>
      </c>
      <c r="R94" s="67">
        <f t="shared" si="19"/>
        <v>0</v>
      </c>
      <c r="S94" s="67">
        <f t="shared" si="21"/>
        <v>0</v>
      </c>
      <c r="T94" s="67">
        <f t="shared" si="22"/>
        <v>0</v>
      </c>
      <c r="U94" s="67">
        <f t="shared" si="23"/>
        <v>1.2036363194855173E-2</v>
      </c>
      <c r="V94" s="67">
        <f t="shared" si="24"/>
        <v>8.7273480417413842E-4</v>
      </c>
      <c r="W94" s="100">
        <f t="shared" si="25"/>
        <v>5.8182320278275888E-4</v>
      </c>
    </row>
    <row r="95" spans="2:23">
      <c r="B95" s="96">
        <f>Amnt_Deposited!B90</f>
        <v>2076</v>
      </c>
      <c r="C95" s="99">
        <f>Amnt_Deposited!H90</f>
        <v>0</v>
      </c>
      <c r="D95" s="418">
        <f>Dry_Matter_Content!H82</f>
        <v>0.73</v>
      </c>
      <c r="E95" s="284">
        <f>MCF!R94</f>
        <v>0.8</v>
      </c>
      <c r="F95" s="67">
        <f t="shared" si="14"/>
        <v>0</v>
      </c>
      <c r="G95" s="67">
        <f t="shared" si="15"/>
        <v>0</v>
      </c>
      <c r="H95" s="67">
        <f t="shared" si="16"/>
        <v>0</v>
      </c>
      <c r="I95" s="67">
        <f t="shared" si="17"/>
        <v>1.0240650474536575E-2</v>
      </c>
      <c r="J95" s="67">
        <f t="shared" si="18"/>
        <v>7.4253094076877552E-4</v>
      </c>
      <c r="K95" s="100">
        <f t="shared" si="20"/>
        <v>4.9502062717918368E-4</v>
      </c>
      <c r="O95" s="96">
        <f>Amnt_Deposited!B90</f>
        <v>2076</v>
      </c>
      <c r="P95" s="99">
        <f>Amnt_Deposited!H90</f>
        <v>0</v>
      </c>
      <c r="Q95" s="284">
        <f>MCF!R94</f>
        <v>0.8</v>
      </c>
      <c r="R95" s="67">
        <f t="shared" si="19"/>
        <v>0</v>
      </c>
      <c r="S95" s="67">
        <f t="shared" si="21"/>
        <v>0</v>
      </c>
      <c r="T95" s="67">
        <f t="shared" si="22"/>
        <v>0</v>
      </c>
      <c r="U95" s="67">
        <f t="shared" si="23"/>
        <v>1.1222630657026379E-2</v>
      </c>
      <c r="V95" s="67">
        <f t="shared" si="24"/>
        <v>8.1373253782879469E-4</v>
      </c>
      <c r="W95" s="100">
        <f t="shared" si="25"/>
        <v>5.4248835855252972E-4</v>
      </c>
    </row>
    <row r="96" spans="2:23">
      <c r="B96" s="96">
        <f>Amnt_Deposited!B91</f>
        <v>2077</v>
      </c>
      <c r="C96" s="99">
        <f>Amnt_Deposited!H91</f>
        <v>0</v>
      </c>
      <c r="D96" s="418">
        <f>Dry_Matter_Content!H83</f>
        <v>0.73</v>
      </c>
      <c r="E96" s="284">
        <f>MCF!R95</f>
        <v>0.8</v>
      </c>
      <c r="F96" s="67">
        <f t="shared" si="14"/>
        <v>0</v>
      </c>
      <c r="G96" s="67">
        <f t="shared" si="15"/>
        <v>0</v>
      </c>
      <c r="H96" s="67">
        <f t="shared" si="16"/>
        <v>0</v>
      </c>
      <c r="I96" s="67">
        <f t="shared" si="17"/>
        <v>9.5483192142748197E-3</v>
      </c>
      <c r="J96" s="67">
        <f t="shared" si="18"/>
        <v>6.9233126026175596E-4</v>
      </c>
      <c r="K96" s="100">
        <f t="shared" si="20"/>
        <v>4.6155417350783731E-4</v>
      </c>
      <c r="O96" s="96">
        <f>Amnt_Deposited!B91</f>
        <v>2077</v>
      </c>
      <c r="P96" s="99">
        <f>Amnt_Deposited!H91</f>
        <v>0</v>
      </c>
      <c r="Q96" s="284">
        <f>MCF!R95</f>
        <v>0.8</v>
      </c>
      <c r="R96" s="67">
        <f t="shared" si="19"/>
        <v>0</v>
      </c>
      <c r="S96" s="67">
        <f t="shared" si="21"/>
        <v>0</v>
      </c>
      <c r="T96" s="67">
        <f t="shared" si="22"/>
        <v>0</v>
      </c>
      <c r="U96" s="67">
        <f t="shared" si="23"/>
        <v>1.0463911467698428E-2</v>
      </c>
      <c r="V96" s="67">
        <f t="shared" si="24"/>
        <v>7.5871918932795136E-4</v>
      </c>
      <c r="W96" s="100">
        <f t="shared" si="25"/>
        <v>5.0581279288530083E-4</v>
      </c>
    </row>
    <row r="97" spans="2:23">
      <c r="B97" s="96">
        <f>Amnt_Deposited!B92</f>
        <v>2078</v>
      </c>
      <c r="C97" s="99">
        <f>Amnt_Deposited!H92</f>
        <v>0</v>
      </c>
      <c r="D97" s="418">
        <f>Dry_Matter_Content!H84</f>
        <v>0.73</v>
      </c>
      <c r="E97" s="284">
        <f>MCF!R96</f>
        <v>0.8</v>
      </c>
      <c r="F97" s="67">
        <f t="shared" si="14"/>
        <v>0</v>
      </c>
      <c r="G97" s="67">
        <f t="shared" si="15"/>
        <v>0</v>
      </c>
      <c r="H97" s="67">
        <f t="shared" si="16"/>
        <v>0</v>
      </c>
      <c r="I97" s="67">
        <f t="shared" si="17"/>
        <v>8.9027938258790622E-3</v>
      </c>
      <c r="J97" s="67">
        <f t="shared" si="18"/>
        <v>6.4552538839575792E-4</v>
      </c>
      <c r="K97" s="100">
        <f t="shared" si="20"/>
        <v>4.3035025893050526E-4</v>
      </c>
      <c r="O97" s="96">
        <f>Amnt_Deposited!B92</f>
        <v>2078</v>
      </c>
      <c r="P97" s="99">
        <f>Amnt_Deposited!H92</f>
        <v>0</v>
      </c>
      <c r="Q97" s="284">
        <f>MCF!R96</f>
        <v>0.8</v>
      </c>
      <c r="R97" s="67">
        <f t="shared" si="19"/>
        <v>0</v>
      </c>
      <c r="S97" s="67">
        <f t="shared" si="21"/>
        <v>0</v>
      </c>
      <c r="T97" s="67">
        <f t="shared" si="22"/>
        <v>0</v>
      </c>
      <c r="U97" s="67">
        <f t="shared" si="23"/>
        <v>9.7564863845249952E-3</v>
      </c>
      <c r="V97" s="67">
        <f t="shared" si="24"/>
        <v>7.0742508317343301E-4</v>
      </c>
      <c r="W97" s="100">
        <f t="shared" si="25"/>
        <v>4.7161672211562197E-4</v>
      </c>
    </row>
    <row r="98" spans="2:23">
      <c r="B98" s="96">
        <f>Amnt_Deposited!B93</f>
        <v>2079</v>
      </c>
      <c r="C98" s="99">
        <f>Amnt_Deposited!H93</f>
        <v>0</v>
      </c>
      <c r="D98" s="418">
        <f>Dry_Matter_Content!H85</f>
        <v>0.73</v>
      </c>
      <c r="E98" s="284">
        <f>MCF!R97</f>
        <v>0.8</v>
      </c>
      <c r="F98" s="67">
        <f t="shared" si="14"/>
        <v>0</v>
      </c>
      <c r="G98" s="67">
        <f t="shared" si="15"/>
        <v>0</v>
      </c>
      <c r="H98" s="67">
        <f t="shared" si="16"/>
        <v>0</v>
      </c>
      <c r="I98" s="67">
        <f t="shared" si="17"/>
        <v>8.3009099431464711E-3</v>
      </c>
      <c r="J98" s="67">
        <f t="shared" si="18"/>
        <v>6.0188388273259166E-4</v>
      </c>
      <c r="K98" s="100">
        <f t="shared" si="20"/>
        <v>4.0125592182172778E-4</v>
      </c>
      <c r="O98" s="96">
        <f>Amnt_Deposited!B93</f>
        <v>2079</v>
      </c>
      <c r="P98" s="99">
        <f>Amnt_Deposited!H93</f>
        <v>0</v>
      </c>
      <c r="Q98" s="284">
        <f>MCF!R97</f>
        <v>0.8</v>
      </c>
      <c r="R98" s="67">
        <f t="shared" si="19"/>
        <v>0</v>
      </c>
      <c r="S98" s="67">
        <f t="shared" si="21"/>
        <v>0</v>
      </c>
      <c r="T98" s="67">
        <f t="shared" si="22"/>
        <v>0</v>
      </c>
      <c r="U98" s="67">
        <f t="shared" si="23"/>
        <v>9.0968876089276354E-3</v>
      </c>
      <c r="V98" s="67">
        <f t="shared" si="24"/>
        <v>6.5959877559736038E-4</v>
      </c>
      <c r="W98" s="100">
        <f t="shared" si="25"/>
        <v>4.3973251706490692E-4</v>
      </c>
    </row>
    <row r="99" spans="2:23" ht="13.5" thickBot="1">
      <c r="B99" s="97">
        <f>Amnt_Deposited!B94</f>
        <v>2080</v>
      </c>
      <c r="C99" s="101">
        <f>Amnt_Deposited!H94</f>
        <v>0</v>
      </c>
      <c r="D99" s="419">
        <f>Dry_Matter_Content!H86</f>
        <v>0.73</v>
      </c>
      <c r="E99" s="285">
        <f>MCF!R98</f>
        <v>0.8</v>
      </c>
      <c r="F99" s="68">
        <f t="shared" si="14"/>
        <v>0</v>
      </c>
      <c r="G99" s="68">
        <f t="shared" si="15"/>
        <v>0</v>
      </c>
      <c r="H99" s="68">
        <f t="shared" si="16"/>
        <v>0</v>
      </c>
      <c r="I99" s="68">
        <f t="shared" si="17"/>
        <v>7.7397171305856058E-3</v>
      </c>
      <c r="J99" s="68">
        <f t="shared" si="18"/>
        <v>5.6119281256086502E-4</v>
      </c>
      <c r="K99" s="102">
        <f t="shared" si="20"/>
        <v>3.7412854170724335E-4</v>
      </c>
      <c r="O99" s="97">
        <f>Amnt_Deposited!B94</f>
        <v>2080</v>
      </c>
      <c r="P99" s="101">
        <f>Amnt_Deposited!H94</f>
        <v>0</v>
      </c>
      <c r="Q99" s="285">
        <f>MCF!R98</f>
        <v>0.8</v>
      </c>
      <c r="R99" s="68">
        <f t="shared" si="19"/>
        <v>0</v>
      </c>
      <c r="S99" s="68">
        <f>R99*$W$12</f>
        <v>0</v>
      </c>
      <c r="T99" s="68">
        <f>R99*(1-$W$12)</f>
        <v>0</v>
      </c>
      <c r="U99" s="68">
        <f>S99+U98*$W$10</f>
        <v>8.4818817869431254E-3</v>
      </c>
      <c r="V99" s="68">
        <f>U98*(1-$W$10)+T99</f>
        <v>6.1500582198450928E-4</v>
      </c>
      <c r="W99" s="102">
        <f t="shared" si="25"/>
        <v>4.1000388132300615E-4</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0.8</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0.8</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0.8</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0.8</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0.8</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0.8</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0.8</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0.8</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0.8</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0.8</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0.8</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0.8</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0.8</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0.8</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0.8</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0.8</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0.8</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0.8</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0.8</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0.8</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0.8</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0.8</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0.8</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0.8</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0.8</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0.8</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0.8</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0.8</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0.8</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0.8</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0.8</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0.8</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0.8</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0.8</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0.8</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0.8</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0.8</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0.8</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0.8</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0.8</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0.8</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0.8</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0.8</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0.8</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0.8</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0.8</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0.8</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0.8</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0.8</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0.8</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0.8</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0.8</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0.8</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0.8</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0.8</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0.8</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0.8</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0.8</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0.8</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0.8</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0.8</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0.8</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0.8</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0.8</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0.8</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0.8</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0.8</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0.8</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0.8</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0.8</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0.8</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0.8</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0.8</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0.8</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0.8</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0.8</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0.8</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0.8</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0.8</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0.8</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0.8</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0.8</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0.8</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0.8</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0.8</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0.8</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0.8</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0.8</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0.8</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0.8</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0.8</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0.8</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0.8</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0.8</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0.8</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0.8</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0.8</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0.8</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0.8</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0.8</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0.8</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0.8</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0.8</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0.8</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0.8</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0.8</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0.8</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0.8</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0.8</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0.8</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0.8</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0.8</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0.8</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0.8</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0.8</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0.8</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0.8</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0.8</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0.8</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0.8</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0.8</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0.8</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0.8</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0.8</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0.8</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0.8</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0.8</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0.8</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0.8</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0.8</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0.8</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0.8</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0.8</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0.8</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0.8</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0.8</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0.8</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0.8</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0.8</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0.8</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0.8</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0.8</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88" t="s">
        <v>342</v>
      </c>
      <c r="E2" s="789"/>
      <c r="F2" s="790"/>
    </row>
    <row r="3" spans="1:18" ht="16.5" thickBot="1">
      <c r="B3" s="12"/>
      <c r="C3" s="5" t="s">
        <v>276</v>
      </c>
      <c r="D3" s="788" t="s">
        <v>337</v>
      </c>
      <c r="E3" s="789"/>
      <c r="F3" s="790"/>
    </row>
    <row r="4" spans="1:18" ht="16.5" thickBot="1">
      <c r="B4" s="12"/>
      <c r="C4" s="5" t="s">
        <v>30</v>
      </c>
      <c r="D4" s="788" t="s">
        <v>266</v>
      </c>
      <c r="E4" s="789"/>
      <c r="F4" s="790"/>
    </row>
    <row r="5" spans="1:18" ht="16.5" thickBot="1">
      <c r="B5" s="12"/>
      <c r="C5" s="5" t="s">
        <v>117</v>
      </c>
      <c r="D5" s="791"/>
      <c r="E5" s="792"/>
      <c r="F5" s="793"/>
    </row>
    <row r="6" spans="1:18">
      <c r="B6" s="13" t="s">
        <v>201</v>
      </c>
    </row>
    <row r="7" spans="1:18">
      <c r="B7" s="20" t="s">
        <v>31</v>
      </c>
    </row>
    <row r="8" spans="1:18" ht="13.5" thickBot="1">
      <c r="B8" s="20"/>
    </row>
    <row r="9" spans="1:18" ht="12.75" customHeight="1">
      <c r="A9" s="1"/>
      <c r="C9" s="786" t="s">
        <v>18</v>
      </c>
      <c r="D9" s="787"/>
      <c r="E9" s="784" t="s">
        <v>100</v>
      </c>
      <c r="F9" s="785"/>
      <c r="H9" s="786" t="s">
        <v>18</v>
      </c>
      <c r="I9" s="787"/>
      <c r="J9" s="784" t="s">
        <v>100</v>
      </c>
      <c r="K9" s="785"/>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782" t="s">
        <v>250</v>
      </c>
      <c r="D12" s="783"/>
      <c r="E12" s="782" t="s">
        <v>250</v>
      </c>
      <c r="F12" s="783"/>
      <c r="H12" s="782" t="s">
        <v>251</v>
      </c>
      <c r="I12" s="783"/>
      <c r="J12" s="782" t="s">
        <v>251</v>
      </c>
      <c r="K12" s="783"/>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32">
        <f>INDEX(DOC_table,IF(Select2=1,1,14),1)</f>
        <v>0.38</v>
      </c>
      <c r="E15" s="350">
        <f>D15</f>
        <v>0.38</v>
      </c>
      <c r="F15" s="132"/>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0.38</v>
      </c>
      <c r="Q15" s="40" t="s">
        <v>6</v>
      </c>
      <c r="R15" s="388">
        <f>IF(Select2=1,J15,0)</f>
        <v>0.15</v>
      </c>
    </row>
    <row r="16" spans="1:18">
      <c r="B16" s="8" t="str">
        <f>IF(Select2=1,"Paper/cardboard","Sewage sludge")</f>
        <v>Paper/cardboard</v>
      </c>
      <c r="C16" s="158" t="str">
        <f>INDEX(DOC_table,IF(Select2=1,2,13),2)</f>
        <v>0.40-0.50</v>
      </c>
      <c r="D16" s="32">
        <f>INDEX(DOC_table,IF(Select2=1,2,13),1)</f>
        <v>0.44</v>
      </c>
      <c r="E16" s="259">
        <f>D16</f>
        <v>0.44</v>
      </c>
      <c r="F16" s="239"/>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0.44</v>
      </c>
      <c r="Q16" s="411" t="s">
        <v>262</v>
      </c>
      <c r="R16" s="389">
        <f>IF(Select2=1,J16,J63)</f>
        <v>0.4</v>
      </c>
    </row>
    <row r="17" spans="2:18">
      <c r="B17" s="2" t="str">
        <f>IF(Select2=1,"Garden and Park waste","Industrial waste")</f>
        <v>Garden and Park waste</v>
      </c>
      <c r="C17" s="158" t="str">
        <f>INDEX(DOC_table,IF(Select2=1,3,15),2)</f>
        <v>0.45-0.55</v>
      </c>
      <c r="D17" s="32">
        <f>INDEX(DOC_table,IF(Select2=1,3,15),1)</f>
        <v>0.49</v>
      </c>
      <c r="E17" s="259">
        <f t="shared" ref="E17:E25" si="0">D17</f>
        <v>0.49</v>
      </c>
      <c r="F17" s="239"/>
      <c r="H17" s="158" t="str">
        <f>INDEX(DOC_table,IF(Select2=1,3,15),4)</f>
        <v>0.18-0.22</v>
      </c>
      <c r="I17" s="32">
        <f>INDEX(DOC_table,IF(Select2=1,3,15),3)</f>
        <v>0.2</v>
      </c>
      <c r="J17" s="259">
        <f>I17</f>
        <v>0.2</v>
      </c>
      <c r="K17" s="239"/>
      <c r="L17" s="6"/>
      <c r="N17" s="410" t="s">
        <v>261</v>
      </c>
      <c r="O17" s="2">
        <f>IF(Select2=1,E17,E62)</f>
        <v>0.49</v>
      </c>
      <c r="Q17" s="410" t="s">
        <v>261</v>
      </c>
      <c r="R17" s="389">
        <f>IF(Select2=1,J17,J62)</f>
        <v>0.2</v>
      </c>
    </row>
    <row r="18" spans="2:18">
      <c r="B18" s="2" t="str">
        <f>IF(Select2=1,"Textiles","")</f>
        <v>Textiles</v>
      </c>
      <c r="C18" s="159" t="str">
        <f>IF(Select2=1,INDEX(DOC_table,4,2),"")</f>
        <v>0.25-0.50</v>
      </c>
      <c r="D18" s="16">
        <f>IF(Select2=1,INDEX(DOC_table,4,1),"")</f>
        <v>0.3</v>
      </c>
      <c r="E18" s="259">
        <f t="shared" si="0"/>
        <v>0.3</v>
      </c>
      <c r="F18" s="239"/>
      <c r="H18" s="159" t="str">
        <f>IF(Select2=1,INDEX(DOC_table,4,4),"")</f>
        <v>0.20-0.40</v>
      </c>
      <c r="I18" s="16">
        <f>IF(Select2=1,INDEX(DOC_table,4,3),"")</f>
        <v>0.24</v>
      </c>
      <c r="J18" s="259">
        <f>I18</f>
        <v>0.24</v>
      </c>
      <c r="K18" s="239"/>
      <c r="L18" s="6"/>
      <c r="N18" s="2" t="s">
        <v>16</v>
      </c>
      <c r="O18" s="2">
        <f>IF(Select2=1,E18,0)</f>
        <v>0.3</v>
      </c>
      <c r="Q18" s="2" t="s">
        <v>16</v>
      </c>
      <c r="R18" s="389">
        <f>IF(Select2=1,J18,0)</f>
        <v>0.24</v>
      </c>
    </row>
    <row r="19" spans="2:18">
      <c r="B19" s="2" t="str">
        <f>IF(Select2=1,"Rubber and Leather","")</f>
        <v>Rubber and Leather</v>
      </c>
      <c r="C19" s="159" t="str">
        <f>IF(Select2=1,INDEX(DOC_table,5,2),"")</f>
        <v>0.47</v>
      </c>
      <c r="D19" s="16">
        <f>IF(Select2=1,INDEX(DOC_table,5,1),"")</f>
        <v>0.47</v>
      </c>
      <c r="E19" s="259">
        <f t="shared" si="0"/>
        <v>0.47</v>
      </c>
      <c r="F19" s="239"/>
      <c r="H19" s="159" t="str">
        <f>IF(Select2=1,INDEX(DOC_table,5,4),"")</f>
        <v>0.39</v>
      </c>
      <c r="I19" s="16">
        <f>IF(Select2=1,INDEX(DOC_table,5,3),"")</f>
        <v>0.39</v>
      </c>
      <c r="J19" s="259">
        <f t="shared" ref="J19:J25" si="1">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389">
        <f>IF(Select2=1,J19,0)</f>
        <v>0.39</v>
      </c>
    </row>
    <row r="20" spans="2:18">
      <c r="B20" s="2" t="str">
        <f>IF(Select2=1,"Wood","")</f>
        <v>Wood</v>
      </c>
      <c r="C20" s="159" t="str">
        <f>IF(Select2=1,INDEX(DOC_table,6,2),"")</f>
        <v>0.46-0.54</v>
      </c>
      <c r="D20" s="16">
        <f>IF(Select2=1,INDEX(DOC_table,6,1),"")</f>
        <v>0.5</v>
      </c>
      <c r="E20" s="259">
        <f t="shared" si="0"/>
        <v>0.5</v>
      </c>
      <c r="F20" s="239"/>
      <c r="H20" s="159" t="str">
        <f>IF(Select2=1,INDEX(DOC_table,6,4),"")</f>
        <v>0.39-0.46</v>
      </c>
      <c r="I20" s="16">
        <f>IF(Select2=1,INDEX(DOC_table,6,3),"")</f>
        <v>0.43</v>
      </c>
      <c r="J20" s="259">
        <f t="shared" si="1"/>
        <v>0.43</v>
      </c>
      <c r="K20" s="239"/>
      <c r="L20" s="544"/>
      <c r="N20" s="409" t="s">
        <v>2</v>
      </c>
      <c r="O20" s="2">
        <f>IF(Select2=1,E20,E64)</f>
        <v>0.5</v>
      </c>
      <c r="Q20" s="409" t="s">
        <v>2</v>
      </c>
      <c r="R20" s="389">
        <f>IF(Select2=1,J20,J64)</f>
        <v>0.43</v>
      </c>
    </row>
    <row r="21" spans="2:18">
      <c r="B21" s="2" t="str">
        <f>IF(Select2=1,"Nappies","")</f>
        <v>Nappies</v>
      </c>
      <c r="C21" s="159" t="str">
        <f>IF(Select2=1,INDEX(DOC_table,7,2),"")</f>
        <v>0.44-0.80</v>
      </c>
      <c r="D21" s="16">
        <f>IF(Select2=1,INDEX(DOC_table,7,1),"")</f>
        <v>0.6</v>
      </c>
      <c r="E21" s="259">
        <f t="shared" si="0"/>
        <v>0.6</v>
      </c>
      <c r="F21" s="239"/>
      <c r="H21" s="159" t="str">
        <f>IF(Select2=1,INDEX(DOC_table,7,4),"")</f>
        <v>0.18-0.32</v>
      </c>
      <c r="I21" s="16">
        <f>IF(Select2=1,INDEX(DOC_table,7,3),"")</f>
        <v>0.24</v>
      </c>
      <c r="J21" s="259">
        <f t="shared" si="1"/>
        <v>0.24</v>
      </c>
      <c r="K21" s="239"/>
      <c r="L21" s="544"/>
      <c r="N21" s="409" t="s">
        <v>267</v>
      </c>
      <c r="O21" s="2">
        <f>IF(Select2=1,E21,0)</f>
        <v>0.6</v>
      </c>
      <c r="Q21" s="409" t="s">
        <v>267</v>
      </c>
      <c r="R21" s="389">
        <f>IF(Select2=1,J21,0)</f>
        <v>0.24</v>
      </c>
    </row>
    <row r="22" spans="2:18">
      <c r="B22" s="146" t="str">
        <f>IF(Select2=1,"Plastics","")</f>
        <v>Plastics</v>
      </c>
      <c r="C22" s="160">
        <f>IF(Select2=1,INDEX(DOC_table,9,2),"")</f>
        <v>0</v>
      </c>
      <c r="D22" s="193">
        <f>IF(Select2=1,INDEX(DOC_table,9,1),"")</f>
        <v>0</v>
      </c>
      <c r="E22" s="259">
        <f t="shared" si="0"/>
        <v>0</v>
      </c>
      <c r="F22" s="239"/>
      <c r="H22" s="160">
        <f>IF(Select2=1,INDEX(DOC_table,9,4),"")</f>
        <v>0</v>
      </c>
      <c r="I22" s="193">
        <f>IF(Select2=1,INDEX(DOC_table,9,3),"")</f>
        <v>0</v>
      </c>
      <c r="J22" s="259">
        <f t="shared" si="1"/>
        <v>0</v>
      </c>
      <c r="K22" s="239"/>
      <c r="L22" s="258"/>
      <c r="N22" s="146" t="s">
        <v>230</v>
      </c>
      <c r="O22" s="2">
        <f>IF(Select2=1,E22,0)</f>
        <v>0</v>
      </c>
      <c r="Q22" s="146" t="s">
        <v>230</v>
      </c>
      <c r="R22" s="389">
        <f>IF(Select2=1,J22,0)</f>
        <v>0</v>
      </c>
    </row>
    <row r="23" spans="2:18">
      <c r="B23" s="146" t="str">
        <f>IF(Select2=1,"Metal","")</f>
        <v>Metal</v>
      </c>
      <c r="C23" s="160">
        <f>IF(Select2=1,INDEX(DOC_table,10,2),"")</f>
        <v>0</v>
      </c>
      <c r="D23" s="193">
        <f>IF(Select2=1,INDEX(DOC_table,10,1),"")</f>
        <v>0</v>
      </c>
      <c r="E23" s="259">
        <f t="shared" si="0"/>
        <v>0</v>
      </c>
      <c r="F23" s="239"/>
      <c r="H23" s="160">
        <f>IF(Select2=1,INDEX(DOC_table,10,4),"")</f>
        <v>0</v>
      </c>
      <c r="I23" s="193">
        <f>IF(Select2=1,INDEX(DOC_table,10,3),"")</f>
        <v>0</v>
      </c>
      <c r="J23" s="259">
        <f t="shared" si="1"/>
        <v>0</v>
      </c>
      <c r="K23" s="239"/>
      <c r="L23" s="258"/>
      <c r="N23" s="146" t="s">
        <v>231</v>
      </c>
      <c r="O23" s="2">
        <f>IF(Select2=1,E23,0)</f>
        <v>0</v>
      </c>
      <c r="Q23" s="146" t="s">
        <v>231</v>
      </c>
      <c r="R23" s="389">
        <f>IF(Select2=1,J23,0)</f>
        <v>0</v>
      </c>
    </row>
    <row r="24" spans="2:18">
      <c r="B24" s="146" t="str">
        <f>IF(Select2=1,"Glass","")</f>
        <v>Glass</v>
      </c>
      <c r="C24" s="160">
        <f>IF(Select2=1,INDEX(DOC_table,11,2),"")</f>
        <v>0</v>
      </c>
      <c r="D24" s="193">
        <f>IF(Select2=1,INDEX(DOC_table,11,1),"")</f>
        <v>0</v>
      </c>
      <c r="E24" s="259">
        <f t="shared" si="0"/>
        <v>0</v>
      </c>
      <c r="F24" s="239"/>
      <c r="H24" s="160">
        <f>IF(Select2=1,INDEX(DOC_table,11,4),"")</f>
        <v>0</v>
      </c>
      <c r="I24" s="193">
        <f>IF(Select2=1,INDEX(DOC_table,11,3),"")</f>
        <v>0</v>
      </c>
      <c r="J24" s="259">
        <f t="shared" si="1"/>
        <v>0</v>
      </c>
      <c r="K24" s="239"/>
      <c r="L24" s="258"/>
      <c r="N24" s="146" t="s">
        <v>232</v>
      </c>
      <c r="O24" s="2">
        <f>IF(Select2=1,E24,0)</f>
        <v>0</v>
      </c>
      <c r="Q24" s="146" t="s">
        <v>232</v>
      </c>
      <c r="R24" s="389">
        <f>IF(Select2=1,J24,0)</f>
        <v>0</v>
      </c>
    </row>
    <row r="25" spans="2:18">
      <c r="B25" s="146" t="str">
        <f>IF(Select2=1,"Other","")</f>
        <v>Other</v>
      </c>
      <c r="C25" s="160">
        <f>IF(Select2=1,INDEX(DOC_table,12,2),"")</f>
        <v>0</v>
      </c>
      <c r="D25" s="193">
        <f>IF(Select2=1,INDEX(DOC_table,12,1),"")</f>
        <v>0</v>
      </c>
      <c r="E25" s="259">
        <f t="shared" si="0"/>
        <v>0</v>
      </c>
      <c r="F25" s="239"/>
      <c r="H25" s="160">
        <f>IF(Select2=1,INDEX(DOC_table,12,4),"")</f>
        <v>0</v>
      </c>
      <c r="I25" s="193">
        <f>IF(Select2=1,INDEX(DOC_table,12,3),"")</f>
        <v>0</v>
      </c>
      <c r="J25" s="259">
        <f t="shared" si="1"/>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ref="E27:E28" si="2">D27</f>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2"/>
        <v>0</v>
      </c>
      <c r="F28" s="542"/>
      <c r="H28" s="540" t="str">
        <f>IF(Select2=1,INDEX(DOC_table,15,4),"")</f>
        <v>0-0.54</v>
      </c>
      <c r="I28" s="541">
        <f>IF(Select2=1,INDEX(DOC_table,15,3),"")</f>
        <v>0.15</v>
      </c>
      <c r="J28" s="260">
        <f t="shared" ref="J28" si="3">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9">
        <f t="shared" ref="E34:E39" si="4">D34</f>
        <v>0.4</v>
      </c>
      <c r="F34" s="132"/>
      <c r="L34" s="349"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58" t="str">
        <f>INDEX(half_life,IF(Select2=1,1,4),selected*2)</f>
        <v>0.06–0.085</v>
      </c>
      <c r="D35" s="70">
        <f>INDEX(half_life,IF(Select2=1,1,4),selected*2-1)</f>
        <v>7.0000000000000007E-2</v>
      </c>
      <c r="E35" s="580">
        <f t="shared" si="4"/>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5"/>
        <v>7.0000000000000007E-2</v>
      </c>
    </row>
    <row r="36" spans="2:15">
      <c r="B36" s="2" t="str">
        <f>IF(Select2=1,"Garden and Park waste","Industrial waste")</f>
        <v>Garden and Park waste</v>
      </c>
      <c r="C36" s="158" t="str">
        <f>INDEX(half_life,IF(Select2=1,3,5),selected*2)</f>
        <v>0.15–0.2</v>
      </c>
      <c r="D36" s="70">
        <f>INDEX(half_life,IF(Select2=1,3,5),selected*2-1)</f>
        <v>0.17</v>
      </c>
      <c r="E36" s="580">
        <f t="shared" si="4"/>
        <v>0.17</v>
      </c>
      <c r="F36" s="43"/>
      <c r="L36" s="6"/>
      <c r="N36" s="410" t="s">
        <v>261</v>
      </c>
      <c r="O36" s="2">
        <f t="shared" si="5"/>
        <v>0.17</v>
      </c>
    </row>
    <row r="37" spans="2:15">
      <c r="B37" s="2" t="str">
        <f>IF(Select2=1,"Textiles","")</f>
        <v>Textiles</v>
      </c>
      <c r="C37" s="159" t="str">
        <f>IF(Select2=1,INDEX(half_life,1,selected*2),"")</f>
        <v>0.06–0.085</v>
      </c>
      <c r="D37" s="70">
        <f>IF(Select2=1,INDEX(half_life,1,selected*2-1),"")</f>
        <v>7.0000000000000007E-2</v>
      </c>
      <c r="E37" s="580">
        <f t="shared" si="4"/>
        <v>7.0000000000000007E-2</v>
      </c>
      <c r="F37" s="43"/>
      <c r="L37" s="6"/>
      <c r="N37" s="2" t="s">
        <v>16</v>
      </c>
      <c r="O37" s="2">
        <f t="shared" si="5"/>
        <v>7.0000000000000007E-2</v>
      </c>
    </row>
    <row r="38" spans="2:15">
      <c r="B38" s="2" t="str">
        <f>IF(Select2=1,"Rubber and Leather","")</f>
        <v>Rubber and Leather</v>
      </c>
      <c r="C38" s="159" t="str">
        <f>IF(Select2=1,INDEX(half_life,2,selected*2),"")</f>
        <v>0.03–0.05</v>
      </c>
      <c r="D38" s="70">
        <f>IF(Select2=1,INDEX(half_life,2,selected*2-1),"")</f>
        <v>3.5000000000000003E-2</v>
      </c>
      <c r="E38" s="581">
        <f t="shared" si="4"/>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59" t="str">
        <f>IF(Select2=1,INDEX(half_life,2,selected*2),"")</f>
        <v>0.03–0.05</v>
      </c>
      <c r="D39" s="70">
        <f>IF(Select2=1,INDEX(half_life,2,selected*2-1),"")</f>
        <v>3.5000000000000003E-2</v>
      </c>
      <c r="E39" s="581">
        <f t="shared" si="4"/>
        <v>3.5000000000000003E-2</v>
      </c>
      <c r="F39" s="239"/>
      <c r="N39" s="409" t="s">
        <v>2</v>
      </c>
      <c r="O39" s="2">
        <f t="shared" si="5"/>
        <v>3.5000000000000003E-2</v>
      </c>
    </row>
    <row r="40" spans="2:15">
      <c r="B40" s="2" t="str">
        <f>IF(Select2=1,"Nappies","")</f>
        <v>Nappies</v>
      </c>
      <c r="C40" s="159" t="str">
        <f>IF(Select2=1,INDEX(half_life,3,selected*2),"")</f>
        <v>0.15–0.2</v>
      </c>
      <c r="D40" s="70">
        <f>IF(Select2=1,INDEX(half_life,3,selected*2-1),"")</f>
        <v>0.17</v>
      </c>
      <c r="E40" s="581">
        <f>D40</f>
        <v>0.17</v>
      </c>
      <c r="F40" s="239"/>
      <c r="N40" s="409" t="s">
        <v>267</v>
      </c>
      <c r="O40" s="2">
        <f t="shared" si="5"/>
        <v>0.17</v>
      </c>
    </row>
    <row r="41" spans="2:15">
      <c r="B41" s="146" t="str">
        <f>IF(Select2=1,"Plastics","")</f>
        <v>Plastics</v>
      </c>
      <c r="C41" s="159">
        <f t="shared" ref="C41:D44" si="6">IF(Select2=1,0,"")</f>
        <v>0</v>
      </c>
      <c r="D41" s="429">
        <f t="shared" si="6"/>
        <v>0</v>
      </c>
      <c r="E41" s="581">
        <f>D41</f>
        <v>0</v>
      </c>
      <c r="F41" s="239"/>
      <c r="N41" s="146" t="s">
        <v>230</v>
      </c>
      <c r="O41" s="2">
        <f t="shared" si="5"/>
        <v>0</v>
      </c>
    </row>
    <row r="42" spans="2:15">
      <c r="B42" s="146" t="str">
        <f>IF(Select2=1,"Metal","")</f>
        <v>Metal</v>
      </c>
      <c r="C42" s="159">
        <f t="shared" si="6"/>
        <v>0</v>
      </c>
      <c r="D42" s="429">
        <f t="shared" si="6"/>
        <v>0</v>
      </c>
      <c r="E42" s="581">
        <f>D42</f>
        <v>0</v>
      </c>
      <c r="F42" s="239"/>
      <c r="N42" s="146" t="s">
        <v>231</v>
      </c>
      <c r="O42" s="2">
        <f t="shared" si="5"/>
        <v>0</v>
      </c>
    </row>
    <row r="43" spans="2:15">
      <c r="B43" s="146" t="str">
        <f>IF(Select2=1,"Glass","")</f>
        <v>Glass</v>
      </c>
      <c r="C43" s="159">
        <f t="shared" si="6"/>
        <v>0</v>
      </c>
      <c r="D43" s="429">
        <f t="shared" si="6"/>
        <v>0</v>
      </c>
      <c r="E43" s="581">
        <f>D43</f>
        <v>0</v>
      </c>
      <c r="F43" s="239"/>
      <c r="N43" s="146" t="s">
        <v>232</v>
      </c>
      <c r="O43" s="2">
        <f t="shared" si="5"/>
        <v>0</v>
      </c>
    </row>
    <row r="44" spans="2:15">
      <c r="B44" s="146" t="str">
        <f>IF(Select2=1,"Other","")</f>
        <v>Other</v>
      </c>
      <c r="C44" s="159">
        <f t="shared" si="6"/>
        <v>0</v>
      </c>
      <c r="D44" s="429">
        <f t="shared" si="6"/>
        <v>0</v>
      </c>
      <c r="E44" s="581">
        <f>D44</f>
        <v>0</v>
      </c>
      <c r="F44" s="239"/>
      <c r="N44" s="146" t="s">
        <v>233</v>
      </c>
      <c r="O44" s="2">
        <f t="shared" si="5"/>
        <v>0</v>
      </c>
    </row>
    <row r="45" spans="2:15">
      <c r="B45" s="146"/>
      <c r="C45" s="159"/>
      <c r="D45" s="70"/>
      <c r="E45" s="581"/>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1">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2">
        <f t="shared" ref="E47" si="7">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3">
        <v>6</v>
      </c>
      <c r="F49" s="42"/>
    </row>
    <row r="50" spans="1:18" ht="13.5" thickBot="1">
      <c r="B50" s="22"/>
      <c r="C50" s="14"/>
      <c r="D50" s="23"/>
      <c r="E50" s="24"/>
      <c r="F50" s="23"/>
    </row>
    <row r="51" spans="1:18" ht="13.5" thickBot="1">
      <c r="B51" s="35" t="s">
        <v>207</v>
      </c>
      <c r="C51" s="38"/>
      <c r="D51" s="21">
        <v>0.5</v>
      </c>
      <c r="E51" s="583">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3">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4">
        <f>D58</f>
        <v>0</v>
      </c>
      <c r="F58" s="94"/>
      <c r="L58" s="18"/>
    </row>
    <row r="59" spans="1:18" ht="13.5" thickBot="1">
      <c r="B59" s="281" t="s">
        <v>196</v>
      </c>
      <c r="C59" s="278"/>
      <c r="D59" s="279">
        <v>0</v>
      </c>
      <c r="E59" s="585">
        <f>D59</f>
        <v>0</v>
      </c>
      <c r="F59" s="41"/>
    </row>
    <row r="60" spans="1:18" ht="13.5" thickBot="1">
      <c r="B60" s="138"/>
      <c r="C60" s="262"/>
      <c r="D60" s="263"/>
      <c r="E60" s="265"/>
      <c r="F60" s="264"/>
    </row>
    <row r="61" spans="1:18" s="18" customFormat="1" ht="26.25" thickBot="1">
      <c r="A61"/>
      <c r="B61" s="268" t="s">
        <v>209</v>
      </c>
      <c r="C61" s="150"/>
      <c r="D61" s="779" t="s">
        <v>250</v>
      </c>
      <c r="E61" s="780"/>
      <c r="F61" s="781"/>
      <c r="H61" s="38"/>
      <c r="I61" s="779" t="s">
        <v>251</v>
      </c>
      <c r="J61" s="780"/>
      <c r="K61" s="781"/>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3" t="s">
        <v>336</v>
      </c>
    </row>
    <row r="71" spans="2:8">
      <c r="B71" s="794" t="s">
        <v>317</v>
      </c>
      <c r="C71" s="794"/>
      <c r="D71" s="795" t="s">
        <v>318</v>
      </c>
      <c r="E71" s="795"/>
      <c r="F71" s="795"/>
      <c r="G71" s="795"/>
      <c r="H71" s="795"/>
    </row>
    <row r="72" spans="2:8">
      <c r="B72" s="794" t="s">
        <v>319</v>
      </c>
      <c r="C72" s="794"/>
      <c r="D72" s="795" t="s">
        <v>320</v>
      </c>
      <c r="E72" s="795"/>
      <c r="F72" s="795"/>
      <c r="G72" s="795"/>
      <c r="H72" s="795"/>
    </row>
    <row r="73" spans="2:8">
      <c r="B73" s="794" t="s">
        <v>321</v>
      </c>
      <c r="C73" s="794"/>
      <c r="D73" s="795" t="s">
        <v>322</v>
      </c>
      <c r="E73" s="795"/>
      <c r="F73" s="795"/>
      <c r="G73" s="795"/>
      <c r="H73" s="795"/>
    </row>
    <row r="74" spans="2:8">
      <c r="B74" s="794" t="s">
        <v>323</v>
      </c>
      <c r="C74" s="794"/>
      <c r="D74" s="795" t="s">
        <v>324</v>
      </c>
      <c r="E74" s="795"/>
      <c r="F74" s="795"/>
      <c r="G74" s="795"/>
      <c r="H74" s="795"/>
    </row>
    <row r="75" spans="2:8">
      <c r="B75" s="561"/>
      <c r="C75" s="562"/>
      <c r="D75" s="562"/>
      <c r="E75" s="562"/>
      <c r="F75" s="562"/>
      <c r="G75" s="562"/>
      <c r="H75" s="562"/>
    </row>
    <row r="76" spans="2:8">
      <c r="B76" s="564"/>
      <c r="C76" s="565" t="s">
        <v>325</v>
      </c>
      <c r="D76" s="566" t="s">
        <v>87</v>
      </c>
      <c r="E76" s="566" t="s">
        <v>88</v>
      </c>
    </row>
    <row r="77" spans="2:8">
      <c r="B77" s="800" t="s">
        <v>133</v>
      </c>
      <c r="C77" s="567" t="s">
        <v>326</v>
      </c>
      <c r="D77" s="568" t="s">
        <v>327</v>
      </c>
      <c r="E77" s="568" t="s">
        <v>9</v>
      </c>
      <c r="F77" s="488"/>
      <c r="G77" s="547"/>
      <c r="H77" s="6"/>
    </row>
    <row r="78" spans="2:8">
      <c r="B78" s="801"/>
      <c r="C78" s="569"/>
      <c r="D78" s="570"/>
      <c r="E78" s="571"/>
      <c r="F78" s="6"/>
      <c r="G78" s="488"/>
      <c r="H78" s="6"/>
    </row>
    <row r="79" spans="2:8">
      <c r="B79" s="801"/>
      <c r="C79" s="569"/>
      <c r="D79" s="570"/>
      <c r="E79" s="571"/>
      <c r="F79" s="6"/>
      <c r="G79" s="488"/>
      <c r="H79" s="6"/>
    </row>
    <row r="80" spans="2:8">
      <c r="B80" s="801"/>
      <c r="C80" s="569"/>
      <c r="D80" s="570"/>
      <c r="E80" s="571"/>
      <c r="F80" s="6"/>
      <c r="G80" s="488"/>
      <c r="H80" s="6"/>
    </row>
    <row r="81" spans="2:8">
      <c r="B81" s="801"/>
      <c r="C81" s="569"/>
      <c r="D81" s="570"/>
      <c r="E81" s="571"/>
      <c r="F81" s="6"/>
      <c r="G81" s="488"/>
      <c r="H81" s="6"/>
    </row>
    <row r="82" spans="2:8">
      <c r="B82" s="801"/>
      <c r="C82" s="569"/>
      <c r="D82" s="570" t="s">
        <v>328</v>
      </c>
      <c r="E82" s="571"/>
      <c r="F82" s="6"/>
      <c r="G82" s="488"/>
      <c r="H82" s="6"/>
    </row>
    <row r="83" spans="2:8" ht="13.5" thickBot="1">
      <c r="B83" s="802"/>
      <c r="C83" s="572"/>
      <c r="D83" s="572"/>
      <c r="E83" s="573" t="s">
        <v>329</v>
      </c>
      <c r="F83" s="6"/>
      <c r="G83" s="6"/>
      <c r="H83" s="6"/>
    </row>
    <row r="84" spans="2:8" ht="13.5" thickTop="1">
      <c r="B84" s="564"/>
      <c r="C84" s="571"/>
      <c r="D84" s="564"/>
      <c r="E84" s="574"/>
      <c r="F84" s="6"/>
      <c r="G84" s="6"/>
      <c r="H84" s="6"/>
    </row>
    <row r="85" spans="2:8">
      <c r="B85" s="796" t="s">
        <v>330</v>
      </c>
      <c r="C85" s="797"/>
      <c r="D85" s="797"/>
      <c r="E85" s="798"/>
      <c r="F85" s="6"/>
      <c r="G85" s="6"/>
      <c r="H85" s="6"/>
    </row>
    <row r="86" spans="2:8">
      <c r="B86" s="575" t="s">
        <v>6</v>
      </c>
      <c r="C86" s="576">
        <v>0.63560000000000005</v>
      </c>
      <c r="D86" s="577">
        <v>0.15</v>
      </c>
      <c r="E86" s="577">
        <f>C86*D86</f>
        <v>9.5340000000000008E-2</v>
      </c>
      <c r="F86" s="6"/>
      <c r="G86" s="6"/>
      <c r="H86" s="6"/>
    </row>
    <row r="87" spans="2:8">
      <c r="B87" s="575" t="s">
        <v>256</v>
      </c>
      <c r="C87" s="576">
        <v>0.1042</v>
      </c>
      <c r="D87" s="577">
        <v>0.4</v>
      </c>
      <c r="E87" s="577">
        <f t="shared" ref="E87:E94" si="8">C87*D87</f>
        <v>4.1680000000000002E-2</v>
      </c>
      <c r="F87" s="6"/>
      <c r="G87" s="6"/>
      <c r="H87" s="6"/>
    </row>
    <row r="88" spans="2:8">
      <c r="B88" s="575" t="s">
        <v>2</v>
      </c>
      <c r="C88" s="576">
        <v>0</v>
      </c>
      <c r="D88" s="577">
        <v>0.43</v>
      </c>
      <c r="E88" s="577">
        <f t="shared" si="8"/>
        <v>0</v>
      </c>
      <c r="F88" s="6"/>
      <c r="G88" s="6"/>
      <c r="H88" s="6"/>
    </row>
    <row r="89" spans="2:8">
      <c r="B89" s="575" t="s">
        <v>16</v>
      </c>
      <c r="C89" s="576">
        <v>0</v>
      </c>
      <c r="D89" s="577">
        <v>0.24</v>
      </c>
      <c r="E89" s="577">
        <f t="shared" si="8"/>
        <v>0</v>
      </c>
      <c r="F89" s="6"/>
      <c r="G89" s="6"/>
      <c r="H89" s="6"/>
    </row>
    <row r="90" spans="2:8">
      <c r="B90" s="575" t="s">
        <v>331</v>
      </c>
      <c r="C90" s="576">
        <v>0</v>
      </c>
      <c r="D90" s="577">
        <v>0.39</v>
      </c>
      <c r="E90" s="577">
        <f t="shared" si="8"/>
        <v>0</v>
      </c>
    </row>
    <row r="91" spans="2:8">
      <c r="B91" s="575" t="s">
        <v>332</v>
      </c>
      <c r="C91" s="576">
        <v>1.4500000000000001E-2</v>
      </c>
      <c r="D91" s="577">
        <v>0</v>
      </c>
      <c r="E91" s="577">
        <f t="shared" si="8"/>
        <v>0</v>
      </c>
    </row>
    <row r="92" spans="2:8">
      <c r="B92" s="575" t="s">
        <v>231</v>
      </c>
      <c r="C92" s="576">
        <v>9.7600000000000006E-2</v>
      </c>
      <c r="D92" s="577">
        <v>0</v>
      </c>
      <c r="E92" s="577">
        <f t="shared" si="8"/>
        <v>0</v>
      </c>
    </row>
    <row r="93" spans="2:8">
      <c r="B93" s="575" t="s">
        <v>232</v>
      </c>
      <c r="C93" s="576">
        <v>1.7000000000000001E-2</v>
      </c>
      <c r="D93" s="577">
        <v>0</v>
      </c>
      <c r="E93" s="577">
        <f t="shared" si="8"/>
        <v>0</v>
      </c>
    </row>
    <row r="94" spans="2:8">
      <c r="B94" s="575" t="s">
        <v>233</v>
      </c>
      <c r="C94" s="576">
        <f>(0.95+12.16)/100</f>
        <v>0.13109999999999999</v>
      </c>
      <c r="D94" s="577">
        <v>0</v>
      </c>
      <c r="E94" s="577">
        <f t="shared" si="8"/>
        <v>0</v>
      </c>
    </row>
    <row r="95" spans="2:8">
      <c r="B95" s="799" t="s">
        <v>333</v>
      </c>
      <c r="C95" s="799"/>
      <c r="D95" s="799"/>
      <c r="E95" s="578">
        <f>SUM(E86:E94)</f>
        <v>0.13702</v>
      </c>
    </row>
    <row r="96" spans="2:8">
      <c r="B96" s="796" t="s">
        <v>334</v>
      </c>
      <c r="C96" s="797"/>
      <c r="D96" s="797"/>
      <c r="E96" s="798"/>
    </row>
    <row r="97" spans="2:5">
      <c r="B97" s="575" t="s">
        <v>6</v>
      </c>
      <c r="C97" s="576">
        <f>79.37/100</f>
        <v>0.79370000000000007</v>
      </c>
      <c r="D97" s="577">
        <v>0.15</v>
      </c>
      <c r="E97" s="577">
        <f>C97*D97</f>
        <v>0.11905500000000001</v>
      </c>
    </row>
    <row r="98" spans="2:5">
      <c r="B98" s="575" t="s">
        <v>256</v>
      </c>
      <c r="C98" s="576">
        <f>8.57/100</f>
        <v>8.5699999999999998E-2</v>
      </c>
      <c r="D98" s="577">
        <v>0.4</v>
      </c>
      <c r="E98" s="577">
        <f t="shared" ref="E98:E105" si="9">C98*D98</f>
        <v>3.4279999999999998E-2</v>
      </c>
    </row>
    <row r="99" spans="2:5">
      <c r="B99" s="575" t="s">
        <v>2</v>
      </c>
      <c r="C99" s="576">
        <f>0.75/100</f>
        <v>7.4999999999999997E-3</v>
      </c>
      <c r="D99" s="577">
        <v>0.43</v>
      </c>
      <c r="E99" s="577">
        <f t="shared" si="9"/>
        <v>3.225E-3</v>
      </c>
    </row>
    <row r="100" spans="2:5">
      <c r="B100" s="575" t="s">
        <v>16</v>
      </c>
      <c r="C100" s="576">
        <f>0.79/100</f>
        <v>7.9000000000000008E-3</v>
      </c>
      <c r="D100" s="577">
        <v>0.24</v>
      </c>
      <c r="E100" s="577">
        <f t="shared" si="9"/>
        <v>1.8960000000000001E-3</v>
      </c>
    </row>
    <row r="101" spans="2:5">
      <c r="B101" s="575" t="s">
        <v>331</v>
      </c>
      <c r="C101" s="576">
        <f>0.35/100</f>
        <v>3.4999999999999996E-3</v>
      </c>
      <c r="D101" s="577">
        <v>0.39</v>
      </c>
      <c r="E101" s="577">
        <f t="shared" si="9"/>
        <v>1.3649999999999999E-3</v>
      </c>
    </row>
    <row r="102" spans="2:5">
      <c r="B102" s="575" t="s">
        <v>332</v>
      </c>
      <c r="C102" s="576">
        <f>6.51/100</f>
        <v>6.5099999999999991E-2</v>
      </c>
      <c r="D102" s="577">
        <v>0</v>
      </c>
      <c r="E102" s="577">
        <f t="shared" si="9"/>
        <v>0</v>
      </c>
    </row>
    <row r="103" spans="2:5">
      <c r="B103" s="575" t="s">
        <v>231</v>
      </c>
      <c r="C103" s="576">
        <f>1.45/100</f>
        <v>1.4499999999999999E-2</v>
      </c>
      <c r="D103" s="577">
        <v>0</v>
      </c>
      <c r="E103" s="577">
        <f t="shared" si="9"/>
        <v>0</v>
      </c>
    </row>
    <row r="104" spans="2:5">
      <c r="B104" s="575" t="s">
        <v>232</v>
      </c>
      <c r="C104" s="576">
        <f>1.54/100</f>
        <v>1.54E-2</v>
      </c>
      <c r="D104" s="577">
        <v>0</v>
      </c>
      <c r="E104" s="577">
        <f t="shared" si="9"/>
        <v>0</v>
      </c>
    </row>
    <row r="105" spans="2:5">
      <c r="B105" s="575" t="s">
        <v>233</v>
      </c>
      <c r="C105" s="576">
        <f>0.67/100</f>
        <v>6.7000000000000002E-3</v>
      </c>
      <c r="D105" s="577">
        <v>0</v>
      </c>
      <c r="E105" s="577">
        <f t="shared" si="9"/>
        <v>0</v>
      </c>
    </row>
    <row r="106" spans="2:5">
      <c r="B106" s="799" t="s">
        <v>333</v>
      </c>
      <c r="C106" s="799"/>
      <c r="D106" s="799"/>
      <c r="E106" s="578">
        <f>SUM(E97:E105)</f>
        <v>0.15982100000000002</v>
      </c>
    </row>
    <row r="107" spans="2:5">
      <c r="B107" s="796" t="s">
        <v>335</v>
      </c>
      <c r="C107" s="797"/>
      <c r="D107" s="797"/>
      <c r="E107" s="798"/>
    </row>
    <row r="108" spans="2:5">
      <c r="B108" s="575" t="s">
        <v>6</v>
      </c>
      <c r="C108" s="576">
        <f>(59.47+6.92)/100</f>
        <v>0.66390000000000005</v>
      </c>
      <c r="D108" s="577">
        <v>0.15</v>
      </c>
      <c r="E108" s="577">
        <f>C108*D108</f>
        <v>9.9585000000000007E-2</v>
      </c>
    </row>
    <row r="109" spans="2:5">
      <c r="B109" s="575" t="s">
        <v>256</v>
      </c>
      <c r="C109" s="576">
        <f>12.85/100</f>
        <v>0.1285</v>
      </c>
      <c r="D109" s="577">
        <v>0.4</v>
      </c>
      <c r="E109" s="577">
        <f t="shared" ref="E109:E116" si="10">C109*D109</f>
        <v>5.1400000000000001E-2</v>
      </c>
    </row>
    <row r="110" spans="2:5">
      <c r="B110" s="575" t="s">
        <v>2</v>
      </c>
      <c r="C110" s="576">
        <v>0</v>
      </c>
      <c r="D110" s="577">
        <v>0.43</v>
      </c>
      <c r="E110" s="577">
        <f t="shared" si="10"/>
        <v>0</v>
      </c>
    </row>
    <row r="111" spans="2:5">
      <c r="B111" s="575" t="s">
        <v>16</v>
      </c>
      <c r="C111" s="576">
        <f>0.81/100</f>
        <v>8.1000000000000013E-3</v>
      </c>
      <c r="D111" s="577">
        <v>0.24</v>
      </c>
      <c r="E111" s="577">
        <f t="shared" si="10"/>
        <v>1.9440000000000002E-3</v>
      </c>
    </row>
    <row r="112" spans="2:5">
      <c r="B112" s="575" t="s">
        <v>331</v>
      </c>
      <c r="C112" s="576">
        <v>0</v>
      </c>
      <c r="D112" s="577">
        <v>0.39</v>
      </c>
      <c r="E112" s="577">
        <f t="shared" si="10"/>
        <v>0</v>
      </c>
    </row>
    <row r="113" spans="2:5">
      <c r="B113" s="575" t="s">
        <v>332</v>
      </c>
      <c r="C113" s="576">
        <f>10.71/100</f>
        <v>0.10710000000000001</v>
      </c>
      <c r="D113" s="577">
        <v>0</v>
      </c>
      <c r="E113" s="577">
        <f t="shared" si="10"/>
        <v>0</v>
      </c>
    </row>
    <row r="114" spans="2:5">
      <c r="B114" s="575" t="s">
        <v>231</v>
      </c>
      <c r="C114" s="576">
        <f>1.77/100</f>
        <v>1.77E-2</v>
      </c>
      <c r="D114" s="577">
        <v>0</v>
      </c>
      <c r="E114" s="577">
        <f t="shared" si="10"/>
        <v>0</v>
      </c>
    </row>
    <row r="115" spans="2:5">
      <c r="B115" s="575" t="s">
        <v>232</v>
      </c>
      <c r="C115" s="576">
        <f>1.33/100</f>
        <v>1.3300000000000001E-2</v>
      </c>
      <c r="D115" s="577">
        <v>0</v>
      </c>
      <c r="E115" s="577">
        <f t="shared" si="10"/>
        <v>0</v>
      </c>
    </row>
    <row r="116" spans="2:5">
      <c r="B116" s="575" t="s">
        <v>233</v>
      </c>
      <c r="C116" s="576">
        <f>6.21/100</f>
        <v>6.2100000000000002E-2</v>
      </c>
      <c r="D116" s="577">
        <v>0</v>
      </c>
      <c r="E116" s="577">
        <f t="shared" si="10"/>
        <v>0</v>
      </c>
    </row>
    <row r="117" spans="2:5">
      <c r="B117" s="799" t="s">
        <v>333</v>
      </c>
      <c r="C117" s="799"/>
      <c r="D117" s="799"/>
      <c r="E117" s="57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6" workbookViewId="0">
      <selection activeCell="K19" sqref="K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309</v>
      </c>
      <c r="C2" s="224"/>
      <c r="D2" s="224"/>
      <c r="E2" s="225"/>
      <c r="F2" s="226"/>
      <c r="G2" s="226"/>
      <c r="H2" s="226"/>
      <c r="I2" s="226"/>
      <c r="J2" s="226"/>
      <c r="K2" s="226"/>
    </row>
    <row r="3" spans="1:23" ht="15">
      <c r="B3" s="243" t="str">
        <f>IF(Select2=1,"This sheet applies only to the bulk waste option and can be deleted when the waste composition option has been chosen","")</f>
        <v>This sheet applies only to the bulk waste option and can be deleted when the waste composition option has been chosen</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Parameters!O26</f>
        <v>0</v>
      </c>
      <c r="O6" s="230"/>
      <c r="P6" s="231"/>
      <c r="Q6" s="222"/>
      <c r="R6" s="108" t="s">
        <v>9</v>
      </c>
      <c r="S6" s="109"/>
      <c r="T6" s="109"/>
      <c r="U6" s="113"/>
      <c r="V6" s="120" t="s">
        <v>9</v>
      </c>
      <c r="W6" s="261">
        <f>Parameters!R26</f>
        <v>0</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Parameters!O45</f>
        <v>0</v>
      </c>
      <c r="O8" s="47"/>
      <c r="P8" s="47"/>
      <c r="Q8" s="222"/>
      <c r="R8" s="108" t="s">
        <v>192</v>
      </c>
      <c r="S8" s="109"/>
      <c r="T8" s="109"/>
      <c r="U8" s="113"/>
      <c r="V8" s="120" t="s">
        <v>188</v>
      </c>
      <c r="W8" s="114">
        <f>Parameters!O45</f>
        <v>0</v>
      </c>
    </row>
    <row r="9" spans="1:23" ht="15.75">
      <c r="F9" s="247" t="s">
        <v>190</v>
      </c>
      <c r="G9" s="248"/>
      <c r="H9" s="248"/>
      <c r="I9" s="249"/>
      <c r="J9" s="250" t="s">
        <v>189</v>
      </c>
      <c r="K9" s="256" t="e">
        <f>LN(2)/$K$8</f>
        <v>#DIV/0!</v>
      </c>
      <c r="O9" s="47"/>
      <c r="P9" s="47"/>
      <c r="Q9" s="222"/>
      <c r="R9" s="247" t="s">
        <v>190</v>
      </c>
      <c r="S9" s="248"/>
      <c r="T9" s="248"/>
      <c r="U9" s="249"/>
      <c r="V9" s="250" t="s">
        <v>189</v>
      </c>
      <c r="W9" s="256" t="e">
        <f>LN(2)/$W$8</f>
        <v>#DIV/0!</v>
      </c>
    </row>
    <row r="10" spans="1:23">
      <c r="F10" s="110" t="s">
        <v>84</v>
      </c>
      <c r="G10" s="111"/>
      <c r="H10" s="111"/>
      <c r="I10" s="112"/>
      <c r="J10" s="121" t="s">
        <v>148</v>
      </c>
      <c r="K10" s="49">
        <f>EXP(-$K$8)</f>
        <v>1</v>
      </c>
      <c r="O10" s="47"/>
      <c r="P10" s="47"/>
      <c r="Q10" s="222"/>
      <c r="R10" s="110" t="s">
        <v>84</v>
      </c>
      <c r="S10" s="111"/>
      <c r="T10" s="111"/>
      <c r="U10" s="112"/>
      <c r="V10" s="121" t="s">
        <v>148</v>
      </c>
      <c r="W10" s="49">
        <f>EXP(-$W$8)</f>
        <v>1</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Amnt_Deposited!O14</f>
        <v>0</v>
      </c>
      <c r="D19" s="416">
        <f>Dry_Matter_Content!O6</f>
        <v>0</v>
      </c>
      <c r="E19" s="283">
        <f>MCF!R18</f>
        <v>0.8</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Amnt_Deposited!O14</f>
        <v>0</v>
      </c>
      <c r="Q19" s="283">
        <f>MCF!R18</f>
        <v>0.8</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Amnt_Deposited!O15</f>
        <v>0</v>
      </c>
      <c r="D20" s="418">
        <f>Dry_Matter_Content!O7</f>
        <v>0</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Amnt_Deposited!O15</f>
        <v>0</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Amnt_Deposited!O16</f>
        <v>6.8882854919999996</v>
      </c>
      <c r="D21" s="418">
        <f>Dry_Matter_Content!O8</f>
        <v>0</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Amnt_Deposited!O16</f>
        <v>6.8882854919999996</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Amnt_Deposited!O17</f>
        <v>7.0063953960000003</v>
      </c>
      <c r="D22" s="418">
        <f>Dry_Matter_Content!O9</f>
        <v>0</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Amnt_Deposited!O17</f>
        <v>7.0063953960000003</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Amnt_Deposited!O18</f>
        <v>7.2874920359999997</v>
      </c>
      <c r="D23" s="418">
        <f>Dry_Matter_Content!O10</f>
        <v>0</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Amnt_Deposited!O18</f>
        <v>7.2874920359999997</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Amnt_Deposited!O19</f>
        <v>7.549479036000001</v>
      </c>
      <c r="D24" s="418">
        <f>Dry_Matter_Content!O11</f>
        <v>0</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Amnt_Deposited!O19</f>
        <v>7.549479036000001</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Amnt_Deposited!O20</f>
        <v>7.631958708</v>
      </c>
      <c r="D25" s="418">
        <f>Dry_Matter_Content!O12</f>
        <v>0</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Amnt_Deposited!O20</f>
        <v>7.631958708</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Amnt_Deposited!O21</f>
        <v>7.7120342639999997</v>
      </c>
      <c r="D26" s="418">
        <f>Dry_Matter_Content!O13</f>
        <v>0</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Amnt_Deposited!O21</f>
        <v>7.7120342639999997</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Amnt_Deposited!O22</f>
        <v>7.7889659760000001</v>
      </c>
      <c r="D27" s="418">
        <f>Dry_Matter_Content!O14</f>
        <v>0</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Amnt_Deposited!O22</f>
        <v>7.7889659760000001</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Amnt_Deposited!O23</f>
        <v>7.861582608</v>
      </c>
      <c r="D28" s="418">
        <f>Dry_Matter_Content!O15</f>
        <v>0</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Amnt_Deposited!O23</f>
        <v>7.861582608</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Amnt_Deposited!O24</f>
        <v>8.8102837679999997</v>
      </c>
      <c r="D29" s="418">
        <f>Dry_Matter_Content!O16</f>
        <v>0</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Amnt_Deposited!O24</f>
        <v>8.8102837679999997</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Amnt_Deposited!O25</f>
        <v>8.1806071200000012</v>
      </c>
      <c r="D30" s="418">
        <f>Dry_Matter_Content!O17</f>
        <v>0</v>
      </c>
      <c r="E30" s="284">
        <f>MCF!R29</f>
        <v>0.8</v>
      </c>
      <c r="F30" s="67">
        <f t="shared" si="0"/>
        <v>0</v>
      </c>
      <c r="G30" s="67">
        <f t="shared" si="1"/>
        <v>0</v>
      </c>
      <c r="H30" s="67">
        <f t="shared" si="2"/>
        <v>0</v>
      </c>
      <c r="I30" s="67">
        <f t="shared" si="3"/>
        <v>0</v>
      </c>
      <c r="J30" s="67">
        <f t="shared" si="4"/>
        <v>0</v>
      </c>
      <c r="K30" s="100">
        <f t="shared" si="6"/>
        <v>0</v>
      </c>
      <c r="O30" s="96">
        <f>Amnt_Deposited!B25</f>
        <v>2011</v>
      </c>
      <c r="P30" s="99">
        <f>Amnt_Deposited!O25</f>
        <v>8.1806071200000012</v>
      </c>
      <c r="Q30" s="284">
        <f>MCF!R29</f>
        <v>0.8</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Amnt_Deposited!O26</f>
        <v>8.2958253600000003</v>
      </c>
      <c r="D31" s="418">
        <f>Dry_Matter_Content!O18</f>
        <v>0</v>
      </c>
      <c r="E31" s="284">
        <f>MCF!R30</f>
        <v>0.8</v>
      </c>
      <c r="F31" s="67">
        <f t="shared" si="0"/>
        <v>0</v>
      </c>
      <c r="G31" s="67">
        <f t="shared" si="1"/>
        <v>0</v>
      </c>
      <c r="H31" s="67">
        <f t="shared" si="2"/>
        <v>0</v>
      </c>
      <c r="I31" s="67">
        <f t="shared" si="3"/>
        <v>0</v>
      </c>
      <c r="J31" s="67">
        <f t="shared" si="4"/>
        <v>0</v>
      </c>
      <c r="K31" s="100">
        <f t="shared" si="6"/>
        <v>0</v>
      </c>
      <c r="O31" s="96">
        <f>Amnt_Deposited!B26</f>
        <v>2012</v>
      </c>
      <c r="P31" s="99">
        <f>Amnt_Deposited!O26</f>
        <v>8.2958253600000003</v>
      </c>
      <c r="Q31" s="284">
        <f>MCF!R30</f>
        <v>0.8</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Amnt_Deposited!O27</f>
        <v>8.4174882000000011</v>
      </c>
      <c r="D32" s="418">
        <f>Dry_Matter_Content!O19</f>
        <v>0</v>
      </c>
      <c r="E32" s="284">
        <f>MCF!R31</f>
        <v>0.8</v>
      </c>
      <c r="F32" s="67">
        <f t="shared" si="0"/>
        <v>0</v>
      </c>
      <c r="G32" s="67">
        <f t="shared" si="1"/>
        <v>0</v>
      </c>
      <c r="H32" s="67">
        <f t="shared" si="2"/>
        <v>0</v>
      </c>
      <c r="I32" s="67">
        <f t="shared" si="3"/>
        <v>0</v>
      </c>
      <c r="J32" s="67">
        <f t="shared" si="4"/>
        <v>0</v>
      </c>
      <c r="K32" s="100">
        <f t="shared" si="6"/>
        <v>0</v>
      </c>
      <c r="O32" s="96">
        <f>Amnt_Deposited!B27</f>
        <v>2013</v>
      </c>
      <c r="P32" s="99">
        <f>Amnt_Deposited!O27</f>
        <v>8.4174882000000011</v>
      </c>
      <c r="Q32" s="284">
        <f>MCF!R31</f>
        <v>0.8</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Amnt_Deposited!O28</f>
        <v>8.5247487600000014</v>
      </c>
      <c r="D33" s="418">
        <f>Dry_Matter_Content!O20</f>
        <v>0</v>
      </c>
      <c r="E33" s="284">
        <f>MCF!R32</f>
        <v>0.8</v>
      </c>
      <c r="F33" s="67">
        <f t="shared" si="0"/>
        <v>0</v>
      </c>
      <c r="G33" s="67">
        <f t="shared" si="1"/>
        <v>0</v>
      </c>
      <c r="H33" s="67">
        <f t="shared" si="2"/>
        <v>0</v>
      </c>
      <c r="I33" s="67">
        <f t="shared" si="3"/>
        <v>0</v>
      </c>
      <c r="J33" s="67">
        <f t="shared" si="4"/>
        <v>0</v>
      </c>
      <c r="K33" s="100">
        <f t="shared" si="6"/>
        <v>0</v>
      </c>
      <c r="O33" s="96">
        <f>Amnt_Deposited!B28</f>
        <v>2014</v>
      </c>
      <c r="P33" s="99">
        <f>Amnt_Deposited!O28</f>
        <v>8.5247487600000014</v>
      </c>
      <c r="Q33" s="284">
        <f>MCF!R32</f>
        <v>0.8</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Amnt_Deposited!O29</f>
        <v>8.6433294000000007</v>
      </c>
      <c r="D34" s="418">
        <f>Dry_Matter_Content!O21</f>
        <v>0</v>
      </c>
      <c r="E34" s="284">
        <f>MCF!R33</f>
        <v>0.8</v>
      </c>
      <c r="F34" s="67">
        <f t="shared" si="0"/>
        <v>0</v>
      </c>
      <c r="G34" s="67">
        <f t="shared" si="1"/>
        <v>0</v>
      </c>
      <c r="H34" s="67">
        <f t="shared" si="2"/>
        <v>0</v>
      </c>
      <c r="I34" s="67">
        <f t="shared" si="3"/>
        <v>0</v>
      </c>
      <c r="J34" s="67">
        <f t="shared" si="4"/>
        <v>0</v>
      </c>
      <c r="K34" s="100">
        <f t="shared" si="6"/>
        <v>0</v>
      </c>
      <c r="O34" s="96">
        <f>Amnt_Deposited!B29</f>
        <v>2015</v>
      </c>
      <c r="P34" s="99">
        <f>Amnt_Deposited!O29</f>
        <v>8.6433294000000007</v>
      </c>
      <c r="Q34" s="284">
        <f>MCF!R33</f>
        <v>0.8</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Amnt_Deposited!O30</f>
        <v>8.7422960400000012</v>
      </c>
      <c r="D35" s="418">
        <f>Dry_Matter_Content!O22</f>
        <v>0</v>
      </c>
      <c r="E35" s="284">
        <f>MCF!R34</f>
        <v>0.8</v>
      </c>
      <c r="F35" s="67">
        <f t="shared" si="0"/>
        <v>0</v>
      </c>
      <c r="G35" s="67">
        <f t="shared" si="1"/>
        <v>0</v>
      </c>
      <c r="H35" s="67">
        <f t="shared" si="2"/>
        <v>0</v>
      </c>
      <c r="I35" s="67">
        <f t="shared" si="3"/>
        <v>0</v>
      </c>
      <c r="J35" s="67">
        <f t="shared" si="4"/>
        <v>0</v>
      </c>
      <c r="K35" s="100">
        <f t="shared" si="6"/>
        <v>0</v>
      </c>
      <c r="O35" s="96">
        <f>Amnt_Deposited!B30</f>
        <v>2016</v>
      </c>
      <c r="P35" s="99">
        <f>Amnt_Deposited!O30</f>
        <v>8.7422960400000012</v>
      </c>
      <c r="Q35" s="284">
        <f>MCF!R34</f>
        <v>0.8</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Amnt_Deposited!O31</f>
        <v>8.8691082207552014</v>
      </c>
      <c r="D36" s="418">
        <f>Dry_Matter_Content!O23</f>
        <v>0</v>
      </c>
      <c r="E36" s="284">
        <f>MCF!R35</f>
        <v>0.8</v>
      </c>
      <c r="F36" s="67">
        <f t="shared" si="0"/>
        <v>0</v>
      </c>
      <c r="G36" s="67">
        <f t="shared" si="1"/>
        <v>0</v>
      </c>
      <c r="H36" s="67">
        <f t="shared" si="2"/>
        <v>0</v>
      </c>
      <c r="I36" s="67">
        <f t="shared" si="3"/>
        <v>0</v>
      </c>
      <c r="J36" s="67">
        <f t="shared" si="4"/>
        <v>0</v>
      </c>
      <c r="K36" s="100">
        <f t="shared" si="6"/>
        <v>0</v>
      </c>
      <c r="O36" s="96">
        <f>Amnt_Deposited!B31</f>
        <v>2017</v>
      </c>
      <c r="P36" s="99">
        <f>Amnt_Deposited!O31</f>
        <v>8.8691082207552014</v>
      </c>
      <c r="Q36" s="284">
        <f>MCF!R35</f>
        <v>0.8</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Amnt_Deposited!O32</f>
        <v>8.8420224111771777</v>
      </c>
      <c r="D37" s="418">
        <f>Dry_Matter_Content!O24</f>
        <v>0</v>
      </c>
      <c r="E37" s="284">
        <f>MCF!R36</f>
        <v>0.8</v>
      </c>
      <c r="F37" s="67">
        <f t="shared" si="0"/>
        <v>0</v>
      </c>
      <c r="G37" s="67">
        <f t="shared" si="1"/>
        <v>0</v>
      </c>
      <c r="H37" s="67">
        <f t="shared" si="2"/>
        <v>0</v>
      </c>
      <c r="I37" s="67">
        <f t="shared" si="3"/>
        <v>0</v>
      </c>
      <c r="J37" s="67">
        <f t="shared" si="4"/>
        <v>0</v>
      </c>
      <c r="K37" s="100">
        <f t="shared" si="6"/>
        <v>0</v>
      </c>
      <c r="O37" s="96">
        <f>Amnt_Deposited!B32</f>
        <v>2018</v>
      </c>
      <c r="P37" s="99">
        <f>Amnt_Deposited!O32</f>
        <v>8.8420224111771777</v>
      </c>
      <c r="Q37" s="284">
        <f>MCF!R36</f>
        <v>0.8</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Amnt_Deposited!O33</f>
        <v>8.811202068474504</v>
      </c>
      <c r="D38" s="418">
        <f>Dry_Matter_Content!O25</f>
        <v>0</v>
      </c>
      <c r="E38" s="284">
        <f>MCF!R37</f>
        <v>0.8</v>
      </c>
      <c r="F38" s="67">
        <f t="shared" si="0"/>
        <v>0</v>
      </c>
      <c r="G38" s="67">
        <f t="shared" si="1"/>
        <v>0</v>
      </c>
      <c r="H38" s="67">
        <f t="shared" si="2"/>
        <v>0</v>
      </c>
      <c r="I38" s="67">
        <f t="shared" si="3"/>
        <v>0</v>
      </c>
      <c r="J38" s="67">
        <f t="shared" si="4"/>
        <v>0</v>
      </c>
      <c r="K38" s="100">
        <f t="shared" si="6"/>
        <v>0</v>
      </c>
      <c r="O38" s="96">
        <f>Amnt_Deposited!B33</f>
        <v>2019</v>
      </c>
      <c r="P38" s="99">
        <f>Amnt_Deposited!O33</f>
        <v>8.811202068474504</v>
      </c>
      <c r="Q38" s="284">
        <f>MCF!R37</f>
        <v>0.8</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Amnt_Deposited!O34</f>
        <v>8.7768402989098906</v>
      </c>
      <c r="D39" s="418">
        <f>Dry_Matter_Content!O26</f>
        <v>0</v>
      </c>
      <c r="E39" s="284">
        <f>MCF!R38</f>
        <v>0.8</v>
      </c>
      <c r="F39" s="67">
        <f t="shared" si="0"/>
        <v>0</v>
      </c>
      <c r="G39" s="67">
        <f t="shared" si="1"/>
        <v>0</v>
      </c>
      <c r="H39" s="67">
        <f t="shared" si="2"/>
        <v>0</v>
      </c>
      <c r="I39" s="67">
        <f t="shared" si="3"/>
        <v>0</v>
      </c>
      <c r="J39" s="67">
        <f t="shared" si="4"/>
        <v>0</v>
      </c>
      <c r="K39" s="100">
        <f t="shared" si="6"/>
        <v>0</v>
      </c>
      <c r="O39" s="96">
        <f>Amnt_Deposited!B34</f>
        <v>2020</v>
      </c>
      <c r="P39" s="99">
        <f>Amnt_Deposited!O34</f>
        <v>8.7768402989098906</v>
      </c>
      <c r="Q39" s="284">
        <f>MCF!R38</f>
        <v>0.8</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Amnt_Deposited!O35</f>
        <v>8.7391231322768856</v>
      </c>
      <c r="D40" s="418">
        <f>Dry_Matter_Content!O27</f>
        <v>0</v>
      </c>
      <c r="E40" s="284">
        <f>MCF!R39</f>
        <v>0.8</v>
      </c>
      <c r="F40" s="67">
        <f t="shared" si="0"/>
        <v>0</v>
      </c>
      <c r="G40" s="67">
        <f t="shared" si="1"/>
        <v>0</v>
      </c>
      <c r="H40" s="67">
        <f t="shared" si="2"/>
        <v>0</v>
      </c>
      <c r="I40" s="67">
        <f t="shared" si="3"/>
        <v>0</v>
      </c>
      <c r="J40" s="67">
        <f t="shared" si="4"/>
        <v>0</v>
      </c>
      <c r="K40" s="100">
        <f t="shared" si="6"/>
        <v>0</v>
      </c>
      <c r="O40" s="96">
        <f>Amnt_Deposited!B35</f>
        <v>2021</v>
      </c>
      <c r="P40" s="99">
        <f>Amnt_Deposited!O35</f>
        <v>8.7391231322768856</v>
      </c>
      <c r="Q40" s="284">
        <f>MCF!R39</f>
        <v>0.8</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Amnt_Deposited!O36</f>
        <v>8.6982297493566971</v>
      </c>
      <c r="D41" s="418">
        <f>Dry_Matter_Content!O28</f>
        <v>0</v>
      </c>
      <c r="E41" s="284">
        <f>MCF!R40</f>
        <v>0.8</v>
      </c>
      <c r="F41" s="67">
        <f t="shared" si="0"/>
        <v>0</v>
      </c>
      <c r="G41" s="67">
        <f t="shared" si="1"/>
        <v>0</v>
      </c>
      <c r="H41" s="67">
        <f t="shared" si="2"/>
        <v>0</v>
      </c>
      <c r="I41" s="67">
        <f t="shared" si="3"/>
        <v>0</v>
      </c>
      <c r="J41" s="67">
        <f t="shared" si="4"/>
        <v>0</v>
      </c>
      <c r="K41" s="100">
        <f t="shared" si="6"/>
        <v>0</v>
      </c>
      <c r="O41" s="96">
        <f>Amnt_Deposited!B36</f>
        <v>2022</v>
      </c>
      <c r="P41" s="99">
        <f>Amnt_Deposited!O36</f>
        <v>8.6982297493566971</v>
      </c>
      <c r="Q41" s="284">
        <f>MCF!R40</f>
        <v>0.8</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Amnt_Deposited!O37</f>
        <v>8.6543327025564611</v>
      </c>
      <c r="D42" s="418">
        <f>Dry_Matter_Content!O29</f>
        <v>0</v>
      </c>
      <c r="E42" s="284">
        <f>MCF!R41</f>
        <v>0.8</v>
      </c>
      <c r="F42" s="67">
        <f t="shared" si="0"/>
        <v>0</v>
      </c>
      <c r="G42" s="67">
        <f t="shared" si="1"/>
        <v>0</v>
      </c>
      <c r="H42" s="67">
        <f t="shared" si="2"/>
        <v>0</v>
      </c>
      <c r="I42" s="67">
        <f t="shared" si="3"/>
        <v>0</v>
      </c>
      <c r="J42" s="67">
        <f t="shared" si="4"/>
        <v>0</v>
      </c>
      <c r="K42" s="100">
        <f t="shared" si="6"/>
        <v>0</v>
      </c>
      <c r="O42" s="96">
        <f>Amnt_Deposited!B37</f>
        <v>2023</v>
      </c>
      <c r="P42" s="99">
        <f>Amnt_Deposited!O37</f>
        <v>8.6543327025564611</v>
      </c>
      <c r="Q42" s="284">
        <f>MCF!R41</f>
        <v>0.8</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Amnt_Deposited!O38</f>
        <v>8.6075981299246944</v>
      </c>
      <c r="D43" s="418">
        <f>Dry_Matter_Content!O30</f>
        <v>0</v>
      </c>
      <c r="E43" s="284">
        <f>MCF!R42</f>
        <v>0.8</v>
      </c>
      <c r="F43" s="67">
        <f t="shared" si="0"/>
        <v>0</v>
      </c>
      <c r="G43" s="67">
        <f t="shared" si="1"/>
        <v>0</v>
      </c>
      <c r="H43" s="67">
        <f t="shared" si="2"/>
        <v>0</v>
      </c>
      <c r="I43" s="67">
        <f t="shared" si="3"/>
        <v>0</v>
      </c>
      <c r="J43" s="67">
        <f t="shared" si="4"/>
        <v>0</v>
      </c>
      <c r="K43" s="100">
        <f t="shared" si="6"/>
        <v>0</v>
      </c>
      <c r="O43" s="96">
        <f>Amnt_Deposited!B38</f>
        <v>2024</v>
      </c>
      <c r="P43" s="99">
        <f>Amnt_Deposited!O38</f>
        <v>8.6075981299246944</v>
      </c>
      <c r="Q43" s="284">
        <f>MCF!R42</f>
        <v>0.8</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Amnt_Deposited!O39</f>
        <v>8.5581859627341608</v>
      </c>
      <c r="D44" s="418">
        <f>Dry_Matter_Content!O31</f>
        <v>0</v>
      </c>
      <c r="E44" s="284">
        <f>MCF!R43</f>
        <v>0.8</v>
      </c>
      <c r="F44" s="67">
        <f t="shared" si="0"/>
        <v>0</v>
      </c>
      <c r="G44" s="67">
        <f t="shared" si="1"/>
        <v>0</v>
      </c>
      <c r="H44" s="67">
        <f t="shared" si="2"/>
        <v>0</v>
      </c>
      <c r="I44" s="67">
        <f t="shared" si="3"/>
        <v>0</v>
      </c>
      <c r="J44" s="67">
        <f t="shared" si="4"/>
        <v>0</v>
      </c>
      <c r="K44" s="100">
        <f t="shared" si="6"/>
        <v>0</v>
      </c>
      <c r="O44" s="96">
        <f>Amnt_Deposited!B39</f>
        <v>2025</v>
      </c>
      <c r="P44" s="99">
        <f>Amnt_Deposited!O39</f>
        <v>8.5581859627341608</v>
      </c>
      <c r="Q44" s="284">
        <f>MCF!R43</f>
        <v>0.8</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Amnt_Deposited!O40</f>
        <v>8.506250126817184</v>
      </c>
      <c r="D45" s="418">
        <f>Dry_Matter_Content!O32</f>
        <v>0</v>
      </c>
      <c r="E45" s="284">
        <f>MCF!R44</f>
        <v>0.8</v>
      </c>
      <c r="F45" s="67">
        <f t="shared" si="0"/>
        <v>0</v>
      </c>
      <c r="G45" s="67">
        <f t="shared" si="1"/>
        <v>0</v>
      </c>
      <c r="H45" s="67">
        <f t="shared" si="2"/>
        <v>0</v>
      </c>
      <c r="I45" s="67">
        <f t="shared" si="3"/>
        <v>0</v>
      </c>
      <c r="J45" s="67">
        <f t="shared" si="4"/>
        <v>0</v>
      </c>
      <c r="K45" s="100">
        <f t="shared" si="6"/>
        <v>0</v>
      </c>
      <c r="O45" s="96">
        <f>Amnt_Deposited!B40</f>
        <v>2026</v>
      </c>
      <c r="P45" s="99">
        <f>Amnt_Deposited!O40</f>
        <v>8.506250126817184</v>
      </c>
      <c r="Q45" s="284">
        <f>MCF!R44</f>
        <v>0.8</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Amnt_Deposited!O41</f>
        <v>8.4519387378331228</v>
      </c>
      <c r="D46" s="418">
        <f>Dry_Matter_Content!O33</f>
        <v>0</v>
      </c>
      <c r="E46" s="284">
        <f>MCF!R45</f>
        <v>0.8</v>
      </c>
      <c r="F46" s="67">
        <f t="shared" si="0"/>
        <v>0</v>
      </c>
      <c r="G46" s="67">
        <f t="shared" si="1"/>
        <v>0</v>
      </c>
      <c r="H46" s="67">
        <f t="shared" si="2"/>
        <v>0</v>
      </c>
      <c r="I46" s="67">
        <f t="shared" si="3"/>
        <v>0</v>
      </c>
      <c r="J46" s="67">
        <f t="shared" si="4"/>
        <v>0</v>
      </c>
      <c r="K46" s="100">
        <f t="shared" si="6"/>
        <v>0</v>
      </c>
      <c r="O46" s="96">
        <f>Amnt_Deposited!B41</f>
        <v>2027</v>
      </c>
      <c r="P46" s="99">
        <f>Amnt_Deposited!O41</f>
        <v>8.4519387378331228</v>
      </c>
      <c r="Q46" s="284">
        <f>MCF!R45</f>
        <v>0.8</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Amnt_Deposited!O42</f>
        <v>8.3953942906428676</v>
      </c>
      <c r="D47" s="418">
        <f>Dry_Matter_Content!O34</f>
        <v>0</v>
      </c>
      <c r="E47" s="284">
        <f>MCF!R46</f>
        <v>0.8</v>
      </c>
      <c r="F47" s="67">
        <f t="shared" si="0"/>
        <v>0</v>
      </c>
      <c r="G47" s="67">
        <f t="shared" si="1"/>
        <v>0</v>
      </c>
      <c r="H47" s="67">
        <f t="shared" si="2"/>
        <v>0</v>
      </c>
      <c r="I47" s="67">
        <f t="shared" si="3"/>
        <v>0</v>
      </c>
      <c r="J47" s="67">
        <f t="shared" si="4"/>
        <v>0</v>
      </c>
      <c r="K47" s="100">
        <f t="shared" si="6"/>
        <v>0</v>
      </c>
      <c r="O47" s="96">
        <f>Amnt_Deposited!B42</f>
        <v>2028</v>
      </c>
      <c r="P47" s="99">
        <f>Amnt_Deposited!O42</f>
        <v>8.3953942906428676</v>
      </c>
      <c r="Q47" s="284">
        <f>MCF!R46</f>
        <v>0.8</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Amnt_Deposited!O43</f>
        <v>8.3367538429602117</v>
      </c>
      <c r="D48" s="418">
        <f>Dry_Matter_Content!O35</f>
        <v>0</v>
      </c>
      <c r="E48" s="284">
        <f>MCF!R47</f>
        <v>0.8</v>
      </c>
      <c r="F48" s="67">
        <f t="shared" si="0"/>
        <v>0</v>
      </c>
      <c r="G48" s="67">
        <f t="shared" si="1"/>
        <v>0</v>
      </c>
      <c r="H48" s="67">
        <f t="shared" si="2"/>
        <v>0</v>
      </c>
      <c r="I48" s="67">
        <f t="shared" si="3"/>
        <v>0</v>
      </c>
      <c r="J48" s="67">
        <f t="shared" si="4"/>
        <v>0</v>
      </c>
      <c r="K48" s="100">
        <f t="shared" si="6"/>
        <v>0</v>
      </c>
      <c r="O48" s="96">
        <f>Amnt_Deposited!B43</f>
        <v>2029</v>
      </c>
      <c r="P48" s="99">
        <f>Amnt_Deposited!O43</f>
        <v>8.3367538429602117</v>
      </c>
      <c r="Q48" s="284">
        <f>MCF!R47</f>
        <v>0.8</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Amnt_Deposited!O44</f>
        <v>8.276504000000001</v>
      </c>
      <c r="D49" s="418">
        <f>Dry_Matter_Content!O36</f>
        <v>0</v>
      </c>
      <c r="E49" s="284">
        <f>MCF!R48</f>
        <v>0.8</v>
      </c>
      <c r="F49" s="67">
        <f t="shared" si="0"/>
        <v>0</v>
      </c>
      <c r="G49" s="67">
        <f t="shared" si="1"/>
        <v>0</v>
      </c>
      <c r="H49" s="67">
        <f t="shared" si="2"/>
        <v>0</v>
      </c>
      <c r="I49" s="67">
        <f t="shared" si="3"/>
        <v>0</v>
      </c>
      <c r="J49" s="67">
        <f t="shared" si="4"/>
        <v>0</v>
      </c>
      <c r="K49" s="100">
        <f t="shared" si="6"/>
        <v>0</v>
      </c>
      <c r="O49" s="96">
        <f>Amnt_Deposited!B44</f>
        <v>2030</v>
      </c>
      <c r="P49" s="99">
        <f>Amnt_Deposited!O44</f>
        <v>8.276504000000001</v>
      </c>
      <c r="Q49" s="284">
        <f>MCF!R48</f>
        <v>0.8</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Amnt_Deposited!O45</f>
        <v>0</v>
      </c>
      <c r="D50" s="418">
        <f>Dry_Matter_Content!O37</f>
        <v>0</v>
      </c>
      <c r="E50" s="284">
        <f>MCF!R49</f>
        <v>0.8</v>
      </c>
      <c r="F50" s="67">
        <f t="shared" si="0"/>
        <v>0</v>
      </c>
      <c r="G50" s="67">
        <f t="shared" si="1"/>
        <v>0</v>
      </c>
      <c r="H50" s="67">
        <f t="shared" si="2"/>
        <v>0</v>
      </c>
      <c r="I50" s="67">
        <f t="shared" si="3"/>
        <v>0</v>
      </c>
      <c r="J50" s="67">
        <f t="shared" si="4"/>
        <v>0</v>
      </c>
      <c r="K50" s="100">
        <f t="shared" si="6"/>
        <v>0</v>
      </c>
      <c r="O50" s="96">
        <f>Amnt_Deposited!B45</f>
        <v>2031</v>
      </c>
      <c r="P50" s="99">
        <f>Amnt_Deposited!O45</f>
        <v>0</v>
      </c>
      <c r="Q50" s="284">
        <f>MCF!R49</f>
        <v>0.8</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Amnt_Deposited!O46</f>
        <v>0</v>
      </c>
      <c r="D51" s="418">
        <f>Dry_Matter_Content!O38</f>
        <v>0</v>
      </c>
      <c r="E51" s="284">
        <f>MCF!R50</f>
        <v>0.8</v>
      </c>
      <c r="F51" s="67">
        <f t="shared" si="0"/>
        <v>0</v>
      </c>
      <c r="G51" s="67">
        <f t="shared" si="1"/>
        <v>0</v>
      </c>
      <c r="H51" s="67">
        <f t="shared" si="2"/>
        <v>0</v>
      </c>
      <c r="I51" s="67">
        <f t="shared" si="3"/>
        <v>0</v>
      </c>
      <c r="J51" s="67">
        <f t="shared" si="4"/>
        <v>0</v>
      </c>
      <c r="K51" s="100">
        <f t="shared" si="6"/>
        <v>0</v>
      </c>
      <c r="O51" s="96">
        <f>Amnt_Deposited!B46</f>
        <v>2032</v>
      </c>
      <c r="P51" s="99">
        <f>Amnt_Deposited!O46</f>
        <v>0</v>
      </c>
      <c r="Q51" s="284">
        <f>MCF!R50</f>
        <v>0.8</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Amnt_Deposited!O47</f>
        <v>0</v>
      </c>
      <c r="D52" s="418">
        <f>Dry_Matter_Content!O39</f>
        <v>0</v>
      </c>
      <c r="E52" s="284">
        <f>MCF!R51</f>
        <v>0.8</v>
      </c>
      <c r="F52" s="67">
        <f t="shared" si="0"/>
        <v>0</v>
      </c>
      <c r="G52" s="67">
        <f t="shared" si="1"/>
        <v>0</v>
      </c>
      <c r="H52" s="67">
        <f t="shared" si="2"/>
        <v>0</v>
      </c>
      <c r="I52" s="67">
        <f t="shared" si="3"/>
        <v>0</v>
      </c>
      <c r="J52" s="67">
        <f t="shared" si="4"/>
        <v>0</v>
      </c>
      <c r="K52" s="100">
        <f t="shared" si="6"/>
        <v>0</v>
      </c>
      <c r="O52" s="96">
        <f>Amnt_Deposited!B47</f>
        <v>2033</v>
      </c>
      <c r="P52" s="99">
        <f>Amnt_Deposited!O47</f>
        <v>0</v>
      </c>
      <c r="Q52" s="284">
        <f>MCF!R51</f>
        <v>0.8</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Amnt_Deposited!O48</f>
        <v>0</v>
      </c>
      <c r="D53" s="418">
        <f>Dry_Matter_Content!O40</f>
        <v>0</v>
      </c>
      <c r="E53" s="284">
        <f>MCF!R52</f>
        <v>0.8</v>
      </c>
      <c r="F53" s="67">
        <f t="shared" si="0"/>
        <v>0</v>
      </c>
      <c r="G53" s="67">
        <f t="shared" si="1"/>
        <v>0</v>
      </c>
      <c r="H53" s="67">
        <f t="shared" si="2"/>
        <v>0</v>
      </c>
      <c r="I53" s="67">
        <f t="shared" si="3"/>
        <v>0</v>
      </c>
      <c r="J53" s="67">
        <f t="shared" si="4"/>
        <v>0</v>
      </c>
      <c r="K53" s="100">
        <f t="shared" si="6"/>
        <v>0</v>
      </c>
      <c r="O53" s="96">
        <f>Amnt_Deposited!B48</f>
        <v>2034</v>
      </c>
      <c r="P53" s="99">
        <f>Amnt_Deposited!O48</f>
        <v>0</v>
      </c>
      <c r="Q53" s="284">
        <f>MCF!R52</f>
        <v>0.8</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Amnt_Deposited!O49</f>
        <v>0</v>
      </c>
      <c r="D54" s="418">
        <f>Dry_Matter_Content!O41</f>
        <v>0</v>
      </c>
      <c r="E54" s="284">
        <f>MCF!R53</f>
        <v>0.8</v>
      </c>
      <c r="F54" s="67">
        <f t="shared" si="0"/>
        <v>0</v>
      </c>
      <c r="G54" s="67">
        <f t="shared" si="1"/>
        <v>0</v>
      </c>
      <c r="H54" s="67">
        <f t="shared" si="2"/>
        <v>0</v>
      </c>
      <c r="I54" s="67">
        <f t="shared" si="3"/>
        <v>0</v>
      </c>
      <c r="J54" s="67">
        <f t="shared" si="4"/>
        <v>0</v>
      </c>
      <c r="K54" s="100">
        <f t="shared" si="6"/>
        <v>0</v>
      </c>
      <c r="O54" s="96">
        <f>Amnt_Deposited!B49</f>
        <v>2035</v>
      </c>
      <c r="P54" s="99">
        <f>Amnt_Deposited!O49</f>
        <v>0</v>
      </c>
      <c r="Q54" s="284">
        <f>MCF!R53</f>
        <v>0.8</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Amnt_Deposited!O50</f>
        <v>0</v>
      </c>
      <c r="D55" s="418">
        <f>Dry_Matter_Content!O42</f>
        <v>0</v>
      </c>
      <c r="E55" s="284">
        <f>MCF!R54</f>
        <v>0.8</v>
      </c>
      <c r="F55" s="67">
        <f t="shared" si="0"/>
        <v>0</v>
      </c>
      <c r="G55" s="67">
        <f t="shared" si="1"/>
        <v>0</v>
      </c>
      <c r="H55" s="67">
        <f t="shared" si="2"/>
        <v>0</v>
      </c>
      <c r="I55" s="67">
        <f t="shared" si="3"/>
        <v>0</v>
      </c>
      <c r="J55" s="67">
        <f t="shared" si="4"/>
        <v>0</v>
      </c>
      <c r="K55" s="100">
        <f t="shared" si="6"/>
        <v>0</v>
      </c>
      <c r="O55" s="96">
        <f>Amnt_Deposited!B50</f>
        <v>2036</v>
      </c>
      <c r="P55" s="99">
        <f>Amnt_Deposited!O50</f>
        <v>0</v>
      </c>
      <c r="Q55" s="284">
        <f>MCF!R54</f>
        <v>0.8</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Amnt_Deposited!O51</f>
        <v>0</v>
      </c>
      <c r="D56" s="418">
        <f>Dry_Matter_Content!O43</f>
        <v>0</v>
      </c>
      <c r="E56" s="284">
        <f>MCF!R55</f>
        <v>0.8</v>
      </c>
      <c r="F56" s="67">
        <f t="shared" si="0"/>
        <v>0</v>
      </c>
      <c r="G56" s="67">
        <f t="shared" si="1"/>
        <v>0</v>
      </c>
      <c r="H56" s="67">
        <f t="shared" si="2"/>
        <v>0</v>
      </c>
      <c r="I56" s="67">
        <f t="shared" si="3"/>
        <v>0</v>
      </c>
      <c r="J56" s="67">
        <f t="shared" si="4"/>
        <v>0</v>
      </c>
      <c r="K56" s="100">
        <f t="shared" si="6"/>
        <v>0</v>
      </c>
      <c r="O56" s="96">
        <f>Amnt_Deposited!B51</f>
        <v>2037</v>
      </c>
      <c r="P56" s="99">
        <f>Amnt_Deposited!O51</f>
        <v>0</v>
      </c>
      <c r="Q56" s="284">
        <f>MCF!R55</f>
        <v>0.8</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Amnt_Deposited!O52</f>
        <v>0</v>
      </c>
      <c r="D57" s="418">
        <f>Dry_Matter_Content!O44</f>
        <v>0</v>
      </c>
      <c r="E57" s="284">
        <f>MCF!R56</f>
        <v>0.8</v>
      </c>
      <c r="F57" s="67">
        <f t="shared" si="0"/>
        <v>0</v>
      </c>
      <c r="G57" s="67">
        <f t="shared" si="1"/>
        <v>0</v>
      </c>
      <c r="H57" s="67">
        <f t="shared" si="2"/>
        <v>0</v>
      </c>
      <c r="I57" s="67">
        <f t="shared" si="3"/>
        <v>0</v>
      </c>
      <c r="J57" s="67">
        <f t="shared" si="4"/>
        <v>0</v>
      </c>
      <c r="K57" s="100">
        <f t="shared" si="6"/>
        <v>0</v>
      </c>
      <c r="O57" s="96">
        <f>Amnt_Deposited!B52</f>
        <v>2038</v>
      </c>
      <c r="P57" s="99">
        <f>Amnt_Deposited!O52</f>
        <v>0</v>
      </c>
      <c r="Q57" s="284">
        <f>MCF!R56</f>
        <v>0.8</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Amnt_Deposited!O53</f>
        <v>0</v>
      </c>
      <c r="D58" s="418">
        <f>Dry_Matter_Content!O45</f>
        <v>0</v>
      </c>
      <c r="E58" s="284">
        <f>MCF!R57</f>
        <v>0.8</v>
      </c>
      <c r="F58" s="67">
        <f t="shared" si="0"/>
        <v>0</v>
      </c>
      <c r="G58" s="67">
        <f t="shared" si="1"/>
        <v>0</v>
      </c>
      <c r="H58" s="67">
        <f t="shared" si="2"/>
        <v>0</v>
      </c>
      <c r="I58" s="67">
        <f t="shared" si="3"/>
        <v>0</v>
      </c>
      <c r="J58" s="67">
        <f t="shared" si="4"/>
        <v>0</v>
      </c>
      <c r="K58" s="100">
        <f t="shared" si="6"/>
        <v>0</v>
      </c>
      <c r="O58" s="96">
        <f>Amnt_Deposited!B53</f>
        <v>2039</v>
      </c>
      <c r="P58" s="99">
        <f>Amnt_Deposited!O53</f>
        <v>0</v>
      </c>
      <c r="Q58" s="284">
        <f>MCF!R57</f>
        <v>0.8</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Amnt_Deposited!O54</f>
        <v>0</v>
      </c>
      <c r="D59" s="418">
        <f>Dry_Matter_Content!O46</f>
        <v>0</v>
      </c>
      <c r="E59" s="284">
        <f>MCF!R58</f>
        <v>0.8</v>
      </c>
      <c r="F59" s="67">
        <f t="shared" si="0"/>
        <v>0</v>
      </c>
      <c r="G59" s="67">
        <f t="shared" si="1"/>
        <v>0</v>
      </c>
      <c r="H59" s="67">
        <f t="shared" si="2"/>
        <v>0</v>
      </c>
      <c r="I59" s="67">
        <f t="shared" si="3"/>
        <v>0</v>
      </c>
      <c r="J59" s="67">
        <f t="shared" si="4"/>
        <v>0</v>
      </c>
      <c r="K59" s="100">
        <f t="shared" si="6"/>
        <v>0</v>
      </c>
      <c r="O59" s="96">
        <f>Amnt_Deposited!B54</f>
        <v>2040</v>
      </c>
      <c r="P59" s="99">
        <f>Amnt_Deposited!O54</f>
        <v>0</v>
      </c>
      <c r="Q59" s="284">
        <f>MCF!R58</f>
        <v>0.8</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Amnt_Deposited!O55</f>
        <v>0</v>
      </c>
      <c r="D60" s="418">
        <f>Dry_Matter_Content!O47</f>
        <v>0</v>
      </c>
      <c r="E60" s="284">
        <f>MCF!R59</f>
        <v>0.8</v>
      </c>
      <c r="F60" s="67">
        <f t="shared" si="0"/>
        <v>0</v>
      </c>
      <c r="G60" s="67">
        <f t="shared" si="1"/>
        <v>0</v>
      </c>
      <c r="H60" s="67">
        <f t="shared" si="2"/>
        <v>0</v>
      </c>
      <c r="I60" s="67">
        <f t="shared" si="3"/>
        <v>0</v>
      </c>
      <c r="J60" s="67">
        <f t="shared" si="4"/>
        <v>0</v>
      </c>
      <c r="K60" s="100">
        <f t="shared" si="6"/>
        <v>0</v>
      </c>
      <c r="O60" s="96">
        <f>Amnt_Deposited!B55</f>
        <v>2041</v>
      </c>
      <c r="P60" s="99">
        <f>Amnt_Deposited!O55</f>
        <v>0</v>
      </c>
      <c r="Q60" s="284">
        <f>MCF!R59</f>
        <v>0.8</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Amnt_Deposited!O56</f>
        <v>0</v>
      </c>
      <c r="D61" s="418">
        <f>Dry_Matter_Content!O48</f>
        <v>0</v>
      </c>
      <c r="E61" s="284">
        <f>MCF!R60</f>
        <v>0.8</v>
      </c>
      <c r="F61" s="67">
        <f t="shared" si="0"/>
        <v>0</v>
      </c>
      <c r="G61" s="67">
        <f t="shared" si="1"/>
        <v>0</v>
      </c>
      <c r="H61" s="67">
        <f t="shared" si="2"/>
        <v>0</v>
      </c>
      <c r="I61" s="67">
        <f t="shared" si="3"/>
        <v>0</v>
      </c>
      <c r="J61" s="67">
        <f t="shared" si="4"/>
        <v>0</v>
      </c>
      <c r="K61" s="100">
        <f t="shared" si="6"/>
        <v>0</v>
      </c>
      <c r="O61" s="96">
        <f>Amnt_Deposited!B56</f>
        <v>2042</v>
      </c>
      <c r="P61" s="99">
        <f>Amnt_Deposited!O56</f>
        <v>0</v>
      </c>
      <c r="Q61" s="284">
        <f>MCF!R60</f>
        <v>0.8</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Amnt_Deposited!O57</f>
        <v>0</v>
      </c>
      <c r="D62" s="418">
        <f>Dry_Matter_Content!O49</f>
        <v>0</v>
      </c>
      <c r="E62" s="284">
        <f>MCF!R61</f>
        <v>0.8</v>
      </c>
      <c r="F62" s="67">
        <f t="shared" si="0"/>
        <v>0</v>
      </c>
      <c r="G62" s="67">
        <f t="shared" si="1"/>
        <v>0</v>
      </c>
      <c r="H62" s="67">
        <f t="shared" si="2"/>
        <v>0</v>
      </c>
      <c r="I62" s="67">
        <f t="shared" si="3"/>
        <v>0</v>
      </c>
      <c r="J62" s="67">
        <f t="shared" si="4"/>
        <v>0</v>
      </c>
      <c r="K62" s="100">
        <f t="shared" si="6"/>
        <v>0</v>
      </c>
      <c r="O62" s="96">
        <f>Amnt_Deposited!B57</f>
        <v>2043</v>
      </c>
      <c r="P62" s="99">
        <f>Amnt_Deposited!O57</f>
        <v>0</v>
      </c>
      <c r="Q62" s="284">
        <f>MCF!R61</f>
        <v>0.8</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Amnt_Deposited!O58</f>
        <v>0</v>
      </c>
      <c r="D63" s="418">
        <f>Dry_Matter_Content!O50</f>
        <v>0</v>
      </c>
      <c r="E63" s="284">
        <f>MCF!R62</f>
        <v>0.8</v>
      </c>
      <c r="F63" s="67">
        <f t="shared" si="0"/>
        <v>0</v>
      </c>
      <c r="G63" s="67">
        <f t="shared" si="1"/>
        <v>0</v>
      </c>
      <c r="H63" s="67">
        <f t="shared" si="2"/>
        <v>0</v>
      </c>
      <c r="I63" s="67">
        <f t="shared" si="3"/>
        <v>0</v>
      </c>
      <c r="J63" s="67">
        <f t="shared" si="4"/>
        <v>0</v>
      </c>
      <c r="K63" s="100">
        <f t="shared" si="6"/>
        <v>0</v>
      </c>
      <c r="O63" s="96">
        <f>Amnt_Deposited!B58</f>
        <v>2044</v>
      </c>
      <c r="P63" s="99">
        <f>Amnt_Deposited!O58</f>
        <v>0</v>
      </c>
      <c r="Q63" s="284">
        <f>MCF!R62</f>
        <v>0.8</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Amnt_Deposited!O59</f>
        <v>0</v>
      </c>
      <c r="D64" s="418">
        <f>Dry_Matter_Content!O51</f>
        <v>0</v>
      </c>
      <c r="E64" s="284">
        <f>MCF!R63</f>
        <v>0.8</v>
      </c>
      <c r="F64" s="67">
        <f t="shared" si="0"/>
        <v>0</v>
      </c>
      <c r="G64" s="67">
        <f t="shared" si="1"/>
        <v>0</v>
      </c>
      <c r="H64" s="67">
        <f t="shared" si="2"/>
        <v>0</v>
      </c>
      <c r="I64" s="67">
        <f t="shared" si="3"/>
        <v>0</v>
      </c>
      <c r="J64" s="67">
        <f t="shared" si="4"/>
        <v>0</v>
      </c>
      <c r="K64" s="100">
        <f t="shared" si="6"/>
        <v>0</v>
      </c>
      <c r="O64" s="96">
        <f>Amnt_Deposited!B59</f>
        <v>2045</v>
      </c>
      <c r="P64" s="99">
        <f>Amnt_Deposited!O59</f>
        <v>0</v>
      </c>
      <c r="Q64" s="284">
        <f>MCF!R63</f>
        <v>0.8</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Amnt_Deposited!O60</f>
        <v>0</v>
      </c>
      <c r="D65" s="418">
        <f>Dry_Matter_Content!O52</f>
        <v>0</v>
      </c>
      <c r="E65" s="284">
        <f>MCF!R64</f>
        <v>0.8</v>
      </c>
      <c r="F65" s="67">
        <f t="shared" si="0"/>
        <v>0</v>
      </c>
      <c r="G65" s="67">
        <f t="shared" si="1"/>
        <v>0</v>
      </c>
      <c r="H65" s="67">
        <f t="shared" si="2"/>
        <v>0</v>
      </c>
      <c r="I65" s="67">
        <f t="shared" si="3"/>
        <v>0</v>
      </c>
      <c r="J65" s="67">
        <f t="shared" si="4"/>
        <v>0</v>
      </c>
      <c r="K65" s="100">
        <f t="shared" si="6"/>
        <v>0</v>
      </c>
      <c r="O65" s="96">
        <f>Amnt_Deposited!B60</f>
        <v>2046</v>
      </c>
      <c r="P65" s="99">
        <f>Amnt_Deposited!O60</f>
        <v>0</v>
      </c>
      <c r="Q65" s="284">
        <f>MCF!R64</f>
        <v>0.8</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Amnt_Deposited!O61</f>
        <v>0</v>
      </c>
      <c r="D66" s="418">
        <f>Dry_Matter_Content!O53</f>
        <v>0</v>
      </c>
      <c r="E66" s="284">
        <f>MCF!R65</f>
        <v>0.8</v>
      </c>
      <c r="F66" s="67">
        <f t="shared" si="0"/>
        <v>0</v>
      </c>
      <c r="G66" s="67">
        <f t="shared" si="1"/>
        <v>0</v>
      </c>
      <c r="H66" s="67">
        <f t="shared" si="2"/>
        <v>0</v>
      </c>
      <c r="I66" s="67">
        <f t="shared" si="3"/>
        <v>0</v>
      </c>
      <c r="J66" s="67">
        <f t="shared" si="4"/>
        <v>0</v>
      </c>
      <c r="K66" s="100">
        <f t="shared" si="6"/>
        <v>0</v>
      </c>
      <c r="O66" s="96">
        <f>Amnt_Deposited!B61</f>
        <v>2047</v>
      </c>
      <c r="P66" s="99">
        <f>Amnt_Deposited!O61</f>
        <v>0</v>
      </c>
      <c r="Q66" s="284">
        <f>MCF!R65</f>
        <v>0.8</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Amnt_Deposited!O62</f>
        <v>0</v>
      </c>
      <c r="D67" s="418">
        <f>Dry_Matter_Content!O54</f>
        <v>0</v>
      </c>
      <c r="E67" s="284">
        <f>MCF!R66</f>
        <v>0.8</v>
      </c>
      <c r="F67" s="67">
        <f t="shared" si="0"/>
        <v>0</v>
      </c>
      <c r="G67" s="67">
        <f t="shared" si="1"/>
        <v>0</v>
      </c>
      <c r="H67" s="67">
        <f t="shared" si="2"/>
        <v>0</v>
      </c>
      <c r="I67" s="67">
        <f t="shared" si="3"/>
        <v>0</v>
      </c>
      <c r="J67" s="67">
        <f t="shared" si="4"/>
        <v>0</v>
      </c>
      <c r="K67" s="100">
        <f t="shared" si="6"/>
        <v>0</v>
      </c>
      <c r="O67" s="96">
        <f>Amnt_Deposited!B62</f>
        <v>2048</v>
      </c>
      <c r="P67" s="99">
        <f>Amnt_Deposited!O62</f>
        <v>0</v>
      </c>
      <c r="Q67" s="284">
        <f>MCF!R66</f>
        <v>0.8</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Amnt_Deposited!O63</f>
        <v>0</v>
      </c>
      <c r="D68" s="418">
        <f>Dry_Matter_Content!O55</f>
        <v>0</v>
      </c>
      <c r="E68" s="284">
        <f>MCF!R67</f>
        <v>0.8</v>
      </c>
      <c r="F68" s="67">
        <f t="shared" si="0"/>
        <v>0</v>
      </c>
      <c r="G68" s="67">
        <f t="shared" si="1"/>
        <v>0</v>
      </c>
      <c r="H68" s="67">
        <f t="shared" si="2"/>
        <v>0</v>
      </c>
      <c r="I68" s="67">
        <f t="shared" si="3"/>
        <v>0</v>
      </c>
      <c r="J68" s="67">
        <f t="shared" si="4"/>
        <v>0</v>
      </c>
      <c r="K68" s="100">
        <f t="shared" si="6"/>
        <v>0</v>
      </c>
      <c r="O68" s="96">
        <f>Amnt_Deposited!B63</f>
        <v>2049</v>
      </c>
      <c r="P68" s="99">
        <f>Amnt_Deposited!O63</f>
        <v>0</v>
      </c>
      <c r="Q68" s="284">
        <f>MCF!R67</f>
        <v>0.8</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Amnt_Deposited!O64</f>
        <v>0</v>
      </c>
      <c r="D69" s="418">
        <f>Dry_Matter_Content!O56</f>
        <v>0</v>
      </c>
      <c r="E69" s="284">
        <f>MCF!R68</f>
        <v>0.8</v>
      </c>
      <c r="F69" s="67">
        <f t="shared" si="0"/>
        <v>0</v>
      </c>
      <c r="G69" s="67">
        <f t="shared" si="1"/>
        <v>0</v>
      </c>
      <c r="H69" s="67">
        <f t="shared" si="2"/>
        <v>0</v>
      </c>
      <c r="I69" s="67">
        <f t="shared" si="3"/>
        <v>0</v>
      </c>
      <c r="J69" s="67">
        <f t="shared" si="4"/>
        <v>0</v>
      </c>
      <c r="K69" s="100">
        <f t="shared" si="6"/>
        <v>0</v>
      </c>
      <c r="O69" s="96">
        <f>Amnt_Deposited!B64</f>
        <v>2050</v>
      </c>
      <c r="P69" s="99">
        <f>Amnt_Deposited!O64</f>
        <v>0</v>
      </c>
      <c r="Q69" s="284">
        <f>MCF!R68</f>
        <v>0.8</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Amnt_Deposited!O65</f>
        <v>0</v>
      </c>
      <c r="D70" s="418">
        <f>Dry_Matter_Content!O57</f>
        <v>0</v>
      </c>
      <c r="E70" s="284">
        <f>MCF!R69</f>
        <v>0.8</v>
      </c>
      <c r="F70" s="67">
        <f t="shared" si="0"/>
        <v>0</v>
      </c>
      <c r="G70" s="67">
        <f t="shared" si="1"/>
        <v>0</v>
      </c>
      <c r="H70" s="67">
        <f t="shared" si="2"/>
        <v>0</v>
      </c>
      <c r="I70" s="67">
        <f t="shared" si="3"/>
        <v>0</v>
      </c>
      <c r="J70" s="67">
        <f t="shared" si="4"/>
        <v>0</v>
      </c>
      <c r="K70" s="100">
        <f t="shared" si="6"/>
        <v>0</v>
      </c>
      <c r="O70" s="96">
        <f>Amnt_Deposited!B65</f>
        <v>2051</v>
      </c>
      <c r="P70" s="99">
        <f>Amnt_Deposited!O65</f>
        <v>0</v>
      </c>
      <c r="Q70" s="284">
        <f>MCF!R69</f>
        <v>0.8</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Amnt_Deposited!O66</f>
        <v>0</v>
      </c>
      <c r="D71" s="418">
        <f>Dry_Matter_Content!O58</f>
        <v>0</v>
      </c>
      <c r="E71" s="284">
        <f>MCF!R70</f>
        <v>0.8</v>
      </c>
      <c r="F71" s="67">
        <f t="shared" si="0"/>
        <v>0</v>
      </c>
      <c r="G71" s="67">
        <f t="shared" si="1"/>
        <v>0</v>
      </c>
      <c r="H71" s="67">
        <f t="shared" si="2"/>
        <v>0</v>
      </c>
      <c r="I71" s="67">
        <f t="shared" si="3"/>
        <v>0</v>
      </c>
      <c r="J71" s="67">
        <f t="shared" si="4"/>
        <v>0</v>
      </c>
      <c r="K71" s="100">
        <f t="shared" si="6"/>
        <v>0</v>
      </c>
      <c r="O71" s="96">
        <f>Amnt_Deposited!B66</f>
        <v>2052</v>
      </c>
      <c r="P71" s="99">
        <f>Amnt_Deposited!O66</f>
        <v>0</v>
      </c>
      <c r="Q71" s="284">
        <f>MCF!R70</f>
        <v>0.8</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Amnt_Deposited!O67</f>
        <v>0</v>
      </c>
      <c r="D72" s="418">
        <f>Dry_Matter_Content!O59</f>
        <v>0</v>
      </c>
      <c r="E72" s="284">
        <f>MCF!R71</f>
        <v>0.8</v>
      </c>
      <c r="F72" s="67">
        <f t="shared" si="0"/>
        <v>0</v>
      </c>
      <c r="G72" s="67">
        <f t="shared" si="1"/>
        <v>0</v>
      </c>
      <c r="H72" s="67">
        <f t="shared" si="2"/>
        <v>0</v>
      </c>
      <c r="I72" s="67">
        <f t="shared" si="3"/>
        <v>0</v>
      </c>
      <c r="J72" s="67">
        <f t="shared" si="4"/>
        <v>0</v>
      </c>
      <c r="K72" s="100">
        <f t="shared" si="6"/>
        <v>0</v>
      </c>
      <c r="O72" s="96">
        <f>Amnt_Deposited!B67</f>
        <v>2053</v>
      </c>
      <c r="P72" s="99">
        <f>Amnt_Deposited!O67</f>
        <v>0</v>
      </c>
      <c r="Q72" s="284">
        <f>MCF!R71</f>
        <v>0.8</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Amnt_Deposited!O68</f>
        <v>0</v>
      </c>
      <c r="D73" s="418">
        <f>Dry_Matter_Content!O60</f>
        <v>0</v>
      </c>
      <c r="E73" s="284">
        <f>MCF!R72</f>
        <v>0.8</v>
      </c>
      <c r="F73" s="67">
        <f t="shared" si="0"/>
        <v>0</v>
      </c>
      <c r="G73" s="67">
        <f t="shared" si="1"/>
        <v>0</v>
      </c>
      <c r="H73" s="67">
        <f t="shared" si="2"/>
        <v>0</v>
      </c>
      <c r="I73" s="67">
        <f t="shared" si="3"/>
        <v>0</v>
      </c>
      <c r="J73" s="67">
        <f t="shared" si="4"/>
        <v>0</v>
      </c>
      <c r="K73" s="100">
        <f t="shared" si="6"/>
        <v>0</v>
      </c>
      <c r="O73" s="96">
        <f>Amnt_Deposited!B68</f>
        <v>2054</v>
      </c>
      <c r="P73" s="99">
        <f>Amnt_Deposited!O68</f>
        <v>0</v>
      </c>
      <c r="Q73" s="284">
        <f>MCF!R72</f>
        <v>0.8</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Amnt_Deposited!O69</f>
        <v>0</v>
      </c>
      <c r="D74" s="418">
        <f>Dry_Matter_Content!O61</f>
        <v>0</v>
      </c>
      <c r="E74" s="284">
        <f>MCF!R73</f>
        <v>0.8</v>
      </c>
      <c r="F74" s="67">
        <f t="shared" si="0"/>
        <v>0</v>
      </c>
      <c r="G74" s="67">
        <f t="shared" si="1"/>
        <v>0</v>
      </c>
      <c r="H74" s="67">
        <f t="shared" si="2"/>
        <v>0</v>
      </c>
      <c r="I74" s="67">
        <f t="shared" si="3"/>
        <v>0</v>
      </c>
      <c r="J74" s="67">
        <f t="shared" si="4"/>
        <v>0</v>
      </c>
      <c r="K74" s="100">
        <f t="shared" si="6"/>
        <v>0</v>
      </c>
      <c r="O74" s="96">
        <f>Amnt_Deposited!B69</f>
        <v>2055</v>
      </c>
      <c r="P74" s="99">
        <f>Amnt_Deposited!O69</f>
        <v>0</v>
      </c>
      <c r="Q74" s="284">
        <f>MCF!R73</f>
        <v>0.8</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Amnt_Deposited!O70</f>
        <v>0</v>
      </c>
      <c r="D75" s="418">
        <f>Dry_Matter_Content!O62</f>
        <v>0</v>
      </c>
      <c r="E75" s="284">
        <f>MCF!R74</f>
        <v>0.8</v>
      </c>
      <c r="F75" s="67">
        <f t="shared" si="0"/>
        <v>0</v>
      </c>
      <c r="G75" s="67">
        <f t="shared" si="1"/>
        <v>0</v>
      </c>
      <c r="H75" s="67">
        <f t="shared" si="2"/>
        <v>0</v>
      </c>
      <c r="I75" s="67">
        <f t="shared" si="3"/>
        <v>0</v>
      </c>
      <c r="J75" s="67">
        <f t="shared" si="4"/>
        <v>0</v>
      </c>
      <c r="K75" s="100">
        <f t="shared" si="6"/>
        <v>0</v>
      </c>
      <c r="O75" s="96">
        <f>Amnt_Deposited!B70</f>
        <v>2056</v>
      </c>
      <c r="P75" s="99">
        <f>Amnt_Deposited!O70</f>
        <v>0</v>
      </c>
      <c r="Q75" s="284">
        <f>MCF!R74</f>
        <v>0.8</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Amnt_Deposited!O71</f>
        <v>0</v>
      </c>
      <c r="D76" s="418">
        <f>Dry_Matter_Content!O63</f>
        <v>0</v>
      </c>
      <c r="E76" s="284">
        <f>MCF!R75</f>
        <v>0.8</v>
      </c>
      <c r="F76" s="67">
        <f t="shared" si="0"/>
        <v>0</v>
      </c>
      <c r="G76" s="67">
        <f t="shared" si="1"/>
        <v>0</v>
      </c>
      <c r="H76" s="67">
        <f t="shared" si="2"/>
        <v>0</v>
      </c>
      <c r="I76" s="67">
        <f t="shared" si="3"/>
        <v>0</v>
      </c>
      <c r="J76" s="67">
        <f t="shared" si="4"/>
        <v>0</v>
      </c>
      <c r="K76" s="100">
        <f t="shared" si="6"/>
        <v>0</v>
      </c>
      <c r="O76" s="96">
        <f>Amnt_Deposited!B71</f>
        <v>2057</v>
      </c>
      <c r="P76" s="99">
        <f>Amnt_Deposited!O71</f>
        <v>0</v>
      </c>
      <c r="Q76" s="284">
        <f>MCF!R75</f>
        <v>0.8</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Amnt_Deposited!O72</f>
        <v>0</v>
      </c>
      <c r="D77" s="418">
        <f>Dry_Matter_Content!O64</f>
        <v>0</v>
      </c>
      <c r="E77" s="284">
        <f>MCF!R76</f>
        <v>0.8</v>
      </c>
      <c r="F77" s="67">
        <f t="shared" si="0"/>
        <v>0</v>
      </c>
      <c r="G77" s="67">
        <f t="shared" si="1"/>
        <v>0</v>
      </c>
      <c r="H77" s="67">
        <f t="shared" si="2"/>
        <v>0</v>
      </c>
      <c r="I77" s="67">
        <f t="shared" si="3"/>
        <v>0</v>
      </c>
      <c r="J77" s="67">
        <f t="shared" si="4"/>
        <v>0</v>
      </c>
      <c r="K77" s="100">
        <f t="shared" si="6"/>
        <v>0</v>
      </c>
      <c r="O77" s="96">
        <f>Amnt_Deposited!B72</f>
        <v>2058</v>
      </c>
      <c r="P77" s="99">
        <f>Amnt_Deposited!O72</f>
        <v>0</v>
      </c>
      <c r="Q77" s="284">
        <f>MCF!R76</f>
        <v>0.8</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Amnt_Deposited!O73</f>
        <v>0</v>
      </c>
      <c r="D78" s="418">
        <f>Dry_Matter_Content!O65</f>
        <v>0</v>
      </c>
      <c r="E78" s="284">
        <f>MCF!R77</f>
        <v>0.8</v>
      </c>
      <c r="F78" s="67">
        <f t="shared" si="0"/>
        <v>0</v>
      </c>
      <c r="G78" s="67">
        <f t="shared" si="1"/>
        <v>0</v>
      </c>
      <c r="H78" s="67">
        <f t="shared" si="2"/>
        <v>0</v>
      </c>
      <c r="I78" s="67">
        <f t="shared" si="3"/>
        <v>0</v>
      </c>
      <c r="J78" s="67">
        <f t="shared" si="4"/>
        <v>0</v>
      </c>
      <c r="K78" s="100">
        <f t="shared" si="6"/>
        <v>0</v>
      </c>
      <c r="O78" s="96">
        <f>Amnt_Deposited!B73</f>
        <v>2059</v>
      </c>
      <c r="P78" s="99">
        <f>Amnt_Deposited!O73</f>
        <v>0</v>
      </c>
      <c r="Q78" s="284">
        <f>MCF!R77</f>
        <v>0.8</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Amnt_Deposited!O74</f>
        <v>0</v>
      </c>
      <c r="D79" s="418">
        <f>Dry_Matter_Content!O66</f>
        <v>0</v>
      </c>
      <c r="E79" s="284">
        <f>MCF!R78</f>
        <v>0.8</v>
      </c>
      <c r="F79" s="67">
        <f t="shared" si="0"/>
        <v>0</v>
      </c>
      <c r="G79" s="67">
        <f t="shared" si="1"/>
        <v>0</v>
      </c>
      <c r="H79" s="67">
        <f t="shared" si="2"/>
        <v>0</v>
      </c>
      <c r="I79" s="67">
        <f t="shared" si="3"/>
        <v>0</v>
      </c>
      <c r="J79" s="67">
        <f t="shared" si="4"/>
        <v>0</v>
      </c>
      <c r="K79" s="100">
        <f t="shared" si="6"/>
        <v>0</v>
      </c>
      <c r="O79" s="96">
        <f>Amnt_Deposited!B74</f>
        <v>2060</v>
      </c>
      <c r="P79" s="99">
        <f>Amnt_Deposited!O74</f>
        <v>0</v>
      </c>
      <c r="Q79" s="284">
        <f>MCF!R78</f>
        <v>0.8</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Amnt_Deposited!O75</f>
        <v>0</v>
      </c>
      <c r="D80" s="418">
        <f>Dry_Matter_Content!O67</f>
        <v>0</v>
      </c>
      <c r="E80" s="284">
        <f>MCF!R79</f>
        <v>0.8</v>
      </c>
      <c r="F80" s="67">
        <f t="shared" si="0"/>
        <v>0</v>
      </c>
      <c r="G80" s="67">
        <f t="shared" si="1"/>
        <v>0</v>
      </c>
      <c r="H80" s="67">
        <f t="shared" si="2"/>
        <v>0</v>
      </c>
      <c r="I80" s="67">
        <f t="shared" si="3"/>
        <v>0</v>
      </c>
      <c r="J80" s="67">
        <f t="shared" si="4"/>
        <v>0</v>
      </c>
      <c r="K80" s="100">
        <f t="shared" si="6"/>
        <v>0</v>
      </c>
      <c r="O80" s="96">
        <f>Amnt_Deposited!B75</f>
        <v>2061</v>
      </c>
      <c r="P80" s="99">
        <f>Amnt_Deposited!O75</f>
        <v>0</v>
      </c>
      <c r="Q80" s="284">
        <f>MCF!R79</f>
        <v>0.8</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Amnt_Deposited!O76</f>
        <v>0</v>
      </c>
      <c r="D81" s="418">
        <f>Dry_Matter_Content!O68</f>
        <v>0</v>
      </c>
      <c r="E81" s="284">
        <f>MCF!R80</f>
        <v>0.8</v>
      </c>
      <c r="F81" s="67">
        <f t="shared" si="0"/>
        <v>0</v>
      </c>
      <c r="G81" s="67">
        <f t="shared" si="1"/>
        <v>0</v>
      </c>
      <c r="H81" s="67">
        <f t="shared" si="2"/>
        <v>0</v>
      </c>
      <c r="I81" s="67">
        <f t="shared" si="3"/>
        <v>0</v>
      </c>
      <c r="J81" s="67">
        <f t="shared" si="4"/>
        <v>0</v>
      </c>
      <c r="K81" s="100">
        <f t="shared" si="6"/>
        <v>0</v>
      </c>
      <c r="O81" s="96">
        <f>Amnt_Deposited!B76</f>
        <v>2062</v>
      </c>
      <c r="P81" s="99">
        <f>Amnt_Deposited!O76</f>
        <v>0</v>
      </c>
      <c r="Q81" s="284">
        <f>MCF!R80</f>
        <v>0.8</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Amnt_Deposited!O77</f>
        <v>0</v>
      </c>
      <c r="D82" s="418">
        <f>Dry_Matter_Content!O69</f>
        <v>0</v>
      </c>
      <c r="E82" s="284">
        <f>MCF!R81</f>
        <v>0.8</v>
      </c>
      <c r="F82" s="67">
        <f t="shared" si="0"/>
        <v>0</v>
      </c>
      <c r="G82" s="67">
        <f t="shared" si="1"/>
        <v>0</v>
      </c>
      <c r="H82" s="67">
        <f t="shared" si="2"/>
        <v>0</v>
      </c>
      <c r="I82" s="67">
        <f t="shared" si="3"/>
        <v>0</v>
      </c>
      <c r="J82" s="67">
        <f t="shared" si="4"/>
        <v>0</v>
      </c>
      <c r="K82" s="100">
        <f t="shared" si="6"/>
        <v>0</v>
      </c>
      <c r="O82" s="96">
        <f>Amnt_Deposited!B77</f>
        <v>2063</v>
      </c>
      <c r="P82" s="99">
        <f>Amnt_Deposited!O77</f>
        <v>0</v>
      </c>
      <c r="Q82" s="284">
        <f>MCF!R81</f>
        <v>0.8</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Amnt_Deposited!O78</f>
        <v>0</v>
      </c>
      <c r="D83" s="418">
        <f>Dry_Matter_Content!O70</f>
        <v>0</v>
      </c>
      <c r="E83" s="284">
        <f>MCF!R82</f>
        <v>0.8</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Amnt_Deposited!O78</f>
        <v>0</v>
      </c>
      <c r="Q83" s="284">
        <f>MCF!R82</f>
        <v>0.8</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Amnt_Deposited!O79</f>
        <v>0</v>
      </c>
      <c r="D84" s="418">
        <f>Dry_Matter_Content!O71</f>
        <v>0</v>
      </c>
      <c r="E84" s="284">
        <f>MCF!R83</f>
        <v>0.8</v>
      </c>
      <c r="F84" s="67">
        <f t="shared" si="12"/>
        <v>0</v>
      </c>
      <c r="G84" s="67">
        <f t="shared" si="13"/>
        <v>0</v>
      </c>
      <c r="H84" s="67">
        <f t="shared" si="14"/>
        <v>0</v>
      </c>
      <c r="I84" s="67">
        <f t="shared" si="15"/>
        <v>0</v>
      </c>
      <c r="J84" s="67">
        <f t="shared" si="16"/>
        <v>0</v>
      </c>
      <c r="K84" s="100">
        <f t="shared" si="6"/>
        <v>0</v>
      </c>
      <c r="O84" s="96">
        <f>Amnt_Deposited!B79</f>
        <v>2065</v>
      </c>
      <c r="P84" s="99">
        <f>Amnt_Deposited!O79</f>
        <v>0</v>
      </c>
      <c r="Q84" s="284">
        <f>MCF!R83</f>
        <v>0.8</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Amnt_Deposited!O80</f>
        <v>0</v>
      </c>
      <c r="D85" s="418">
        <f>Dry_Matter_Content!O72</f>
        <v>0</v>
      </c>
      <c r="E85" s="284">
        <f>MCF!R84</f>
        <v>0.8</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Amnt_Deposited!O80</f>
        <v>0</v>
      </c>
      <c r="Q85" s="284">
        <f>MCF!R84</f>
        <v>0.8</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Amnt_Deposited!O81</f>
        <v>0</v>
      </c>
      <c r="D86" s="418">
        <f>Dry_Matter_Content!O73</f>
        <v>0</v>
      </c>
      <c r="E86" s="284">
        <f>MCF!R85</f>
        <v>0.8</v>
      </c>
      <c r="F86" s="67">
        <f t="shared" si="12"/>
        <v>0</v>
      </c>
      <c r="G86" s="67">
        <f t="shared" si="13"/>
        <v>0</v>
      </c>
      <c r="H86" s="67">
        <f t="shared" si="14"/>
        <v>0</v>
      </c>
      <c r="I86" s="67">
        <f t="shared" si="15"/>
        <v>0</v>
      </c>
      <c r="J86" s="67">
        <f t="shared" si="16"/>
        <v>0</v>
      </c>
      <c r="K86" s="100">
        <f t="shared" si="18"/>
        <v>0</v>
      </c>
      <c r="O86" s="96">
        <f>Amnt_Deposited!B81</f>
        <v>2067</v>
      </c>
      <c r="P86" s="99">
        <f>Amnt_Deposited!O81</f>
        <v>0</v>
      </c>
      <c r="Q86" s="284">
        <f>MCF!R85</f>
        <v>0.8</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Amnt_Deposited!O82</f>
        <v>0</v>
      </c>
      <c r="D87" s="418">
        <f>Dry_Matter_Content!O74</f>
        <v>0</v>
      </c>
      <c r="E87" s="284">
        <f>MCF!R86</f>
        <v>0.8</v>
      </c>
      <c r="F87" s="67">
        <f t="shared" si="12"/>
        <v>0</v>
      </c>
      <c r="G87" s="67">
        <f t="shared" si="13"/>
        <v>0</v>
      </c>
      <c r="H87" s="67">
        <f t="shared" si="14"/>
        <v>0</v>
      </c>
      <c r="I87" s="67">
        <f t="shared" si="15"/>
        <v>0</v>
      </c>
      <c r="J87" s="67">
        <f t="shared" si="16"/>
        <v>0</v>
      </c>
      <c r="K87" s="100">
        <f t="shared" si="18"/>
        <v>0</v>
      </c>
      <c r="O87" s="96">
        <f>Amnt_Deposited!B82</f>
        <v>2068</v>
      </c>
      <c r="P87" s="99">
        <f>Amnt_Deposited!O82</f>
        <v>0</v>
      </c>
      <c r="Q87" s="284">
        <f>MCF!R86</f>
        <v>0.8</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Amnt_Deposited!O83</f>
        <v>0</v>
      </c>
      <c r="D88" s="418">
        <f>Dry_Matter_Content!O75</f>
        <v>0</v>
      </c>
      <c r="E88" s="284">
        <f>MCF!R87</f>
        <v>0.8</v>
      </c>
      <c r="F88" s="67">
        <f t="shared" si="12"/>
        <v>0</v>
      </c>
      <c r="G88" s="67">
        <f t="shared" si="13"/>
        <v>0</v>
      </c>
      <c r="H88" s="67">
        <f t="shared" si="14"/>
        <v>0</v>
      </c>
      <c r="I88" s="67">
        <f t="shared" si="15"/>
        <v>0</v>
      </c>
      <c r="J88" s="67">
        <f t="shared" si="16"/>
        <v>0</v>
      </c>
      <c r="K88" s="100">
        <f t="shared" si="18"/>
        <v>0</v>
      </c>
      <c r="O88" s="96">
        <f>Amnt_Deposited!B83</f>
        <v>2069</v>
      </c>
      <c r="P88" s="99">
        <f>Amnt_Deposited!O83</f>
        <v>0</v>
      </c>
      <c r="Q88" s="284">
        <f>MCF!R87</f>
        <v>0.8</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Amnt_Deposited!O84</f>
        <v>0</v>
      </c>
      <c r="D89" s="418">
        <f>Dry_Matter_Content!O76</f>
        <v>0</v>
      </c>
      <c r="E89" s="284">
        <f>MCF!R88</f>
        <v>0.8</v>
      </c>
      <c r="F89" s="67">
        <f t="shared" si="12"/>
        <v>0</v>
      </c>
      <c r="G89" s="67">
        <f t="shared" si="13"/>
        <v>0</v>
      </c>
      <c r="H89" s="67">
        <f t="shared" si="14"/>
        <v>0</v>
      </c>
      <c r="I89" s="67">
        <f t="shared" si="15"/>
        <v>0</v>
      </c>
      <c r="J89" s="67">
        <f t="shared" si="16"/>
        <v>0</v>
      </c>
      <c r="K89" s="100">
        <f t="shared" si="18"/>
        <v>0</v>
      </c>
      <c r="O89" s="96">
        <f>Amnt_Deposited!B84</f>
        <v>2070</v>
      </c>
      <c r="P89" s="99">
        <f>Amnt_Deposited!O84</f>
        <v>0</v>
      </c>
      <c r="Q89" s="284">
        <f>MCF!R88</f>
        <v>0.8</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Amnt_Deposited!O85</f>
        <v>0</v>
      </c>
      <c r="D90" s="418">
        <f>Dry_Matter_Content!O77</f>
        <v>0</v>
      </c>
      <c r="E90" s="284">
        <f>MCF!R89</f>
        <v>0.8</v>
      </c>
      <c r="F90" s="67">
        <f t="shared" si="12"/>
        <v>0</v>
      </c>
      <c r="G90" s="67">
        <f t="shared" si="13"/>
        <v>0</v>
      </c>
      <c r="H90" s="67">
        <f t="shared" si="14"/>
        <v>0</v>
      </c>
      <c r="I90" s="67">
        <f t="shared" si="15"/>
        <v>0</v>
      </c>
      <c r="J90" s="67">
        <f t="shared" si="16"/>
        <v>0</v>
      </c>
      <c r="K90" s="100">
        <f t="shared" si="18"/>
        <v>0</v>
      </c>
      <c r="O90" s="96">
        <f>Amnt_Deposited!B85</f>
        <v>2071</v>
      </c>
      <c r="P90" s="99">
        <f>Amnt_Deposited!O85</f>
        <v>0</v>
      </c>
      <c r="Q90" s="284">
        <f>MCF!R89</f>
        <v>0.8</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Amnt_Deposited!O86</f>
        <v>0</v>
      </c>
      <c r="D91" s="418">
        <f>Dry_Matter_Content!O78</f>
        <v>0</v>
      </c>
      <c r="E91" s="284">
        <f>MCF!R90</f>
        <v>0.8</v>
      </c>
      <c r="F91" s="67">
        <f t="shared" si="12"/>
        <v>0</v>
      </c>
      <c r="G91" s="67">
        <f t="shared" si="13"/>
        <v>0</v>
      </c>
      <c r="H91" s="67">
        <f t="shared" si="14"/>
        <v>0</v>
      </c>
      <c r="I91" s="67">
        <f t="shared" si="15"/>
        <v>0</v>
      </c>
      <c r="J91" s="67">
        <f t="shared" si="16"/>
        <v>0</v>
      </c>
      <c r="K91" s="100">
        <f t="shared" si="18"/>
        <v>0</v>
      </c>
      <c r="O91" s="96">
        <f>Amnt_Deposited!B86</f>
        <v>2072</v>
      </c>
      <c r="P91" s="99">
        <f>Amnt_Deposited!O86</f>
        <v>0</v>
      </c>
      <c r="Q91" s="284">
        <f>MCF!R90</f>
        <v>0.8</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Amnt_Deposited!O87</f>
        <v>0</v>
      </c>
      <c r="D92" s="418">
        <f>Dry_Matter_Content!O79</f>
        <v>0</v>
      </c>
      <c r="E92" s="284">
        <f>MCF!R91</f>
        <v>0.8</v>
      </c>
      <c r="F92" s="67">
        <f t="shared" si="12"/>
        <v>0</v>
      </c>
      <c r="G92" s="67">
        <f t="shared" si="13"/>
        <v>0</v>
      </c>
      <c r="H92" s="67">
        <f t="shared" si="14"/>
        <v>0</v>
      </c>
      <c r="I92" s="67">
        <f t="shared" si="15"/>
        <v>0</v>
      </c>
      <c r="J92" s="67">
        <f t="shared" si="16"/>
        <v>0</v>
      </c>
      <c r="K92" s="100">
        <f t="shared" si="18"/>
        <v>0</v>
      </c>
      <c r="O92" s="96">
        <f>Amnt_Deposited!B87</f>
        <v>2073</v>
      </c>
      <c r="P92" s="99">
        <f>Amnt_Deposited!O87</f>
        <v>0</v>
      </c>
      <c r="Q92" s="284">
        <f>MCF!R91</f>
        <v>0.8</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Amnt_Deposited!O88</f>
        <v>0</v>
      </c>
      <c r="D93" s="418">
        <f>Dry_Matter_Content!O80</f>
        <v>0</v>
      </c>
      <c r="E93" s="284">
        <f>MCF!R92</f>
        <v>0.8</v>
      </c>
      <c r="F93" s="67">
        <f t="shared" si="12"/>
        <v>0</v>
      </c>
      <c r="G93" s="67">
        <f t="shared" si="13"/>
        <v>0</v>
      </c>
      <c r="H93" s="67">
        <f t="shared" si="14"/>
        <v>0</v>
      </c>
      <c r="I93" s="67">
        <f t="shared" si="15"/>
        <v>0</v>
      </c>
      <c r="J93" s="67">
        <f t="shared" si="16"/>
        <v>0</v>
      </c>
      <c r="K93" s="100">
        <f t="shared" si="18"/>
        <v>0</v>
      </c>
      <c r="O93" s="96">
        <f>Amnt_Deposited!B88</f>
        <v>2074</v>
      </c>
      <c r="P93" s="99">
        <f>Amnt_Deposited!O88</f>
        <v>0</v>
      </c>
      <c r="Q93" s="284">
        <f>MCF!R92</f>
        <v>0.8</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Amnt_Deposited!O89</f>
        <v>0</v>
      </c>
      <c r="D94" s="418">
        <f>Dry_Matter_Content!O81</f>
        <v>0</v>
      </c>
      <c r="E94" s="284">
        <f>MCF!R93</f>
        <v>0.8</v>
      </c>
      <c r="F94" s="67">
        <f t="shared" si="12"/>
        <v>0</v>
      </c>
      <c r="G94" s="67">
        <f t="shared" si="13"/>
        <v>0</v>
      </c>
      <c r="H94" s="67">
        <f t="shared" si="14"/>
        <v>0</v>
      </c>
      <c r="I94" s="67">
        <f t="shared" si="15"/>
        <v>0</v>
      </c>
      <c r="J94" s="67">
        <f t="shared" si="16"/>
        <v>0</v>
      </c>
      <c r="K94" s="100">
        <f t="shared" si="18"/>
        <v>0</v>
      </c>
      <c r="O94" s="96">
        <f>Amnt_Deposited!B89</f>
        <v>2075</v>
      </c>
      <c r="P94" s="99">
        <f>Amnt_Deposited!O89</f>
        <v>0</v>
      </c>
      <c r="Q94" s="284">
        <f>MCF!R93</f>
        <v>0.8</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Amnt_Deposited!O90</f>
        <v>0</v>
      </c>
      <c r="D95" s="418">
        <f>Dry_Matter_Content!O82</f>
        <v>0</v>
      </c>
      <c r="E95" s="284">
        <f>MCF!R94</f>
        <v>0.8</v>
      </c>
      <c r="F95" s="67">
        <f t="shared" si="12"/>
        <v>0</v>
      </c>
      <c r="G95" s="67">
        <f t="shared" si="13"/>
        <v>0</v>
      </c>
      <c r="H95" s="67">
        <f t="shared" si="14"/>
        <v>0</v>
      </c>
      <c r="I95" s="67">
        <f t="shared" si="15"/>
        <v>0</v>
      </c>
      <c r="J95" s="67">
        <f t="shared" si="16"/>
        <v>0</v>
      </c>
      <c r="K95" s="100">
        <f t="shared" si="18"/>
        <v>0</v>
      </c>
      <c r="O95" s="96">
        <f>Amnt_Deposited!B90</f>
        <v>2076</v>
      </c>
      <c r="P95" s="99">
        <f>Amnt_Deposited!O90</f>
        <v>0</v>
      </c>
      <c r="Q95" s="284">
        <f>MCF!R94</f>
        <v>0.8</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Amnt_Deposited!O91</f>
        <v>0</v>
      </c>
      <c r="D96" s="418">
        <f>Dry_Matter_Content!O83</f>
        <v>0</v>
      </c>
      <c r="E96" s="284">
        <f>MCF!R95</f>
        <v>0.8</v>
      </c>
      <c r="F96" s="67">
        <f t="shared" si="12"/>
        <v>0</v>
      </c>
      <c r="G96" s="67">
        <f t="shared" si="13"/>
        <v>0</v>
      </c>
      <c r="H96" s="67">
        <f t="shared" si="14"/>
        <v>0</v>
      </c>
      <c r="I96" s="67">
        <f t="shared" si="15"/>
        <v>0</v>
      </c>
      <c r="J96" s="67">
        <f t="shared" si="16"/>
        <v>0</v>
      </c>
      <c r="K96" s="100">
        <f t="shared" si="18"/>
        <v>0</v>
      </c>
      <c r="O96" s="96">
        <f>Amnt_Deposited!B91</f>
        <v>2077</v>
      </c>
      <c r="P96" s="99">
        <f>Amnt_Deposited!O91</f>
        <v>0</v>
      </c>
      <c r="Q96" s="284">
        <f>MCF!R95</f>
        <v>0.8</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Amnt_Deposited!O92</f>
        <v>0</v>
      </c>
      <c r="D97" s="418">
        <f>Dry_Matter_Content!O84</f>
        <v>0</v>
      </c>
      <c r="E97" s="284">
        <f>MCF!R96</f>
        <v>0.8</v>
      </c>
      <c r="F97" s="67">
        <f t="shared" si="12"/>
        <v>0</v>
      </c>
      <c r="G97" s="67">
        <f t="shared" si="13"/>
        <v>0</v>
      </c>
      <c r="H97" s="67">
        <f t="shared" si="14"/>
        <v>0</v>
      </c>
      <c r="I97" s="67">
        <f t="shared" si="15"/>
        <v>0</v>
      </c>
      <c r="J97" s="67">
        <f t="shared" si="16"/>
        <v>0</v>
      </c>
      <c r="K97" s="100">
        <f t="shared" si="18"/>
        <v>0</v>
      </c>
      <c r="O97" s="96">
        <f>Amnt_Deposited!B92</f>
        <v>2078</v>
      </c>
      <c r="P97" s="99">
        <f>Amnt_Deposited!O92</f>
        <v>0</v>
      </c>
      <c r="Q97" s="284">
        <f>MCF!R96</f>
        <v>0.8</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Amnt_Deposited!O93</f>
        <v>0</v>
      </c>
      <c r="D98" s="418">
        <f>Dry_Matter_Content!O85</f>
        <v>0</v>
      </c>
      <c r="E98" s="284">
        <f>MCF!R97</f>
        <v>0.8</v>
      </c>
      <c r="F98" s="67">
        <f t="shared" si="12"/>
        <v>0</v>
      </c>
      <c r="G98" s="67">
        <f t="shared" si="13"/>
        <v>0</v>
      </c>
      <c r="H98" s="67">
        <f t="shared" si="14"/>
        <v>0</v>
      </c>
      <c r="I98" s="67">
        <f t="shared" si="15"/>
        <v>0</v>
      </c>
      <c r="J98" s="67">
        <f t="shared" si="16"/>
        <v>0</v>
      </c>
      <c r="K98" s="100">
        <f t="shared" si="18"/>
        <v>0</v>
      </c>
      <c r="O98" s="96">
        <f>Amnt_Deposited!B93</f>
        <v>2079</v>
      </c>
      <c r="P98" s="99">
        <f>Amnt_Deposited!O93</f>
        <v>0</v>
      </c>
      <c r="Q98" s="284">
        <f>MCF!R97</f>
        <v>0.8</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Amnt_Deposited!O94</f>
        <v>0</v>
      </c>
      <c r="D99" s="419">
        <f>Dry_Matter_Content!O86</f>
        <v>0</v>
      </c>
      <c r="E99" s="285">
        <f>MCF!R98</f>
        <v>0.8</v>
      </c>
      <c r="F99" s="68">
        <f t="shared" si="12"/>
        <v>0</v>
      </c>
      <c r="G99" s="68">
        <f t="shared" si="13"/>
        <v>0</v>
      </c>
      <c r="H99" s="68">
        <f t="shared" si="14"/>
        <v>0</v>
      </c>
      <c r="I99" s="68">
        <f t="shared" si="15"/>
        <v>0</v>
      </c>
      <c r="J99" s="68">
        <f t="shared" si="16"/>
        <v>0</v>
      </c>
      <c r="K99" s="102">
        <f t="shared" si="18"/>
        <v>0</v>
      </c>
      <c r="O99" s="97">
        <f>Amnt_Deposited!B94</f>
        <v>2080</v>
      </c>
      <c r="P99" s="99">
        <f>Amnt_Deposited!O94</f>
        <v>0</v>
      </c>
      <c r="Q99" s="285">
        <f>MCF!R98</f>
        <v>0.8</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Parameters!O28</f>
        <v>0</v>
      </c>
      <c r="O6" s="230"/>
      <c r="P6" s="231"/>
      <c r="Q6" s="222"/>
      <c r="R6" s="108" t="s">
        <v>9</v>
      </c>
      <c r="S6" s="109"/>
      <c r="T6" s="109"/>
      <c r="U6" s="113"/>
      <c r="V6" s="120" t="s">
        <v>9</v>
      </c>
      <c r="W6" s="261">
        <f>Parameters!R28</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Parameters!O47</f>
        <v>0.17</v>
      </c>
      <c r="O8" s="47"/>
      <c r="P8" s="47"/>
      <c r="Q8" s="222"/>
      <c r="R8" s="108" t="s">
        <v>192</v>
      </c>
      <c r="S8" s="109"/>
      <c r="T8" s="109"/>
      <c r="U8" s="113"/>
      <c r="V8" s="120" t="s">
        <v>188</v>
      </c>
      <c r="W8" s="114">
        <f>Parameters!O47</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16">
        <f>Dry_Matter_Content!P6</f>
        <v>0</v>
      </c>
      <c r="E19" s="283">
        <f>MCF!R18</f>
        <v>0.8</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283">
        <f>MCF!R18</f>
        <v>0.8</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18">
        <f>Dry_Matter_Content!P7</f>
        <v>0</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Amnt_Deposited!P15</f>
        <v>0</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18">
        <f>Dry_Matter_Content!P8</f>
        <v>0</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18">
        <f>Dry_Matter_Content!P9</f>
        <v>0</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Amnt_Deposited!P17</f>
        <v>0</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18">
        <f>Dry_Matter_Content!P10</f>
        <v>0</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Amnt_Deposited!P18</f>
        <v>0</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18">
        <f>Dry_Matter_Content!P11</f>
        <v>0</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Amnt_Deposited!P19</f>
        <v>0</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18">
        <f>Dry_Matter_Content!P12</f>
        <v>0</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Amnt_Deposited!P20</f>
        <v>0</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18">
        <f>Dry_Matter_Content!P13</f>
        <v>0</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Amnt_Deposited!P21</f>
        <v>0</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18">
        <f>Dry_Matter_Content!P14</f>
        <v>0</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Amnt_Deposited!P22</f>
        <v>0</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18">
        <f>Dry_Matter_Content!P15</f>
        <v>0</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Amnt_Deposited!P23</f>
        <v>0</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18">
        <f>Dry_Matter_Content!P16</f>
        <v>0</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Amnt_Deposited!P24</f>
        <v>0</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18">
        <f>Dry_Matter_Content!P17</f>
        <v>0</v>
      </c>
      <c r="E30" s="284">
        <f>MCF!R29</f>
        <v>0.8</v>
      </c>
      <c r="F30" s="67">
        <f t="shared" si="0"/>
        <v>0</v>
      </c>
      <c r="G30" s="67">
        <f t="shared" si="1"/>
        <v>0</v>
      </c>
      <c r="H30" s="67">
        <f t="shared" si="2"/>
        <v>0</v>
      </c>
      <c r="I30" s="67">
        <f t="shared" si="3"/>
        <v>0</v>
      </c>
      <c r="J30" s="67">
        <f t="shared" si="4"/>
        <v>0</v>
      </c>
      <c r="K30" s="100">
        <f t="shared" si="6"/>
        <v>0</v>
      </c>
      <c r="O30" s="96">
        <f>Amnt_Deposited!B25</f>
        <v>2011</v>
      </c>
      <c r="P30" s="99">
        <f>Amnt_Deposited!P25</f>
        <v>0</v>
      </c>
      <c r="Q30" s="284">
        <f>MCF!R29</f>
        <v>0.8</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18">
        <f>Dry_Matter_Content!P18</f>
        <v>0</v>
      </c>
      <c r="E31" s="284">
        <f>MCF!R30</f>
        <v>0.8</v>
      </c>
      <c r="F31" s="67">
        <f t="shared" si="0"/>
        <v>0</v>
      </c>
      <c r="G31" s="67">
        <f t="shared" si="1"/>
        <v>0</v>
      </c>
      <c r="H31" s="67">
        <f t="shared" si="2"/>
        <v>0</v>
      </c>
      <c r="I31" s="67">
        <f t="shared" si="3"/>
        <v>0</v>
      </c>
      <c r="J31" s="67">
        <f t="shared" si="4"/>
        <v>0</v>
      </c>
      <c r="K31" s="100">
        <f t="shared" si="6"/>
        <v>0</v>
      </c>
      <c r="O31" s="96">
        <f>Amnt_Deposited!B26</f>
        <v>2012</v>
      </c>
      <c r="P31" s="99">
        <f>Amnt_Deposited!P26</f>
        <v>0</v>
      </c>
      <c r="Q31" s="284">
        <f>MCF!R30</f>
        <v>0.8</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18">
        <f>Dry_Matter_Content!P19</f>
        <v>0</v>
      </c>
      <c r="E32" s="284">
        <f>MCF!R31</f>
        <v>0.8</v>
      </c>
      <c r="F32" s="67">
        <f t="shared" si="0"/>
        <v>0</v>
      </c>
      <c r="G32" s="67">
        <f t="shared" si="1"/>
        <v>0</v>
      </c>
      <c r="H32" s="67">
        <f t="shared" si="2"/>
        <v>0</v>
      </c>
      <c r="I32" s="67">
        <f t="shared" si="3"/>
        <v>0</v>
      </c>
      <c r="J32" s="67">
        <f t="shared" si="4"/>
        <v>0</v>
      </c>
      <c r="K32" s="100">
        <f t="shared" si="6"/>
        <v>0</v>
      </c>
      <c r="O32" s="96">
        <f>Amnt_Deposited!B27</f>
        <v>2013</v>
      </c>
      <c r="P32" s="99">
        <f>Amnt_Deposited!P27</f>
        <v>0</v>
      </c>
      <c r="Q32" s="284">
        <f>MCF!R31</f>
        <v>0.8</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18">
        <f>Dry_Matter_Content!P20</f>
        <v>0</v>
      </c>
      <c r="E33" s="284">
        <f>MCF!R32</f>
        <v>0.8</v>
      </c>
      <c r="F33" s="67">
        <f t="shared" si="0"/>
        <v>0</v>
      </c>
      <c r="G33" s="67">
        <f t="shared" si="1"/>
        <v>0</v>
      </c>
      <c r="H33" s="67">
        <f t="shared" si="2"/>
        <v>0</v>
      </c>
      <c r="I33" s="67">
        <f t="shared" si="3"/>
        <v>0</v>
      </c>
      <c r="J33" s="67">
        <f t="shared" si="4"/>
        <v>0</v>
      </c>
      <c r="K33" s="100">
        <f t="shared" si="6"/>
        <v>0</v>
      </c>
      <c r="O33" s="96">
        <f>Amnt_Deposited!B28</f>
        <v>2014</v>
      </c>
      <c r="P33" s="99">
        <f>Amnt_Deposited!P28</f>
        <v>0</v>
      </c>
      <c r="Q33" s="284">
        <f>MCF!R32</f>
        <v>0.8</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18">
        <f>Dry_Matter_Content!P21</f>
        <v>0</v>
      </c>
      <c r="E34" s="284">
        <f>MCF!R33</f>
        <v>0.8</v>
      </c>
      <c r="F34" s="67">
        <f t="shared" si="0"/>
        <v>0</v>
      </c>
      <c r="G34" s="67">
        <f t="shared" si="1"/>
        <v>0</v>
      </c>
      <c r="H34" s="67">
        <f t="shared" si="2"/>
        <v>0</v>
      </c>
      <c r="I34" s="67">
        <f t="shared" si="3"/>
        <v>0</v>
      </c>
      <c r="J34" s="67">
        <f t="shared" si="4"/>
        <v>0</v>
      </c>
      <c r="K34" s="100">
        <f t="shared" si="6"/>
        <v>0</v>
      </c>
      <c r="O34" s="96">
        <f>Amnt_Deposited!B29</f>
        <v>2015</v>
      </c>
      <c r="P34" s="99">
        <f>Amnt_Deposited!P29</f>
        <v>0</v>
      </c>
      <c r="Q34" s="284">
        <f>MCF!R33</f>
        <v>0.8</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18">
        <f>Dry_Matter_Content!P22</f>
        <v>0</v>
      </c>
      <c r="E35" s="284">
        <f>MCF!R34</f>
        <v>0.8</v>
      </c>
      <c r="F35" s="67">
        <f t="shared" si="0"/>
        <v>0</v>
      </c>
      <c r="G35" s="67">
        <f t="shared" si="1"/>
        <v>0</v>
      </c>
      <c r="H35" s="67">
        <f t="shared" si="2"/>
        <v>0</v>
      </c>
      <c r="I35" s="67">
        <f t="shared" si="3"/>
        <v>0</v>
      </c>
      <c r="J35" s="67">
        <f t="shared" si="4"/>
        <v>0</v>
      </c>
      <c r="K35" s="100">
        <f t="shared" si="6"/>
        <v>0</v>
      </c>
      <c r="O35" s="96">
        <f>Amnt_Deposited!B30</f>
        <v>2016</v>
      </c>
      <c r="P35" s="99">
        <f>Amnt_Deposited!P30</f>
        <v>0</v>
      </c>
      <c r="Q35" s="284">
        <f>MCF!R34</f>
        <v>0.8</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18">
        <f>Dry_Matter_Content!P23</f>
        <v>0</v>
      </c>
      <c r="E36" s="284">
        <f>MCF!R35</f>
        <v>0.8</v>
      </c>
      <c r="F36" s="67">
        <f t="shared" si="0"/>
        <v>0</v>
      </c>
      <c r="G36" s="67">
        <f t="shared" si="1"/>
        <v>0</v>
      </c>
      <c r="H36" s="67">
        <f t="shared" si="2"/>
        <v>0</v>
      </c>
      <c r="I36" s="67">
        <f t="shared" si="3"/>
        <v>0</v>
      </c>
      <c r="J36" s="67">
        <f t="shared" si="4"/>
        <v>0</v>
      </c>
      <c r="K36" s="100">
        <f t="shared" si="6"/>
        <v>0</v>
      </c>
      <c r="O36" s="96">
        <f>Amnt_Deposited!B31</f>
        <v>2017</v>
      </c>
      <c r="P36" s="99">
        <f>Amnt_Deposited!P31</f>
        <v>0</v>
      </c>
      <c r="Q36" s="284">
        <f>MCF!R35</f>
        <v>0.8</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18">
        <f>Dry_Matter_Content!P24</f>
        <v>0</v>
      </c>
      <c r="E37" s="284">
        <f>MCF!R36</f>
        <v>0.8</v>
      </c>
      <c r="F37" s="67">
        <f t="shared" si="0"/>
        <v>0</v>
      </c>
      <c r="G37" s="67">
        <f t="shared" si="1"/>
        <v>0</v>
      </c>
      <c r="H37" s="67">
        <f t="shared" si="2"/>
        <v>0</v>
      </c>
      <c r="I37" s="67">
        <f t="shared" si="3"/>
        <v>0</v>
      </c>
      <c r="J37" s="67">
        <f t="shared" si="4"/>
        <v>0</v>
      </c>
      <c r="K37" s="100">
        <f t="shared" si="6"/>
        <v>0</v>
      </c>
      <c r="O37" s="96">
        <f>Amnt_Deposited!B32</f>
        <v>2018</v>
      </c>
      <c r="P37" s="99">
        <f>Amnt_Deposited!P32</f>
        <v>0</v>
      </c>
      <c r="Q37" s="284">
        <f>MCF!R36</f>
        <v>0.8</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18">
        <f>Dry_Matter_Content!P25</f>
        <v>0</v>
      </c>
      <c r="E38" s="284">
        <f>MCF!R37</f>
        <v>0.8</v>
      </c>
      <c r="F38" s="67">
        <f t="shared" si="0"/>
        <v>0</v>
      </c>
      <c r="G38" s="67">
        <f t="shared" si="1"/>
        <v>0</v>
      </c>
      <c r="H38" s="67">
        <f t="shared" si="2"/>
        <v>0</v>
      </c>
      <c r="I38" s="67">
        <f t="shared" si="3"/>
        <v>0</v>
      </c>
      <c r="J38" s="67">
        <f t="shared" si="4"/>
        <v>0</v>
      </c>
      <c r="K38" s="100">
        <f t="shared" si="6"/>
        <v>0</v>
      </c>
      <c r="O38" s="96">
        <f>Amnt_Deposited!B33</f>
        <v>2019</v>
      </c>
      <c r="P38" s="99">
        <f>Amnt_Deposited!P33</f>
        <v>0</v>
      </c>
      <c r="Q38" s="284">
        <f>MCF!R37</f>
        <v>0.8</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18">
        <f>Dry_Matter_Content!P26</f>
        <v>0</v>
      </c>
      <c r="E39" s="284">
        <f>MCF!R38</f>
        <v>0.8</v>
      </c>
      <c r="F39" s="67">
        <f t="shared" si="0"/>
        <v>0</v>
      </c>
      <c r="G39" s="67">
        <f t="shared" si="1"/>
        <v>0</v>
      </c>
      <c r="H39" s="67">
        <f t="shared" si="2"/>
        <v>0</v>
      </c>
      <c r="I39" s="67">
        <f t="shared" si="3"/>
        <v>0</v>
      </c>
      <c r="J39" s="67">
        <f t="shared" si="4"/>
        <v>0</v>
      </c>
      <c r="K39" s="100">
        <f t="shared" si="6"/>
        <v>0</v>
      </c>
      <c r="O39" s="96">
        <f>Amnt_Deposited!B34</f>
        <v>2020</v>
      </c>
      <c r="P39" s="99">
        <f>Amnt_Deposited!P34</f>
        <v>0</v>
      </c>
      <c r="Q39" s="284">
        <f>MCF!R38</f>
        <v>0.8</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18">
        <f>Dry_Matter_Content!P27</f>
        <v>0</v>
      </c>
      <c r="E40" s="284">
        <f>MCF!R39</f>
        <v>0.8</v>
      </c>
      <c r="F40" s="67">
        <f t="shared" si="0"/>
        <v>0</v>
      </c>
      <c r="G40" s="67">
        <f t="shared" si="1"/>
        <v>0</v>
      </c>
      <c r="H40" s="67">
        <f t="shared" si="2"/>
        <v>0</v>
      </c>
      <c r="I40" s="67">
        <f t="shared" si="3"/>
        <v>0</v>
      </c>
      <c r="J40" s="67">
        <f t="shared" si="4"/>
        <v>0</v>
      </c>
      <c r="K40" s="100">
        <f t="shared" si="6"/>
        <v>0</v>
      </c>
      <c r="O40" s="96">
        <f>Amnt_Deposited!B35</f>
        <v>2021</v>
      </c>
      <c r="P40" s="99">
        <f>Amnt_Deposited!P35</f>
        <v>0</v>
      </c>
      <c r="Q40" s="284">
        <f>MCF!R39</f>
        <v>0.8</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18">
        <f>Dry_Matter_Content!P28</f>
        <v>0</v>
      </c>
      <c r="E41" s="284">
        <f>MCF!R40</f>
        <v>0.8</v>
      </c>
      <c r="F41" s="67">
        <f t="shared" si="0"/>
        <v>0</v>
      </c>
      <c r="G41" s="67">
        <f t="shared" si="1"/>
        <v>0</v>
      </c>
      <c r="H41" s="67">
        <f t="shared" si="2"/>
        <v>0</v>
      </c>
      <c r="I41" s="67">
        <f t="shared" si="3"/>
        <v>0</v>
      </c>
      <c r="J41" s="67">
        <f t="shared" si="4"/>
        <v>0</v>
      </c>
      <c r="K41" s="100">
        <f t="shared" si="6"/>
        <v>0</v>
      </c>
      <c r="O41" s="96">
        <f>Amnt_Deposited!B36</f>
        <v>2022</v>
      </c>
      <c r="P41" s="99">
        <f>Amnt_Deposited!P36</f>
        <v>0</v>
      </c>
      <c r="Q41" s="284">
        <f>MCF!R40</f>
        <v>0.8</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18">
        <f>Dry_Matter_Content!P29</f>
        <v>0</v>
      </c>
      <c r="E42" s="284">
        <f>MCF!R41</f>
        <v>0.8</v>
      </c>
      <c r="F42" s="67">
        <f t="shared" si="0"/>
        <v>0</v>
      </c>
      <c r="G42" s="67">
        <f t="shared" si="1"/>
        <v>0</v>
      </c>
      <c r="H42" s="67">
        <f t="shared" si="2"/>
        <v>0</v>
      </c>
      <c r="I42" s="67">
        <f t="shared" si="3"/>
        <v>0</v>
      </c>
      <c r="J42" s="67">
        <f t="shared" si="4"/>
        <v>0</v>
      </c>
      <c r="K42" s="100">
        <f t="shared" si="6"/>
        <v>0</v>
      </c>
      <c r="O42" s="96">
        <f>Amnt_Deposited!B37</f>
        <v>2023</v>
      </c>
      <c r="P42" s="99">
        <f>Amnt_Deposited!P37</f>
        <v>0</v>
      </c>
      <c r="Q42" s="284">
        <f>MCF!R41</f>
        <v>0.8</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18">
        <f>Dry_Matter_Content!P30</f>
        <v>0</v>
      </c>
      <c r="E43" s="284">
        <f>MCF!R42</f>
        <v>0.8</v>
      </c>
      <c r="F43" s="67">
        <f t="shared" si="0"/>
        <v>0</v>
      </c>
      <c r="G43" s="67">
        <f t="shared" si="1"/>
        <v>0</v>
      </c>
      <c r="H43" s="67">
        <f t="shared" si="2"/>
        <v>0</v>
      </c>
      <c r="I43" s="67">
        <f t="shared" si="3"/>
        <v>0</v>
      </c>
      <c r="J43" s="67">
        <f t="shared" si="4"/>
        <v>0</v>
      </c>
      <c r="K43" s="100">
        <f t="shared" si="6"/>
        <v>0</v>
      </c>
      <c r="O43" s="96">
        <f>Amnt_Deposited!B38</f>
        <v>2024</v>
      </c>
      <c r="P43" s="99">
        <f>Amnt_Deposited!P38</f>
        <v>0</v>
      </c>
      <c r="Q43" s="284">
        <f>MCF!R42</f>
        <v>0.8</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18">
        <f>Dry_Matter_Content!P31</f>
        <v>0</v>
      </c>
      <c r="E44" s="284">
        <f>MCF!R43</f>
        <v>0.8</v>
      </c>
      <c r="F44" s="67">
        <f t="shared" si="0"/>
        <v>0</v>
      </c>
      <c r="G44" s="67">
        <f t="shared" si="1"/>
        <v>0</v>
      </c>
      <c r="H44" s="67">
        <f t="shared" si="2"/>
        <v>0</v>
      </c>
      <c r="I44" s="67">
        <f t="shared" si="3"/>
        <v>0</v>
      </c>
      <c r="J44" s="67">
        <f t="shared" si="4"/>
        <v>0</v>
      </c>
      <c r="K44" s="100">
        <f t="shared" si="6"/>
        <v>0</v>
      </c>
      <c r="O44" s="96">
        <f>Amnt_Deposited!B39</f>
        <v>2025</v>
      </c>
      <c r="P44" s="99">
        <f>Amnt_Deposited!P39</f>
        <v>0</v>
      </c>
      <c r="Q44" s="284">
        <f>MCF!R43</f>
        <v>0.8</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18">
        <f>Dry_Matter_Content!P32</f>
        <v>0</v>
      </c>
      <c r="E45" s="284">
        <f>MCF!R44</f>
        <v>0.8</v>
      </c>
      <c r="F45" s="67">
        <f t="shared" si="0"/>
        <v>0</v>
      </c>
      <c r="G45" s="67">
        <f t="shared" si="1"/>
        <v>0</v>
      </c>
      <c r="H45" s="67">
        <f t="shared" si="2"/>
        <v>0</v>
      </c>
      <c r="I45" s="67">
        <f t="shared" si="3"/>
        <v>0</v>
      </c>
      <c r="J45" s="67">
        <f t="shared" si="4"/>
        <v>0</v>
      </c>
      <c r="K45" s="100">
        <f t="shared" si="6"/>
        <v>0</v>
      </c>
      <c r="O45" s="96">
        <f>Amnt_Deposited!B40</f>
        <v>2026</v>
      </c>
      <c r="P45" s="99">
        <f>Amnt_Deposited!P40</f>
        <v>0</v>
      </c>
      <c r="Q45" s="284">
        <f>MCF!R44</f>
        <v>0.8</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18">
        <f>Dry_Matter_Content!P33</f>
        <v>0</v>
      </c>
      <c r="E46" s="284">
        <f>MCF!R45</f>
        <v>0.8</v>
      </c>
      <c r="F46" s="67">
        <f t="shared" si="0"/>
        <v>0</v>
      </c>
      <c r="G46" s="67">
        <f t="shared" si="1"/>
        <v>0</v>
      </c>
      <c r="H46" s="67">
        <f t="shared" si="2"/>
        <v>0</v>
      </c>
      <c r="I46" s="67">
        <f t="shared" si="3"/>
        <v>0</v>
      </c>
      <c r="J46" s="67">
        <f t="shared" si="4"/>
        <v>0</v>
      </c>
      <c r="K46" s="100">
        <f t="shared" si="6"/>
        <v>0</v>
      </c>
      <c r="O46" s="96">
        <f>Amnt_Deposited!B41</f>
        <v>2027</v>
      </c>
      <c r="P46" s="99">
        <f>Amnt_Deposited!P41</f>
        <v>0</v>
      </c>
      <c r="Q46" s="284">
        <f>MCF!R45</f>
        <v>0.8</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18">
        <f>Dry_Matter_Content!P34</f>
        <v>0</v>
      </c>
      <c r="E47" s="284">
        <f>MCF!R46</f>
        <v>0.8</v>
      </c>
      <c r="F47" s="67">
        <f t="shared" si="0"/>
        <v>0</v>
      </c>
      <c r="G47" s="67">
        <f t="shared" si="1"/>
        <v>0</v>
      </c>
      <c r="H47" s="67">
        <f t="shared" si="2"/>
        <v>0</v>
      </c>
      <c r="I47" s="67">
        <f t="shared" si="3"/>
        <v>0</v>
      </c>
      <c r="J47" s="67">
        <f t="shared" si="4"/>
        <v>0</v>
      </c>
      <c r="K47" s="100">
        <f t="shared" si="6"/>
        <v>0</v>
      </c>
      <c r="O47" s="96">
        <f>Amnt_Deposited!B42</f>
        <v>2028</v>
      </c>
      <c r="P47" s="99">
        <f>Amnt_Deposited!P42</f>
        <v>0</v>
      </c>
      <c r="Q47" s="284">
        <f>MCF!R46</f>
        <v>0.8</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18">
        <f>Dry_Matter_Content!P35</f>
        <v>0</v>
      </c>
      <c r="E48" s="284">
        <f>MCF!R47</f>
        <v>0.8</v>
      </c>
      <c r="F48" s="67">
        <f t="shared" si="0"/>
        <v>0</v>
      </c>
      <c r="G48" s="67">
        <f t="shared" si="1"/>
        <v>0</v>
      </c>
      <c r="H48" s="67">
        <f t="shared" si="2"/>
        <v>0</v>
      </c>
      <c r="I48" s="67">
        <f t="shared" si="3"/>
        <v>0</v>
      </c>
      <c r="J48" s="67">
        <f t="shared" si="4"/>
        <v>0</v>
      </c>
      <c r="K48" s="100">
        <f t="shared" si="6"/>
        <v>0</v>
      </c>
      <c r="O48" s="96">
        <f>Amnt_Deposited!B43</f>
        <v>2029</v>
      </c>
      <c r="P48" s="99">
        <f>Amnt_Deposited!P43</f>
        <v>0</v>
      </c>
      <c r="Q48" s="284">
        <f>MCF!R47</f>
        <v>0.8</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18">
        <f>Dry_Matter_Content!P36</f>
        <v>0</v>
      </c>
      <c r="E49" s="284">
        <f>MCF!R48</f>
        <v>0.8</v>
      </c>
      <c r="F49" s="67">
        <f t="shared" si="0"/>
        <v>0</v>
      </c>
      <c r="G49" s="67">
        <f t="shared" si="1"/>
        <v>0</v>
      </c>
      <c r="H49" s="67">
        <f t="shared" si="2"/>
        <v>0</v>
      </c>
      <c r="I49" s="67">
        <f t="shared" si="3"/>
        <v>0</v>
      </c>
      <c r="J49" s="67">
        <f t="shared" si="4"/>
        <v>0</v>
      </c>
      <c r="K49" s="100">
        <f t="shared" si="6"/>
        <v>0</v>
      </c>
      <c r="O49" s="96">
        <f>Amnt_Deposited!B44</f>
        <v>2030</v>
      </c>
      <c r="P49" s="99">
        <f>Amnt_Deposited!P44</f>
        <v>0</v>
      </c>
      <c r="Q49" s="284">
        <f>MCF!R48</f>
        <v>0.8</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18">
        <f>Dry_Matter_Content!P37</f>
        <v>0</v>
      </c>
      <c r="E50" s="284">
        <f>MCF!R49</f>
        <v>0.8</v>
      </c>
      <c r="F50" s="67">
        <f t="shared" si="0"/>
        <v>0</v>
      </c>
      <c r="G50" s="67">
        <f t="shared" si="1"/>
        <v>0</v>
      </c>
      <c r="H50" s="67">
        <f t="shared" si="2"/>
        <v>0</v>
      </c>
      <c r="I50" s="67">
        <f t="shared" si="3"/>
        <v>0</v>
      </c>
      <c r="J50" s="67">
        <f t="shared" si="4"/>
        <v>0</v>
      </c>
      <c r="K50" s="100">
        <f t="shared" si="6"/>
        <v>0</v>
      </c>
      <c r="O50" s="96">
        <f>Amnt_Deposited!B45</f>
        <v>2031</v>
      </c>
      <c r="P50" s="99">
        <f>Amnt_Deposited!P45</f>
        <v>0</v>
      </c>
      <c r="Q50" s="284">
        <f>MCF!R49</f>
        <v>0.8</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18">
        <f>Dry_Matter_Content!P38</f>
        <v>0</v>
      </c>
      <c r="E51" s="284">
        <f>MCF!R50</f>
        <v>0.8</v>
      </c>
      <c r="F51" s="67">
        <f t="shared" si="0"/>
        <v>0</v>
      </c>
      <c r="G51" s="67">
        <f t="shared" si="1"/>
        <v>0</v>
      </c>
      <c r="H51" s="67">
        <f t="shared" si="2"/>
        <v>0</v>
      </c>
      <c r="I51" s="67">
        <f t="shared" si="3"/>
        <v>0</v>
      </c>
      <c r="J51" s="67">
        <f t="shared" si="4"/>
        <v>0</v>
      </c>
      <c r="K51" s="100">
        <f t="shared" si="6"/>
        <v>0</v>
      </c>
      <c r="O51" s="96">
        <f>Amnt_Deposited!B46</f>
        <v>2032</v>
      </c>
      <c r="P51" s="99">
        <f>Amnt_Deposited!P46</f>
        <v>0</v>
      </c>
      <c r="Q51" s="284">
        <f>MCF!R50</f>
        <v>0.8</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18">
        <f>Dry_Matter_Content!P39</f>
        <v>0</v>
      </c>
      <c r="E52" s="284">
        <f>MCF!R51</f>
        <v>0.8</v>
      </c>
      <c r="F52" s="67">
        <f t="shared" si="0"/>
        <v>0</v>
      </c>
      <c r="G52" s="67">
        <f t="shared" si="1"/>
        <v>0</v>
      </c>
      <c r="H52" s="67">
        <f t="shared" si="2"/>
        <v>0</v>
      </c>
      <c r="I52" s="67">
        <f t="shared" si="3"/>
        <v>0</v>
      </c>
      <c r="J52" s="67">
        <f t="shared" si="4"/>
        <v>0</v>
      </c>
      <c r="K52" s="100">
        <f t="shared" si="6"/>
        <v>0</v>
      </c>
      <c r="O52" s="96">
        <f>Amnt_Deposited!B47</f>
        <v>2033</v>
      </c>
      <c r="P52" s="99">
        <f>Amnt_Deposited!P47</f>
        <v>0</v>
      </c>
      <c r="Q52" s="284">
        <f>MCF!R51</f>
        <v>0.8</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18">
        <f>Dry_Matter_Content!P40</f>
        <v>0</v>
      </c>
      <c r="E53" s="284">
        <f>MCF!R52</f>
        <v>0.8</v>
      </c>
      <c r="F53" s="67">
        <f t="shared" si="0"/>
        <v>0</v>
      </c>
      <c r="G53" s="67">
        <f t="shared" si="1"/>
        <v>0</v>
      </c>
      <c r="H53" s="67">
        <f t="shared" si="2"/>
        <v>0</v>
      </c>
      <c r="I53" s="67">
        <f t="shared" si="3"/>
        <v>0</v>
      </c>
      <c r="J53" s="67">
        <f t="shared" si="4"/>
        <v>0</v>
      </c>
      <c r="K53" s="100">
        <f t="shared" si="6"/>
        <v>0</v>
      </c>
      <c r="O53" s="96">
        <f>Amnt_Deposited!B48</f>
        <v>2034</v>
      </c>
      <c r="P53" s="99">
        <f>Amnt_Deposited!P48</f>
        <v>0</v>
      </c>
      <c r="Q53" s="284">
        <f>MCF!R52</f>
        <v>0.8</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18">
        <f>Dry_Matter_Content!P41</f>
        <v>0</v>
      </c>
      <c r="E54" s="284">
        <f>MCF!R53</f>
        <v>0.8</v>
      </c>
      <c r="F54" s="67">
        <f t="shared" si="0"/>
        <v>0</v>
      </c>
      <c r="G54" s="67">
        <f t="shared" si="1"/>
        <v>0</v>
      </c>
      <c r="H54" s="67">
        <f t="shared" si="2"/>
        <v>0</v>
      </c>
      <c r="I54" s="67">
        <f t="shared" si="3"/>
        <v>0</v>
      </c>
      <c r="J54" s="67">
        <f t="shared" si="4"/>
        <v>0</v>
      </c>
      <c r="K54" s="100">
        <f t="shared" si="6"/>
        <v>0</v>
      </c>
      <c r="O54" s="96">
        <f>Amnt_Deposited!B49</f>
        <v>2035</v>
      </c>
      <c r="P54" s="99">
        <f>Amnt_Deposited!P49</f>
        <v>0</v>
      </c>
      <c r="Q54" s="284">
        <f>MCF!R53</f>
        <v>0.8</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18">
        <f>Dry_Matter_Content!P42</f>
        <v>0</v>
      </c>
      <c r="E55" s="284">
        <f>MCF!R54</f>
        <v>0.8</v>
      </c>
      <c r="F55" s="67">
        <f t="shared" si="0"/>
        <v>0</v>
      </c>
      <c r="G55" s="67">
        <f t="shared" si="1"/>
        <v>0</v>
      </c>
      <c r="H55" s="67">
        <f t="shared" si="2"/>
        <v>0</v>
      </c>
      <c r="I55" s="67">
        <f t="shared" si="3"/>
        <v>0</v>
      </c>
      <c r="J55" s="67">
        <f t="shared" si="4"/>
        <v>0</v>
      </c>
      <c r="K55" s="100">
        <f t="shared" si="6"/>
        <v>0</v>
      </c>
      <c r="O55" s="96">
        <f>Amnt_Deposited!B50</f>
        <v>2036</v>
      </c>
      <c r="P55" s="99">
        <f>Amnt_Deposited!P50</f>
        <v>0</v>
      </c>
      <c r="Q55" s="284">
        <f>MCF!R54</f>
        <v>0.8</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18">
        <f>Dry_Matter_Content!P43</f>
        <v>0</v>
      </c>
      <c r="E56" s="284">
        <f>MCF!R55</f>
        <v>0.8</v>
      </c>
      <c r="F56" s="67">
        <f t="shared" si="0"/>
        <v>0</v>
      </c>
      <c r="G56" s="67">
        <f t="shared" si="1"/>
        <v>0</v>
      </c>
      <c r="H56" s="67">
        <f t="shared" si="2"/>
        <v>0</v>
      </c>
      <c r="I56" s="67">
        <f t="shared" si="3"/>
        <v>0</v>
      </c>
      <c r="J56" s="67">
        <f t="shared" si="4"/>
        <v>0</v>
      </c>
      <c r="K56" s="100">
        <f t="shared" si="6"/>
        <v>0</v>
      </c>
      <c r="O56" s="96">
        <f>Amnt_Deposited!B51</f>
        <v>2037</v>
      </c>
      <c r="P56" s="99">
        <f>Amnt_Deposited!P51</f>
        <v>0</v>
      </c>
      <c r="Q56" s="284">
        <f>MCF!R55</f>
        <v>0.8</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18">
        <f>Dry_Matter_Content!P44</f>
        <v>0</v>
      </c>
      <c r="E57" s="284">
        <f>MCF!R56</f>
        <v>0.8</v>
      </c>
      <c r="F57" s="67">
        <f t="shared" si="0"/>
        <v>0</v>
      </c>
      <c r="G57" s="67">
        <f t="shared" si="1"/>
        <v>0</v>
      </c>
      <c r="H57" s="67">
        <f t="shared" si="2"/>
        <v>0</v>
      </c>
      <c r="I57" s="67">
        <f t="shared" si="3"/>
        <v>0</v>
      </c>
      <c r="J57" s="67">
        <f t="shared" si="4"/>
        <v>0</v>
      </c>
      <c r="K57" s="100">
        <f t="shared" si="6"/>
        <v>0</v>
      </c>
      <c r="O57" s="96">
        <f>Amnt_Deposited!B52</f>
        <v>2038</v>
      </c>
      <c r="P57" s="99">
        <f>Amnt_Deposited!P52</f>
        <v>0</v>
      </c>
      <c r="Q57" s="284">
        <f>MCF!R56</f>
        <v>0.8</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18">
        <f>Dry_Matter_Content!P45</f>
        <v>0</v>
      </c>
      <c r="E58" s="284">
        <f>MCF!R57</f>
        <v>0.8</v>
      </c>
      <c r="F58" s="67">
        <f t="shared" si="0"/>
        <v>0</v>
      </c>
      <c r="G58" s="67">
        <f t="shared" si="1"/>
        <v>0</v>
      </c>
      <c r="H58" s="67">
        <f t="shared" si="2"/>
        <v>0</v>
      </c>
      <c r="I58" s="67">
        <f t="shared" si="3"/>
        <v>0</v>
      </c>
      <c r="J58" s="67">
        <f t="shared" si="4"/>
        <v>0</v>
      </c>
      <c r="K58" s="100">
        <f t="shared" si="6"/>
        <v>0</v>
      </c>
      <c r="O58" s="96">
        <f>Amnt_Deposited!B53</f>
        <v>2039</v>
      </c>
      <c r="P58" s="99">
        <f>Amnt_Deposited!P53</f>
        <v>0</v>
      </c>
      <c r="Q58" s="284">
        <f>MCF!R57</f>
        <v>0.8</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18">
        <f>Dry_Matter_Content!P46</f>
        <v>0</v>
      </c>
      <c r="E59" s="284">
        <f>MCF!R58</f>
        <v>0.8</v>
      </c>
      <c r="F59" s="67">
        <f t="shared" si="0"/>
        <v>0</v>
      </c>
      <c r="G59" s="67">
        <f t="shared" si="1"/>
        <v>0</v>
      </c>
      <c r="H59" s="67">
        <f t="shared" si="2"/>
        <v>0</v>
      </c>
      <c r="I59" s="67">
        <f t="shared" si="3"/>
        <v>0</v>
      </c>
      <c r="J59" s="67">
        <f t="shared" si="4"/>
        <v>0</v>
      </c>
      <c r="K59" s="100">
        <f t="shared" si="6"/>
        <v>0</v>
      </c>
      <c r="O59" s="96">
        <f>Amnt_Deposited!B54</f>
        <v>2040</v>
      </c>
      <c r="P59" s="99">
        <f>Amnt_Deposited!P54</f>
        <v>0</v>
      </c>
      <c r="Q59" s="284">
        <f>MCF!R58</f>
        <v>0.8</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18">
        <f>Dry_Matter_Content!P47</f>
        <v>0</v>
      </c>
      <c r="E60" s="284">
        <f>MCF!R59</f>
        <v>0.8</v>
      </c>
      <c r="F60" s="67">
        <f t="shared" si="0"/>
        <v>0</v>
      </c>
      <c r="G60" s="67">
        <f t="shared" si="1"/>
        <v>0</v>
      </c>
      <c r="H60" s="67">
        <f t="shared" si="2"/>
        <v>0</v>
      </c>
      <c r="I60" s="67">
        <f t="shared" si="3"/>
        <v>0</v>
      </c>
      <c r="J60" s="67">
        <f t="shared" si="4"/>
        <v>0</v>
      </c>
      <c r="K60" s="100">
        <f t="shared" si="6"/>
        <v>0</v>
      </c>
      <c r="O60" s="96">
        <f>Amnt_Deposited!B55</f>
        <v>2041</v>
      </c>
      <c r="P60" s="99">
        <f>Amnt_Deposited!P55</f>
        <v>0</v>
      </c>
      <c r="Q60" s="284">
        <f>MCF!R59</f>
        <v>0.8</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18">
        <f>Dry_Matter_Content!P48</f>
        <v>0</v>
      </c>
      <c r="E61" s="284">
        <f>MCF!R60</f>
        <v>0.8</v>
      </c>
      <c r="F61" s="67">
        <f t="shared" si="0"/>
        <v>0</v>
      </c>
      <c r="G61" s="67">
        <f t="shared" si="1"/>
        <v>0</v>
      </c>
      <c r="H61" s="67">
        <f t="shared" si="2"/>
        <v>0</v>
      </c>
      <c r="I61" s="67">
        <f t="shared" si="3"/>
        <v>0</v>
      </c>
      <c r="J61" s="67">
        <f t="shared" si="4"/>
        <v>0</v>
      </c>
      <c r="K61" s="100">
        <f t="shared" si="6"/>
        <v>0</v>
      </c>
      <c r="O61" s="96">
        <f>Amnt_Deposited!B56</f>
        <v>2042</v>
      </c>
      <c r="P61" s="99">
        <f>Amnt_Deposited!P56</f>
        <v>0</v>
      </c>
      <c r="Q61" s="284">
        <f>MCF!R60</f>
        <v>0.8</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18">
        <f>Dry_Matter_Content!P49</f>
        <v>0</v>
      </c>
      <c r="E62" s="284">
        <f>MCF!R61</f>
        <v>0.8</v>
      </c>
      <c r="F62" s="67">
        <f t="shared" si="0"/>
        <v>0</v>
      </c>
      <c r="G62" s="67">
        <f t="shared" si="1"/>
        <v>0</v>
      </c>
      <c r="H62" s="67">
        <f t="shared" si="2"/>
        <v>0</v>
      </c>
      <c r="I62" s="67">
        <f t="shared" si="3"/>
        <v>0</v>
      </c>
      <c r="J62" s="67">
        <f t="shared" si="4"/>
        <v>0</v>
      </c>
      <c r="K62" s="100">
        <f t="shared" si="6"/>
        <v>0</v>
      </c>
      <c r="O62" s="96">
        <f>Amnt_Deposited!B57</f>
        <v>2043</v>
      </c>
      <c r="P62" s="99">
        <f>Amnt_Deposited!P57</f>
        <v>0</v>
      </c>
      <c r="Q62" s="284">
        <f>MCF!R61</f>
        <v>0.8</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18">
        <f>Dry_Matter_Content!P50</f>
        <v>0</v>
      </c>
      <c r="E63" s="284">
        <f>MCF!R62</f>
        <v>0.8</v>
      </c>
      <c r="F63" s="67">
        <f t="shared" si="0"/>
        <v>0</v>
      </c>
      <c r="G63" s="67">
        <f t="shared" si="1"/>
        <v>0</v>
      </c>
      <c r="H63" s="67">
        <f t="shared" si="2"/>
        <v>0</v>
      </c>
      <c r="I63" s="67">
        <f t="shared" si="3"/>
        <v>0</v>
      </c>
      <c r="J63" s="67">
        <f t="shared" si="4"/>
        <v>0</v>
      </c>
      <c r="K63" s="100">
        <f t="shared" si="6"/>
        <v>0</v>
      </c>
      <c r="O63" s="96">
        <f>Amnt_Deposited!B58</f>
        <v>2044</v>
      </c>
      <c r="P63" s="99">
        <f>Amnt_Deposited!P58</f>
        <v>0</v>
      </c>
      <c r="Q63" s="284">
        <f>MCF!R62</f>
        <v>0.8</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18">
        <f>Dry_Matter_Content!P51</f>
        <v>0</v>
      </c>
      <c r="E64" s="284">
        <f>MCF!R63</f>
        <v>0.8</v>
      </c>
      <c r="F64" s="67">
        <f t="shared" si="0"/>
        <v>0</v>
      </c>
      <c r="G64" s="67">
        <f t="shared" si="1"/>
        <v>0</v>
      </c>
      <c r="H64" s="67">
        <f t="shared" si="2"/>
        <v>0</v>
      </c>
      <c r="I64" s="67">
        <f t="shared" si="3"/>
        <v>0</v>
      </c>
      <c r="J64" s="67">
        <f t="shared" si="4"/>
        <v>0</v>
      </c>
      <c r="K64" s="100">
        <f t="shared" si="6"/>
        <v>0</v>
      </c>
      <c r="O64" s="96">
        <f>Amnt_Deposited!B59</f>
        <v>2045</v>
      </c>
      <c r="P64" s="99">
        <f>Amnt_Deposited!P59</f>
        <v>0</v>
      </c>
      <c r="Q64" s="284">
        <f>MCF!R63</f>
        <v>0.8</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18">
        <f>Dry_Matter_Content!P52</f>
        <v>0</v>
      </c>
      <c r="E65" s="284">
        <f>MCF!R64</f>
        <v>0.8</v>
      </c>
      <c r="F65" s="67">
        <f t="shared" si="0"/>
        <v>0</v>
      </c>
      <c r="G65" s="67">
        <f t="shared" si="1"/>
        <v>0</v>
      </c>
      <c r="H65" s="67">
        <f t="shared" si="2"/>
        <v>0</v>
      </c>
      <c r="I65" s="67">
        <f t="shared" si="3"/>
        <v>0</v>
      </c>
      <c r="J65" s="67">
        <f t="shared" si="4"/>
        <v>0</v>
      </c>
      <c r="K65" s="100">
        <f t="shared" si="6"/>
        <v>0</v>
      </c>
      <c r="O65" s="96">
        <f>Amnt_Deposited!B60</f>
        <v>2046</v>
      </c>
      <c r="P65" s="99">
        <f>Amnt_Deposited!P60</f>
        <v>0</v>
      </c>
      <c r="Q65" s="284">
        <f>MCF!R64</f>
        <v>0.8</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18">
        <f>Dry_Matter_Content!P53</f>
        <v>0</v>
      </c>
      <c r="E66" s="284">
        <f>MCF!R65</f>
        <v>0.8</v>
      </c>
      <c r="F66" s="67">
        <f t="shared" si="0"/>
        <v>0</v>
      </c>
      <c r="G66" s="67">
        <f t="shared" si="1"/>
        <v>0</v>
      </c>
      <c r="H66" s="67">
        <f t="shared" si="2"/>
        <v>0</v>
      </c>
      <c r="I66" s="67">
        <f t="shared" si="3"/>
        <v>0</v>
      </c>
      <c r="J66" s="67">
        <f t="shared" si="4"/>
        <v>0</v>
      </c>
      <c r="K66" s="100">
        <f t="shared" si="6"/>
        <v>0</v>
      </c>
      <c r="O66" s="96">
        <f>Amnt_Deposited!B61</f>
        <v>2047</v>
      </c>
      <c r="P66" s="99">
        <f>Amnt_Deposited!P61</f>
        <v>0</v>
      </c>
      <c r="Q66" s="284">
        <f>MCF!R65</f>
        <v>0.8</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18">
        <f>Dry_Matter_Content!P54</f>
        <v>0</v>
      </c>
      <c r="E67" s="284">
        <f>MCF!R66</f>
        <v>0.8</v>
      </c>
      <c r="F67" s="67">
        <f t="shared" si="0"/>
        <v>0</v>
      </c>
      <c r="G67" s="67">
        <f t="shared" si="1"/>
        <v>0</v>
      </c>
      <c r="H67" s="67">
        <f t="shared" si="2"/>
        <v>0</v>
      </c>
      <c r="I67" s="67">
        <f t="shared" si="3"/>
        <v>0</v>
      </c>
      <c r="J67" s="67">
        <f t="shared" si="4"/>
        <v>0</v>
      </c>
      <c r="K67" s="100">
        <f t="shared" si="6"/>
        <v>0</v>
      </c>
      <c r="O67" s="96">
        <f>Amnt_Deposited!B62</f>
        <v>2048</v>
      </c>
      <c r="P67" s="99">
        <f>Amnt_Deposited!P62</f>
        <v>0</v>
      </c>
      <c r="Q67" s="284">
        <f>MCF!R66</f>
        <v>0.8</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18">
        <f>Dry_Matter_Content!P55</f>
        <v>0</v>
      </c>
      <c r="E68" s="284">
        <f>MCF!R67</f>
        <v>0.8</v>
      </c>
      <c r="F68" s="67">
        <f t="shared" si="0"/>
        <v>0</v>
      </c>
      <c r="G68" s="67">
        <f t="shared" si="1"/>
        <v>0</v>
      </c>
      <c r="H68" s="67">
        <f t="shared" si="2"/>
        <v>0</v>
      </c>
      <c r="I68" s="67">
        <f t="shared" si="3"/>
        <v>0</v>
      </c>
      <c r="J68" s="67">
        <f t="shared" si="4"/>
        <v>0</v>
      </c>
      <c r="K68" s="100">
        <f t="shared" si="6"/>
        <v>0</v>
      </c>
      <c r="O68" s="96">
        <f>Amnt_Deposited!B63</f>
        <v>2049</v>
      </c>
      <c r="P68" s="99">
        <f>Amnt_Deposited!P63</f>
        <v>0</v>
      </c>
      <c r="Q68" s="284">
        <f>MCF!R67</f>
        <v>0.8</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18">
        <f>Dry_Matter_Content!P56</f>
        <v>0</v>
      </c>
      <c r="E69" s="284">
        <f>MCF!R68</f>
        <v>0.8</v>
      </c>
      <c r="F69" s="67">
        <f t="shared" si="0"/>
        <v>0</v>
      </c>
      <c r="G69" s="67">
        <f t="shared" si="1"/>
        <v>0</v>
      </c>
      <c r="H69" s="67">
        <f t="shared" si="2"/>
        <v>0</v>
      </c>
      <c r="I69" s="67">
        <f t="shared" si="3"/>
        <v>0</v>
      </c>
      <c r="J69" s="67">
        <f t="shared" si="4"/>
        <v>0</v>
      </c>
      <c r="K69" s="100">
        <f t="shared" si="6"/>
        <v>0</v>
      </c>
      <c r="O69" s="96">
        <f>Amnt_Deposited!B64</f>
        <v>2050</v>
      </c>
      <c r="P69" s="99">
        <f>Amnt_Deposited!P64</f>
        <v>0</v>
      </c>
      <c r="Q69" s="284">
        <f>MCF!R68</f>
        <v>0.8</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18">
        <f>Dry_Matter_Content!P57</f>
        <v>0</v>
      </c>
      <c r="E70" s="284">
        <f>MCF!R69</f>
        <v>0.8</v>
      </c>
      <c r="F70" s="67">
        <f t="shared" si="0"/>
        <v>0</v>
      </c>
      <c r="G70" s="67">
        <f t="shared" si="1"/>
        <v>0</v>
      </c>
      <c r="H70" s="67">
        <f t="shared" si="2"/>
        <v>0</v>
      </c>
      <c r="I70" s="67">
        <f t="shared" si="3"/>
        <v>0</v>
      </c>
      <c r="J70" s="67">
        <f t="shared" si="4"/>
        <v>0</v>
      </c>
      <c r="K70" s="100">
        <f t="shared" si="6"/>
        <v>0</v>
      </c>
      <c r="O70" s="96">
        <f>Amnt_Deposited!B65</f>
        <v>2051</v>
      </c>
      <c r="P70" s="99">
        <f>Amnt_Deposited!P65</f>
        <v>0</v>
      </c>
      <c r="Q70" s="284">
        <f>MCF!R69</f>
        <v>0.8</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18">
        <f>Dry_Matter_Content!P58</f>
        <v>0</v>
      </c>
      <c r="E71" s="284">
        <f>MCF!R70</f>
        <v>0.8</v>
      </c>
      <c r="F71" s="67">
        <f t="shared" si="0"/>
        <v>0</v>
      </c>
      <c r="G71" s="67">
        <f t="shared" si="1"/>
        <v>0</v>
      </c>
      <c r="H71" s="67">
        <f t="shared" si="2"/>
        <v>0</v>
      </c>
      <c r="I71" s="67">
        <f t="shared" si="3"/>
        <v>0</v>
      </c>
      <c r="J71" s="67">
        <f t="shared" si="4"/>
        <v>0</v>
      </c>
      <c r="K71" s="100">
        <f t="shared" si="6"/>
        <v>0</v>
      </c>
      <c r="O71" s="96">
        <f>Amnt_Deposited!B66</f>
        <v>2052</v>
      </c>
      <c r="P71" s="99">
        <f>Amnt_Deposited!P66</f>
        <v>0</v>
      </c>
      <c r="Q71" s="284">
        <f>MCF!R70</f>
        <v>0.8</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18">
        <f>Dry_Matter_Content!P59</f>
        <v>0</v>
      </c>
      <c r="E72" s="284">
        <f>MCF!R71</f>
        <v>0.8</v>
      </c>
      <c r="F72" s="67">
        <f t="shared" si="0"/>
        <v>0</v>
      </c>
      <c r="G72" s="67">
        <f t="shared" si="1"/>
        <v>0</v>
      </c>
      <c r="H72" s="67">
        <f t="shared" si="2"/>
        <v>0</v>
      </c>
      <c r="I72" s="67">
        <f t="shared" si="3"/>
        <v>0</v>
      </c>
      <c r="J72" s="67">
        <f t="shared" si="4"/>
        <v>0</v>
      </c>
      <c r="K72" s="100">
        <f t="shared" si="6"/>
        <v>0</v>
      </c>
      <c r="O72" s="96">
        <f>Amnt_Deposited!B67</f>
        <v>2053</v>
      </c>
      <c r="P72" s="99">
        <f>Amnt_Deposited!P67</f>
        <v>0</v>
      </c>
      <c r="Q72" s="284">
        <f>MCF!R71</f>
        <v>0.8</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18">
        <f>Dry_Matter_Content!P60</f>
        <v>0</v>
      </c>
      <c r="E73" s="284">
        <f>MCF!R72</f>
        <v>0.8</v>
      </c>
      <c r="F73" s="67">
        <f t="shared" si="0"/>
        <v>0</v>
      </c>
      <c r="G73" s="67">
        <f t="shared" si="1"/>
        <v>0</v>
      </c>
      <c r="H73" s="67">
        <f t="shared" si="2"/>
        <v>0</v>
      </c>
      <c r="I73" s="67">
        <f t="shared" si="3"/>
        <v>0</v>
      </c>
      <c r="J73" s="67">
        <f t="shared" si="4"/>
        <v>0</v>
      </c>
      <c r="K73" s="100">
        <f t="shared" si="6"/>
        <v>0</v>
      </c>
      <c r="O73" s="96">
        <f>Amnt_Deposited!B68</f>
        <v>2054</v>
      </c>
      <c r="P73" s="99">
        <f>Amnt_Deposited!P68</f>
        <v>0</v>
      </c>
      <c r="Q73" s="284">
        <f>MCF!R72</f>
        <v>0.8</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18">
        <f>Dry_Matter_Content!P61</f>
        <v>0</v>
      </c>
      <c r="E74" s="284">
        <f>MCF!R73</f>
        <v>0.8</v>
      </c>
      <c r="F74" s="67">
        <f t="shared" si="0"/>
        <v>0</v>
      </c>
      <c r="G74" s="67">
        <f t="shared" si="1"/>
        <v>0</v>
      </c>
      <c r="H74" s="67">
        <f t="shared" si="2"/>
        <v>0</v>
      </c>
      <c r="I74" s="67">
        <f t="shared" si="3"/>
        <v>0</v>
      </c>
      <c r="J74" s="67">
        <f t="shared" si="4"/>
        <v>0</v>
      </c>
      <c r="K74" s="100">
        <f t="shared" si="6"/>
        <v>0</v>
      </c>
      <c r="O74" s="96">
        <f>Amnt_Deposited!B69</f>
        <v>2055</v>
      </c>
      <c r="P74" s="99">
        <f>Amnt_Deposited!P69</f>
        <v>0</v>
      </c>
      <c r="Q74" s="284">
        <f>MCF!R73</f>
        <v>0.8</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18">
        <f>Dry_Matter_Content!P62</f>
        <v>0</v>
      </c>
      <c r="E75" s="284">
        <f>MCF!R74</f>
        <v>0.8</v>
      </c>
      <c r="F75" s="67">
        <f t="shared" si="0"/>
        <v>0</v>
      </c>
      <c r="G75" s="67">
        <f t="shared" si="1"/>
        <v>0</v>
      </c>
      <c r="H75" s="67">
        <f t="shared" si="2"/>
        <v>0</v>
      </c>
      <c r="I75" s="67">
        <f t="shared" si="3"/>
        <v>0</v>
      </c>
      <c r="J75" s="67">
        <f t="shared" si="4"/>
        <v>0</v>
      </c>
      <c r="K75" s="100">
        <f t="shared" si="6"/>
        <v>0</v>
      </c>
      <c r="O75" s="96">
        <f>Amnt_Deposited!B70</f>
        <v>2056</v>
      </c>
      <c r="P75" s="99">
        <f>Amnt_Deposited!P70</f>
        <v>0</v>
      </c>
      <c r="Q75" s="284">
        <f>MCF!R74</f>
        <v>0.8</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18">
        <f>Dry_Matter_Content!P63</f>
        <v>0</v>
      </c>
      <c r="E76" s="284">
        <f>MCF!R75</f>
        <v>0.8</v>
      </c>
      <c r="F76" s="67">
        <f t="shared" si="0"/>
        <v>0</v>
      </c>
      <c r="G76" s="67">
        <f t="shared" si="1"/>
        <v>0</v>
      </c>
      <c r="H76" s="67">
        <f t="shared" si="2"/>
        <v>0</v>
      </c>
      <c r="I76" s="67">
        <f t="shared" si="3"/>
        <v>0</v>
      </c>
      <c r="J76" s="67">
        <f t="shared" si="4"/>
        <v>0</v>
      </c>
      <c r="K76" s="100">
        <f t="shared" si="6"/>
        <v>0</v>
      </c>
      <c r="O76" s="96">
        <f>Amnt_Deposited!B71</f>
        <v>2057</v>
      </c>
      <c r="P76" s="99">
        <f>Amnt_Deposited!P71</f>
        <v>0</v>
      </c>
      <c r="Q76" s="284">
        <f>MCF!R75</f>
        <v>0.8</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18">
        <f>Dry_Matter_Content!P64</f>
        <v>0</v>
      </c>
      <c r="E77" s="284">
        <f>MCF!R76</f>
        <v>0.8</v>
      </c>
      <c r="F77" s="67">
        <f t="shared" si="0"/>
        <v>0</v>
      </c>
      <c r="G77" s="67">
        <f t="shared" si="1"/>
        <v>0</v>
      </c>
      <c r="H77" s="67">
        <f t="shared" si="2"/>
        <v>0</v>
      </c>
      <c r="I77" s="67">
        <f t="shared" si="3"/>
        <v>0</v>
      </c>
      <c r="J77" s="67">
        <f t="shared" si="4"/>
        <v>0</v>
      </c>
      <c r="K77" s="100">
        <f t="shared" si="6"/>
        <v>0</v>
      </c>
      <c r="O77" s="96">
        <f>Amnt_Deposited!B72</f>
        <v>2058</v>
      </c>
      <c r="P77" s="99">
        <f>Amnt_Deposited!P72</f>
        <v>0</v>
      </c>
      <c r="Q77" s="284">
        <f>MCF!R76</f>
        <v>0.8</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18">
        <f>Dry_Matter_Content!P65</f>
        <v>0</v>
      </c>
      <c r="E78" s="284">
        <f>MCF!R77</f>
        <v>0.8</v>
      </c>
      <c r="F78" s="67">
        <f t="shared" si="0"/>
        <v>0</v>
      </c>
      <c r="G78" s="67">
        <f t="shared" si="1"/>
        <v>0</v>
      </c>
      <c r="H78" s="67">
        <f t="shared" si="2"/>
        <v>0</v>
      </c>
      <c r="I78" s="67">
        <f t="shared" si="3"/>
        <v>0</v>
      </c>
      <c r="J78" s="67">
        <f t="shared" si="4"/>
        <v>0</v>
      </c>
      <c r="K78" s="100">
        <f t="shared" si="6"/>
        <v>0</v>
      </c>
      <c r="O78" s="96">
        <f>Amnt_Deposited!B73</f>
        <v>2059</v>
      </c>
      <c r="P78" s="99">
        <f>Amnt_Deposited!P73</f>
        <v>0</v>
      </c>
      <c r="Q78" s="284">
        <f>MCF!R77</f>
        <v>0.8</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18">
        <f>Dry_Matter_Content!P66</f>
        <v>0</v>
      </c>
      <c r="E79" s="284">
        <f>MCF!R78</f>
        <v>0.8</v>
      </c>
      <c r="F79" s="67">
        <f t="shared" si="0"/>
        <v>0</v>
      </c>
      <c r="G79" s="67">
        <f t="shared" si="1"/>
        <v>0</v>
      </c>
      <c r="H79" s="67">
        <f t="shared" si="2"/>
        <v>0</v>
      </c>
      <c r="I79" s="67">
        <f t="shared" si="3"/>
        <v>0</v>
      </c>
      <c r="J79" s="67">
        <f t="shared" si="4"/>
        <v>0</v>
      </c>
      <c r="K79" s="100">
        <f t="shared" si="6"/>
        <v>0</v>
      </c>
      <c r="O79" s="96">
        <f>Amnt_Deposited!B74</f>
        <v>2060</v>
      </c>
      <c r="P79" s="99">
        <f>Amnt_Deposited!P74</f>
        <v>0</v>
      </c>
      <c r="Q79" s="284">
        <f>MCF!R78</f>
        <v>0.8</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18">
        <f>Dry_Matter_Content!P67</f>
        <v>0</v>
      </c>
      <c r="E80" s="284">
        <f>MCF!R79</f>
        <v>0.8</v>
      </c>
      <c r="F80" s="67">
        <f t="shared" si="0"/>
        <v>0</v>
      </c>
      <c r="G80" s="67">
        <f t="shared" si="1"/>
        <v>0</v>
      </c>
      <c r="H80" s="67">
        <f t="shared" si="2"/>
        <v>0</v>
      </c>
      <c r="I80" s="67">
        <f t="shared" si="3"/>
        <v>0</v>
      </c>
      <c r="J80" s="67">
        <f t="shared" si="4"/>
        <v>0</v>
      </c>
      <c r="K80" s="100">
        <f t="shared" si="6"/>
        <v>0</v>
      </c>
      <c r="O80" s="96">
        <f>Amnt_Deposited!B75</f>
        <v>2061</v>
      </c>
      <c r="P80" s="99">
        <f>Amnt_Deposited!P75</f>
        <v>0</v>
      </c>
      <c r="Q80" s="284">
        <f>MCF!R79</f>
        <v>0.8</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18">
        <f>Dry_Matter_Content!P68</f>
        <v>0</v>
      </c>
      <c r="E81" s="284">
        <f>MCF!R80</f>
        <v>0.8</v>
      </c>
      <c r="F81" s="67">
        <f t="shared" si="0"/>
        <v>0</v>
      </c>
      <c r="G81" s="67">
        <f t="shared" si="1"/>
        <v>0</v>
      </c>
      <c r="H81" s="67">
        <f t="shared" si="2"/>
        <v>0</v>
      </c>
      <c r="I81" s="67">
        <f t="shared" si="3"/>
        <v>0</v>
      </c>
      <c r="J81" s="67">
        <f t="shared" si="4"/>
        <v>0</v>
      </c>
      <c r="K81" s="100">
        <f t="shared" si="6"/>
        <v>0</v>
      </c>
      <c r="O81" s="96">
        <f>Amnt_Deposited!B76</f>
        <v>2062</v>
      </c>
      <c r="P81" s="99">
        <f>Amnt_Deposited!P76</f>
        <v>0</v>
      </c>
      <c r="Q81" s="284">
        <f>MCF!R80</f>
        <v>0.8</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18">
        <f>Dry_Matter_Content!P69</f>
        <v>0</v>
      </c>
      <c r="E82" s="284">
        <f>MCF!R81</f>
        <v>0.8</v>
      </c>
      <c r="F82" s="67">
        <f t="shared" si="0"/>
        <v>0</v>
      </c>
      <c r="G82" s="67">
        <f t="shared" si="1"/>
        <v>0</v>
      </c>
      <c r="H82" s="67">
        <f t="shared" si="2"/>
        <v>0</v>
      </c>
      <c r="I82" s="67">
        <f t="shared" si="3"/>
        <v>0</v>
      </c>
      <c r="J82" s="67">
        <f t="shared" si="4"/>
        <v>0</v>
      </c>
      <c r="K82" s="100">
        <f t="shared" si="6"/>
        <v>0</v>
      </c>
      <c r="O82" s="96">
        <f>Amnt_Deposited!B77</f>
        <v>2063</v>
      </c>
      <c r="P82" s="99">
        <f>Amnt_Deposited!P77</f>
        <v>0</v>
      </c>
      <c r="Q82" s="284">
        <f>MCF!R81</f>
        <v>0.8</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18">
        <f>Dry_Matter_Content!P70</f>
        <v>0</v>
      </c>
      <c r="E83" s="284">
        <f>MCF!R82</f>
        <v>0.8</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284">
        <f>MCF!R82</f>
        <v>0.8</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18">
        <f>Dry_Matter_Content!P71</f>
        <v>0</v>
      </c>
      <c r="E84" s="284">
        <f>MCF!R83</f>
        <v>0.8</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284">
        <f>MCF!R83</f>
        <v>0.8</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18">
        <f>Dry_Matter_Content!P72</f>
        <v>0</v>
      </c>
      <c r="E85" s="284">
        <f>MCF!R84</f>
        <v>0.8</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284">
        <f>MCF!R84</f>
        <v>0.8</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18">
        <f>Dry_Matter_Content!P73</f>
        <v>0</v>
      </c>
      <c r="E86" s="284">
        <f>MCF!R85</f>
        <v>0.8</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284">
        <f>MCF!R85</f>
        <v>0.8</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18">
        <f>Dry_Matter_Content!P74</f>
        <v>0</v>
      </c>
      <c r="E87" s="284">
        <f>MCF!R86</f>
        <v>0.8</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284">
        <f>MCF!R86</f>
        <v>0.8</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18">
        <f>Dry_Matter_Content!P75</f>
        <v>0</v>
      </c>
      <c r="E88" s="284">
        <f>MCF!R87</f>
        <v>0.8</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284">
        <f>MCF!R87</f>
        <v>0.8</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18">
        <f>Dry_Matter_Content!P76</f>
        <v>0</v>
      </c>
      <c r="E89" s="284">
        <f>MCF!R88</f>
        <v>0.8</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284">
        <f>MCF!R88</f>
        <v>0.8</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18">
        <f>Dry_Matter_Content!P77</f>
        <v>0</v>
      </c>
      <c r="E90" s="284">
        <f>MCF!R89</f>
        <v>0.8</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284">
        <f>MCF!R89</f>
        <v>0.8</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18">
        <f>Dry_Matter_Content!P78</f>
        <v>0</v>
      </c>
      <c r="E91" s="284">
        <f>MCF!R90</f>
        <v>0.8</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284">
        <f>MCF!R90</f>
        <v>0.8</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18">
        <f>Dry_Matter_Content!P79</f>
        <v>0</v>
      </c>
      <c r="E92" s="284">
        <f>MCF!R91</f>
        <v>0.8</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284">
        <f>MCF!R91</f>
        <v>0.8</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18">
        <f>Dry_Matter_Content!P80</f>
        <v>0</v>
      </c>
      <c r="E93" s="284">
        <f>MCF!R92</f>
        <v>0.8</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284">
        <f>MCF!R92</f>
        <v>0.8</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18">
        <f>Dry_Matter_Content!P81</f>
        <v>0</v>
      </c>
      <c r="E94" s="284">
        <f>MCF!R93</f>
        <v>0.8</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284">
        <f>MCF!R93</f>
        <v>0.8</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18">
        <f>Dry_Matter_Content!P82</f>
        <v>0</v>
      </c>
      <c r="E95" s="284">
        <f>MCF!R94</f>
        <v>0.8</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284">
        <f>MCF!R94</f>
        <v>0.8</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18">
        <f>Dry_Matter_Content!P83</f>
        <v>0</v>
      </c>
      <c r="E96" s="284">
        <f>MCF!R95</f>
        <v>0.8</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284">
        <f>MCF!R95</f>
        <v>0.8</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18">
        <f>Dry_Matter_Content!P84</f>
        <v>0</v>
      </c>
      <c r="E97" s="284">
        <f>MCF!R96</f>
        <v>0.8</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284">
        <f>MCF!R96</f>
        <v>0.8</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18">
        <f>Dry_Matter_Content!P85</f>
        <v>0</v>
      </c>
      <c r="E98" s="284">
        <f>MCF!R97</f>
        <v>0.8</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284">
        <f>MCF!R97</f>
        <v>0.8</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18">
        <f>Dry_Matter_Content!P86</f>
        <v>0</v>
      </c>
      <c r="E99" s="285">
        <f>MCF!R98</f>
        <v>0.8</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285">
        <f>MCF!R98</f>
        <v>0.8</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C16" sqref="C16:G16"/>
    </sheetView>
  </sheetViews>
  <sheetFormatPr defaultColWidth="11.42578125" defaultRowHeight="12.75"/>
  <cols>
    <col min="1" max="1" width="3.42578125" style="587" customWidth="1"/>
    <col min="2" max="2" width="15.28515625" style="587" customWidth="1"/>
    <col min="3" max="4" width="10.140625" style="587" bestFit="1" customWidth="1"/>
    <col min="5" max="5" width="9.42578125" style="587" customWidth="1"/>
    <col min="6" max="6" width="11.28515625" style="587" customWidth="1"/>
    <col min="7" max="7" width="9.42578125" style="587" customWidth="1"/>
    <col min="8" max="8" width="8.42578125" style="587" customWidth="1"/>
    <col min="9" max="10" width="10.85546875" style="587" customWidth="1"/>
    <col min="11" max="11" width="9.42578125" style="587" bestFit="1" customWidth="1"/>
    <col min="12" max="12" width="10.28515625" style="587" customWidth="1"/>
    <col min="13" max="13" width="10.140625" style="587" customWidth="1"/>
    <col min="14" max="14" width="8.42578125" style="587" customWidth="1"/>
    <col min="15" max="15" width="23.7109375" style="587" customWidth="1"/>
    <col min="16" max="16" width="9.28515625" style="587" customWidth="1"/>
    <col min="17" max="17" width="3.85546875" style="587" customWidth="1"/>
    <col min="18" max="19" width="13" style="587" customWidth="1"/>
    <col min="20" max="20" width="9.42578125" style="587" customWidth="1"/>
    <col min="21" max="16384" width="11.42578125" style="587"/>
  </cols>
  <sheetData>
    <row r="2" spans="2:20" ht="15.75">
      <c r="C2" s="708" t="s">
        <v>106</v>
      </c>
      <c r="Q2" s="806" t="s">
        <v>107</v>
      </c>
      <c r="R2" s="806"/>
      <c r="S2" s="806"/>
      <c r="T2" s="806"/>
    </row>
    <row r="4" spans="2:20">
      <c r="C4" s="587" t="s">
        <v>26</v>
      </c>
    </row>
    <row r="5" spans="2:20">
      <c r="C5" s="587" t="s">
        <v>281</v>
      </c>
    </row>
    <row r="6" spans="2:20">
      <c r="C6" s="587" t="s">
        <v>29</v>
      </c>
    </row>
    <row r="7" spans="2:20">
      <c r="C7" s="587" t="s">
        <v>109</v>
      </c>
    </row>
    <row r="8" spans="2:20" ht="13.5" thickBot="1"/>
    <row r="9" spans="2:20" ht="13.5" thickBot="1">
      <c r="C9" s="807" t="s">
        <v>95</v>
      </c>
      <c r="D9" s="808"/>
      <c r="E9" s="808"/>
      <c r="F9" s="808"/>
      <c r="G9" s="808"/>
      <c r="H9" s="809"/>
      <c r="I9" s="815" t="s">
        <v>308</v>
      </c>
      <c r="J9" s="816"/>
      <c r="K9" s="816"/>
      <c r="L9" s="816"/>
      <c r="M9" s="816"/>
      <c r="N9" s="817"/>
      <c r="R9" s="709" t="s">
        <v>95</v>
      </c>
      <c r="S9" s="707" t="s">
        <v>308</v>
      </c>
    </row>
    <row r="10" spans="2:20" s="717" customFormat="1" ht="38.25" customHeight="1">
      <c r="B10" s="710"/>
      <c r="C10" s="711" t="s">
        <v>341</v>
      </c>
      <c r="D10" s="712" t="s">
        <v>340</v>
      </c>
      <c r="E10" s="712" t="s">
        <v>338</v>
      </c>
      <c r="F10" s="712" t="s">
        <v>206</v>
      </c>
      <c r="G10" s="712" t="s">
        <v>339</v>
      </c>
      <c r="H10" s="713" t="s">
        <v>161</v>
      </c>
      <c r="I10" s="714" t="s">
        <v>104</v>
      </c>
      <c r="J10" s="715" t="s">
        <v>105</v>
      </c>
      <c r="K10" s="715" t="s">
        <v>0</v>
      </c>
      <c r="L10" s="715" t="s">
        <v>206</v>
      </c>
      <c r="M10" s="715" t="s">
        <v>103</v>
      </c>
      <c r="N10" s="716" t="s">
        <v>161</v>
      </c>
      <c r="O10" s="706" t="s">
        <v>28</v>
      </c>
      <c r="R10" s="810" t="s">
        <v>147</v>
      </c>
      <c r="S10" s="810" t="s">
        <v>315</v>
      </c>
    </row>
    <row r="11" spans="2:20" s="722" customFormat="1" ht="13.5" thickBot="1">
      <c r="B11" s="718"/>
      <c r="C11" s="718" t="s">
        <v>11</v>
      </c>
      <c r="D11" s="719" t="s">
        <v>11</v>
      </c>
      <c r="E11" s="719" t="s">
        <v>11</v>
      </c>
      <c r="F11" s="719" t="s">
        <v>11</v>
      </c>
      <c r="G11" s="719" t="s">
        <v>11</v>
      </c>
      <c r="H11" s="720"/>
      <c r="I11" s="718" t="s">
        <v>11</v>
      </c>
      <c r="J11" s="719" t="s">
        <v>11</v>
      </c>
      <c r="K11" s="719" t="s">
        <v>11</v>
      </c>
      <c r="L11" s="719" t="s">
        <v>11</v>
      </c>
      <c r="M11" s="719" t="s">
        <v>11</v>
      </c>
      <c r="N11" s="720"/>
      <c r="O11" s="721"/>
      <c r="R11" s="811"/>
      <c r="S11" s="811"/>
    </row>
    <row r="12" spans="2:20" s="722" customFormat="1" ht="13.5" thickBot="1">
      <c r="B12" s="723" t="s">
        <v>25</v>
      </c>
      <c r="C12" s="724">
        <v>0.4</v>
      </c>
      <c r="D12" s="725">
        <v>0.8</v>
      </c>
      <c r="E12" s="725">
        <v>1</v>
      </c>
      <c r="F12" s="725">
        <v>0.5</v>
      </c>
      <c r="G12" s="725">
        <v>0.6</v>
      </c>
      <c r="H12" s="726"/>
      <c r="I12" s="724">
        <v>0.4</v>
      </c>
      <c r="J12" s="725">
        <v>0.8</v>
      </c>
      <c r="K12" s="725">
        <v>1</v>
      </c>
      <c r="L12" s="725">
        <v>0.5</v>
      </c>
      <c r="M12" s="725">
        <v>0.6</v>
      </c>
      <c r="N12" s="726"/>
      <c r="O12" s="727"/>
      <c r="R12" s="811"/>
      <c r="S12" s="811"/>
    </row>
    <row r="13" spans="2:20" s="722" customFormat="1" ht="26.25" thickBot="1">
      <c r="B13" s="723" t="s">
        <v>159</v>
      </c>
      <c r="C13" s="728">
        <f>C12</f>
        <v>0.4</v>
      </c>
      <c r="D13" s="729">
        <f>D12</f>
        <v>0.8</v>
      </c>
      <c r="E13" s="729">
        <f>E12</f>
        <v>1</v>
      </c>
      <c r="F13" s="729">
        <f>F12</f>
        <v>0.5</v>
      </c>
      <c r="G13" s="729">
        <f>G12</f>
        <v>0.6</v>
      </c>
      <c r="H13" s="730"/>
      <c r="I13" s="728">
        <v>0.4</v>
      </c>
      <c r="J13" s="729">
        <v>0.8</v>
      </c>
      <c r="K13" s="729">
        <v>1</v>
      </c>
      <c r="L13" s="729">
        <v>0.5</v>
      </c>
      <c r="M13" s="729">
        <v>0.6</v>
      </c>
      <c r="N13" s="730"/>
      <c r="O13" s="731"/>
      <c r="R13" s="811"/>
      <c r="S13" s="811"/>
    </row>
    <row r="14" spans="2:20" s="722" customFormat="1" ht="13.5" thickBot="1">
      <c r="B14" s="732"/>
      <c r="C14" s="732"/>
      <c r="D14" s="733"/>
      <c r="E14" s="733"/>
      <c r="F14" s="733"/>
      <c r="G14" s="733"/>
      <c r="H14" s="734"/>
      <c r="I14" s="732"/>
      <c r="J14" s="733"/>
      <c r="K14" s="733"/>
      <c r="L14" s="733"/>
      <c r="M14" s="733"/>
      <c r="N14" s="734"/>
      <c r="O14" s="735"/>
      <c r="R14" s="811"/>
      <c r="S14" s="811"/>
    </row>
    <row r="15" spans="2:20" s="722" customFormat="1" ht="12.75" customHeight="1" thickBot="1">
      <c r="B15" s="736"/>
      <c r="C15" s="803" t="s">
        <v>158</v>
      </c>
      <c r="D15" s="804"/>
      <c r="E15" s="804"/>
      <c r="F15" s="804"/>
      <c r="G15" s="804"/>
      <c r="H15" s="805"/>
      <c r="I15" s="803" t="s">
        <v>158</v>
      </c>
      <c r="J15" s="804"/>
      <c r="K15" s="804"/>
      <c r="L15" s="804"/>
      <c r="M15" s="804"/>
      <c r="N15" s="805"/>
      <c r="O15" s="737"/>
      <c r="R15" s="811"/>
      <c r="S15" s="811"/>
    </row>
    <row r="16" spans="2:20" s="722" customFormat="1" ht="26.25" thickBot="1">
      <c r="B16" s="723" t="s">
        <v>160</v>
      </c>
      <c r="C16" s="761">
        <v>0</v>
      </c>
      <c r="D16" s="762">
        <v>1</v>
      </c>
      <c r="E16" s="762">
        <v>0</v>
      </c>
      <c r="F16" s="762">
        <v>0</v>
      </c>
      <c r="G16" s="762">
        <v>0</v>
      </c>
      <c r="H16" s="813" t="s">
        <v>36</v>
      </c>
      <c r="I16" s="738">
        <v>0.2</v>
      </c>
      <c r="J16" s="739">
        <v>0.3</v>
      </c>
      <c r="K16" s="739">
        <v>0.25</v>
      </c>
      <c r="L16" s="739">
        <v>0.05</v>
      </c>
      <c r="M16" s="739">
        <v>0.2</v>
      </c>
      <c r="N16" s="813" t="s">
        <v>36</v>
      </c>
      <c r="O16" s="740"/>
      <c r="R16" s="812"/>
      <c r="S16" s="812"/>
    </row>
    <row r="17" spans="2:19" s="722" customFormat="1" ht="13.5" thickBot="1">
      <c r="B17" s="741" t="s">
        <v>1</v>
      </c>
      <c r="C17" s="741" t="s">
        <v>24</v>
      </c>
      <c r="D17" s="742" t="s">
        <v>24</v>
      </c>
      <c r="E17" s="742" t="s">
        <v>24</v>
      </c>
      <c r="F17" s="742" t="s">
        <v>24</v>
      </c>
      <c r="G17" s="742" t="s">
        <v>24</v>
      </c>
      <c r="H17" s="814"/>
      <c r="I17" s="741" t="s">
        <v>24</v>
      </c>
      <c r="J17" s="742" t="s">
        <v>24</v>
      </c>
      <c r="K17" s="742" t="s">
        <v>24</v>
      </c>
      <c r="L17" s="742" t="s">
        <v>24</v>
      </c>
      <c r="M17" s="742" t="s">
        <v>24</v>
      </c>
      <c r="N17" s="814"/>
      <c r="O17" s="721"/>
      <c r="R17" s="723" t="s">
        <v>157</v>
      </c>
      <c r="S17" s="743" t="s">
        <v>157</v>
      </c>
    </row>
    <row r="18" spans="2:19">
      <c r="B18" s="744">
        <f>year</f>
        <v>2000</v>
      </c>
      <c r="C18" s="745">
        <f>C$16</f>
        <v>0</v>
      </c>
      <c r="D18" s="746">
        <f t="shared" ref="D18:G33" si="0">D$16</f>
        <v>1</v>
      </c>
      <c r="E18" s="746">
        <f t="shared" si="0"/>
        <v>0</v>
      </c>
      <c r="F18" s="746">
        <f t="shared" si="0"/>
        <v>0</v>
      </c>
      <c r="G18" s="746">
        <f t="shared" si="0"/>
        <v>0</v>
      </c>
      <c r="H18" s="747">
        <f>SUM(C18:G18)</f>
        <v>1</v>
      </c>
      <c r="I18" s="745">
        <f>I$16</f>
        <v>0.2</v>
      </c>
      <c r="J18" s="746">
        <f t="shared" ref="J18:M33" si="1">J$16</f>
        <v>0.3</v>
      </c>
      <c r="K18" s="746">
        <f t="shared" si="1"/>
        <v>0.25</v>
      </c>
      <c r="L18" s="746">
        <f t="shared" si="1"/>
        <v>0.05</v>
      </c>
      <c r="M18" s="746">
        <f t="shared" si="1"/>
        <v>0.2</v>
      </c>
      <c r="N18" s="747">
        <f>SUM(I18:M18)</f>
        <v>1</v>
      </c>
      <c r="O18" s="620"/>
      <c r="R18" s="748">
        <f>C18*C$13+D18*D$13+E18*E$13+F18*F$13+G18*G$13</f>
        <v>0.8</v>
      </c>
      <c r="S18" s="749">
        <f>I18*I$13+J18*J$13+K18*K$13+L18*L$13+M18*M$13</f>
        <v>0.71500000000000008</v>
      </c>
    </row>
    <row r="19" spans="2:19">
      <c r="B19" s="750">
        <f t="shared" ref="B19:B50" si="2">B18+1</f>
        <v>2001</v>
      </c>
      <c r="C19" s="751">
        <f t="shared" ref="C19:G50" si="3">C$16</f>
        <v>0</v>
      </c>
      <c r="D19" s="752">
        <f t="shared" si="0"/>
        <v>1</v>
      </c>
      <c r="E19" s="752">
        <f t="shared" si="0"/>
        <v>0</v>
      </c>
      <c r="F19" s="752">
        <f t="shared" si="0"/>
        <v>0</v>
      </c>
      <c r="G19" s="752">
        <f t="shared" si="0"/>
        <v>0</v>
      </c>
      <c r="H19" s="753">
        <f t="shared" ref="H19:H82" si="4">SUM(C19:G19)</f>
        <v>1</v>
      </c>
      <c r="I19" s="751">
        <f t="shared" ref="I19:M50" si="5">I$16</f>
        <v>0.2</v>
      </c>
      <c r="J19" s="752">
        <f t="shared" si="1"/>
        <v>0.3</v>
      </c>
      <c r="K19" s="752">
        <f t="shared" si="1"/>
        <v>0.25</v>
      </c>
      <c r="L19" s="752">
        <f t="shared" si="1"/>
        <v>0.05</v>
      </c>
      <c r="M19" s="752">
        <f t="shared" si="1"/>
        <v>0.2</v>
      </c>
      <c r="N19" s="753">
        <f t="shared" ref="N19:N82" si="6">SUM(I19:M19)</f>
        <v>1</v>
      </c>
      <c r="O19" s="754"/>
      <c r="R19" s="748">
        <f t="shared" ref="R19:R82" si="7">C19*C$13+D19*D$13+E19*E$13+F19*F$13+G19*G$13</f>
        <v>0.8</v>
      </c>
      <c r="S19" s="749">
        <f t="shared" ref="S19:S82" si="8">I19*I$13+J19*J$13+K19*K$13+L19*L$13+M19*M$13</f>
        <v>0.71500000000000008</v>
      </c>
    </row>
    <row r="20" spans="2:19">
      <c r="B20" s="750">
        <f t="shared" si="2"/>
        <v>2002</v>
      </c>
      <c r="C20" s="751">
        <f t="shared" si="3"/>
        <v>0</v>
      </c>
      <c r="D20" s="752">
        <f t="shared" si="0"/>
        <v>1</v>
      </c>
      <c r="E20" s="752">
        <f t="shared" si="0"/>
        <v>0</v>
      </c>
      <c r="F20" s="752">
        <f t="shared" si="0"/>
        <v>0</v>
      </c>
      <c r="G20" s="752">
        <f t="shared" si="0"/>
        <v>0</v>
      </c>
      <c r="H20" s="753">
        <f t="shared" si="4"/>
        <v>1</v>
      </c>
      <c r="I20" s="751">
        <f t="shared" si="5"/>
        <v>0.2</v>
      </c>
      <c r="J20" s="752">
        <f t="shared" si="1"/>
        <v>0.3</v>
      </c>
      <c r="K20" s="752">
        <f t="shared" si="1"/>
        <v>0.25</v>
      </c>
      <c r="L20" s="752">
        <f t="shared" si="1"/>
        <v>0.05</v>
      </c>
      <c r="M20" s="752">
        <f t="shared" si="1"/>
        <v>0.2</v>
      </c>
      <c r="N20" s="753">
        <f t="shared" si="6"/>
        <v>1</v>
      </c>
      <c r="O20" s="754"/>
      <c r="R20" s="748">
        <f t="shared" si="7"/>
        <v>0.8</v>
      </c>
      <c r="S20" s="749">
        <f t="shared" si="8"/>
        <v>0.71500000000000008</v>
      </c>
    </row>
    <row r="21" spans="2:19">
      <c r="B21" s="750">
        <f t="shared" si="2"/>
        <v>2003</v>
      </c>
      <c r="C21" s="751">
        <f t="shared" si="3"/>
        <v>0</v>
      </c>
      <c r="D21" s="752">
        <f t="shared" si="0"/>
        <v>1</v>
      </c>
      <c r="E21" s="752">
        <f t="shared" si="0"/>
        <v>0</v>
      </c>
      <c r="F21" s="752">
        <f t="shared" si="0"/>
        <v>0</v>
      </c>
      <c r="G21" s="752">
        <f t="shared" si="0"/>
        <v>0</v>
      </c>
      <c r="H21" s="753">
        <f t="shared" si="4"/>
        <v>1</v>
      </c>
      <c r="I21" s="751">
        <f t="shared" si="5"/>
        <v>0.2</v>
      </c>
      <c r="J21" s="752">
        <f t="shared" si="1"/>
        <v>0.3</v>
      </c>
      <c r="K21" s="752">
        <f t="shared" si="1"/>
        <v>0.25</v>
      </c>
      <c r="L21" s="752">
        <f t="shared" si="1"/>
        <v>0.05</v>
      </c>
      <c r="M21" s="752">
        <f t="shared" si="1"/>
        <v>0.2</v>
      </c>
      <c r="N21" s="753">
        <f t="shared" si="6"/>
        <v>1</v>
      </c>
      <c r="O21" s="754"/>
      <c r="R21" s="748">
        <f t="shared" si="7"/>
        <v>0.8</v>
      </c>
      <c r="S21" s="749">
        <f t="shared" si="8"/>
        <v>0.71500000000000008</v>
      </c>
    </row>
    <row r="22" spans="2:19">
      <c r="B22" s="750">
        <f t="shared" si="2"/>
        <v>2004</v>
      </c>
      <c r="C22" s="751">
        <f t="shared" si="3"/>
        <v>0</v>
      </c>
      <c r="D22" s="752">
        <f t="shared" si="0"/>
        <v>1</v>
      </c>
      <c r="E22" s="752">
        <f t="shared" si="0"/>
        <v>0</v>
      </c>
      <c r="F22" s="752">
        <f t="shared" si="0"/>
        <v>0</v>
      </c>
      <c r="G22" s="752">
        <f t="shared" si="0"/>
        <v>0</v>
      </c>
      <c r="H22" s="753">
        <f t="shared" si="4"/>
        <v>1</v>
      </c>
      <c r="I22" s="751">
        <f t="shared" si="5"/>
        <v>0.2</v>
      </c>
      <c r="J22" s="752">
        <f t="shared" si="1"/>
        <v>0.3</v>
      </c>
      <c r="K22" s="752">
        <f t="shared" si="1"/>
        <v>0.25</v>
      </c>
      <c r="L22" s="752">
        <f t="shared" si="1"/>
        <v>0.05</v>
      </c>
      <c r="M22" s="752">
        <f t="shared" si="1"/>
        <v>0.2</v>
      </c>
      <c r="N22" s="753">
        <f t="shared" si="6"/>
        <v>1</v>
      </c>
      <c r="O22" s="754"/>
      <c r="R22" s="748">
        <f t="shared" si="7"/>
        <v>0.8</v>
      </c>
      <c r="S22" s="749">
        <f t="shared" si="8"/>
        <v>0.71500000000000008</v>
      </c>
    </row>
    <row r="23" spans="2:19">
      <c r="B23" s="750">
        <f t="shared" si="2"/>
        <v>2005</v>
      </c>
      <c r="C23" s="751">
        <f t="shared" si="3"/>
        <v>0</v>
      </c>
      <c r="D23" s="752">
        <f t="shared" si="0"/>
        <v>1</v>
      </c>
      <c r="E23" s="752">
        <f t="shared" si="0"/>
        <v>0</v>
      </c>
      <c r="F23" s="752">
        <f t="shared" si="0"/>
        <v>0</v>
      </c>
      <c r="G23" s="752">
        <f t="shared" si="0"/>
        <v>0</v>
      </c>
      <c r="H23" s="753">
        <f t="shared" si="4"/>
        <v>1</v>
      </c>
      <c r="I23" s="751">
        <f t="shared" si="5"/>
        <v>0.2</v>
      </c>
      <c r="J23" s="752">
        <f t="shared" si="1"/>
        <v>0.3</v>
      </c>
      <c r="K23" s="752">
        <f t="shared" si="1"/>
        <v>0.25</v>
      </c>
      <c r="L23" s="752">
        <f t="shared" si="1"/>
        <v>0.05</v>
      </c>
      <c r="M23" s="752">
        <f t="shared" si="1"/>
        <v>0.2</v>
      </c>
      <c r="N23" s="753">
        <f t="shared" si="6"/>
        <v>1</v>
      </c>
      <c r="O23" s="754"/>
      <c r="R23" s="748">
        <f t="shared" si="7"/>
        <v>0.8</v>
      </c>
      <c r="S23" s="749">
        <f t="shared" si="8"/>
        <v>0.71500000000000008</v>
      </c>
    </row>
    <row r="24" spans="2:19">
      <c r="B24" s="750">
        <f t="shared" si="2"/>
        <v>2006</v>
      </c>
      <c r="C24" s="751">
        <f t="shared" si="3"/>
        <v>0</v>
      </c>
      <c r="D24" s="752">
        <f t="shared" si="0"/>
        <v>1</v>
      </c>
      <c r="E24" s="752">
        <f t="shared" si="0"/>
        <v>0</v>
      </c>
      <c r="F24" s="752">
        <f t="shared" si="0"/>
        <v>0</v>
      </c>
      <c r="G24" s="752">
        <f t="shared" si="0"/>
        <v>0</v>
      </c>
      <c r="H24" s="753">
        <f t="shared" si="4"/>
        <v>1</v>
      </c>
      <c r="I24" s="751">
        <f t="shared" si="5"/>
        <v>0.2</v>
      </c>
      <c r="J24" s="752">
        <f t="shared" si="1"/>
        <v>0.3</v>
      </c>
      <c r="K24" s="752">
        <f t="shared" si="1"/>
        <v>0.25</v>
      </c>
      <c r="L24" s="752">
        <f t="shared" si="1"/>
        <v>0.05</v>
      </c>
      <c r="M24" s="752">
        <f t="shared" si="1"/>
        <v>0.2</v>
      </c>
      <c r="N24" s="753">
        <f t="shared" si="6"/>
        <v>1</v>
      </c>
      <c r="O24" s="754"/>
      <c r="R24" s="748">
        <f t="shared" si="7"/>
        <v>0.8</v>
      </c>
      <c r="S24" s="749">
        <f t="shared" si="8"/>
        <v>0.71500000000000008</v>
      </c>
    </row>
    <row r="25" spans="2:19">
      <c r="B25" s="750">
        <f t="shared" si="2"/>
        <v>2007</v>
      </c>
      <c r="C25" s="751">
        <f t="shared" si="3"/>
        <v>0</v>
      </c>
      <c r="D25" s="752">
        <f t="shared" si="0"/>
        <v>1</v>
      </c>
      <c r="E25" s="752">
        <f t="shared" si="0"/>
        <v>0</v>
      </c>
      <c r="F25" s="752">
        <f t="shared" si="0"/>
        <v>0</v>
      </c>
      <c r="G25" s="752">
        <f t="shared" si="0"/>
        <v>0</v>
      </c>
      <c r="H25" s="753">
        <f t="shared" si="4"/>
        <v>1</v>
      </c>
      <c r="I25" s="751">
        <f t="shared" si="5"/>
        <v>0.2</v>
      </c>
      <c r="J25" s="752">
        <f t="shared" si="1"/>
        <v>0.3</v>
      </c>
      <c r="K25" s="752">
        <f t="shared" si="1"/>
        <v>0.25</v>
      </c>
      <c r="L25" s="752">
        <f t="shared" si="1"/>
        <v>0.05</v>
      </c>
      <c r="M25" s="752">
        <f t="shared" si="1"/>
        <v>0.2</v>
      </c>
      <c r="N25" s="753">
        <f t="shared" si="6"/>
        <v>1</v>
      </c>
      <c r="O25" s="754"/>
      <c r="R25" s="748">
        <f t="shared" si="7"/>
        <v>0.8</v>
      </c>
      <c r="S25" s="749">
        <f t="shared" si="8"/>
        <v>0.71500000000000008</v>
      </c>
    </row>
    <row r="26" spans="2:19">
      <c r="B26" s="750">
        <f t="shared" si="2"/>
        <v>2008</v>
      </c>
      <c r="C26" s="751">
        <f t="shared" si="3"/>
        <v>0</v>
      </c>
      <c r="D26" s="752">
        <f t="shared" si="0"/>
        <v>1</v>
      </c>
      <c r="E26" s="752">
        <f t="shared" si="0"/>
        <v>0</v>
      </c>
      <c r="F26" s="752">
        <f t="shared" si="0"/>
        <v>0</v>
      </c>
      <c r="G26" s="752">
        <f t="shared" si="0"/>
        <v>0</v>
      </c>
      <c r="H26" s="753">
        <f t="shared" si="4"/>
        <v>1</v>
      </c>
      <c r="I26" s="751">
        <f t="shared" si="5"/>
        <v>0.2</v>
      </c>
      <c r="J26" s="752">
        <f t="shared" si="1"/>
        <v>0.3</v>
      </c>
      <c r="K26" s="752">
        <f t="shared" si="1"/>
        <v>0.25</v>
      </c>
      <c r="L26" s="752">
        <f t="shared" si="1"/>
        <v>0.05</v>
      </c>
      <c r="M26" s="752">
        <f t="shared" si="1"/>
        <v>0.2</v>
      </c>
      <c r="N26" s="753">
        <f t="shared" si="6"/>
        <v>1</v>
      </c>
      <c r="O26" s="754"/>
      <c r="R26" s="748">
        <f t="shared" si="7"/>
        <v>0.8</v>
      </c>
      <c r="S26" s="749">
        <f t="shared" si="8"/>
        <v>0.71500000000000008</v>
      </c>
    </row>
    <row r="27" spans="2:19">
      <c r="B27" s="750">
        <f t="shared" si="2"/>
        <v>2009</v>
      </c>
      <c r="C27" s="751">
        <f t="shared" si="3"/>
        <v>0</v>
      </c>
      <c r="D27" s="752">
        <f t="shared" si="0"/>
        <v>1</v>
      </c>
      <c r="E27" s="752">
        <f t="shared" si="0"/>
        <v>0</v>
      </c>
      <c r="F27" s="752">
        <f t="shared" si="0"/>
        <v>0</v>
      </c>
      <c r="G27" s="752">
        <f t="shared" si="0"/>
        <v>0</v>
      </c>
      <c r="H27" s="753">
        <f t="shared" si="4"/>
        <v>1</v>
      </c>
      <c r="I27" s="751">
        <f t="shared" si="5"/>
        <v>0.2</v>
      </c>
      <c r="J27" s="752">
        <f t="shared" si="1"/>
        <v>0.3</v>
      </c>
      <c r="K27" s="752">
        <f t="shared" si="1"/>
        <v>0.25</v>
      </c>
      <c r="L27" s="752">
        <f t="shared" si="1"/>
        <v>0.05</v>
      </c>
      <c r="M27" s="752">
        <f t="shared" si="1"/>
        <v>0.2</v>
      </c>
      <c r="N27" s="753">
        <f t="shared" si="6"/>
        <v>1</v>
      </c>
      <c r="O27" s="754"/>
      <c r="R27" s="748">
        <f t="shared" si="7"/>
        <v>0.8</v>
      </c>
      <c r="S27" s="749">
        <f t="shared" si="8"/>
        <v>0.71500000000000008</v>
      </c>
    </row>
    <row r="28" spans="2:19">
      <c r="B28" s="750">
        <f t="shared" si="2"/>
        <v>2010</v>
      </c>
      <c r="C28" s="751">
        <f t="shared" si="3"/>
        <v>0</v>
      </c>
      <c r="D28" s="752">
        <f t="shared" si="0"/>
        <v>1</v>
      </c>
      <c r="E28" s="752">
        <f t="shared" si="0"/>
        <v>0</v>
      </c>
      <c r="F28" s="752">
        <f t="shared" si="0"/>
        <v>0</v>
      </c>
      <c r="G28" s="752">
        <f t="shared" si="0"/>
        <v>0</v>
      </c>
      <c r="H28" s="753">
        <f t="shared" si="4"/>
        <v>1</v>
      </c>
      <c r="I28" s="751">
        <f t="shared" si="5"/>
        <v>0.2</v>
      </c>
      <c r="J28" s="752">
        <f t="shared" si="1"/>
        <v>0.3</v>
      </c>
      <c r="K28" s="752">
        <f t="shared" si="1"/>
        <v>0.25</v>
      </c>
      <c r="L28" s="752">
        <f t="shared" si="1"/>
        <v>0.05</v>
      </c>
      <c r="M28" s="752">
        <f t="shared" si="1"/>
        <v>0.2</v>
      </c>
      <c r="N28" s="753">
        <f t="shared" si="6"/>
        <v>1</v>
      </c>
      <c r="O28" s="754"/>
      <c r="R28" s="748">
        <f t="shared" si="7"/>
        <v>0.8</v>
      </c>
      <c r="S28" s="749">
        <f t="shared" si="8"/>
        <v>0.71500000000000008</v>
      </c>
    </row>
    <row r="29" spans="2:19">
      <c r="B29" s="750">
        <f t="shared" si="2"/>
        <v>2011</v>
      </c>
      <c r="C29" s="751">
        <f t="shared" si="3"/>
        <v>0</v>
      </c>
      <c r="D29" s="752">
        <f t="shared" si="0"/>
        <v>1</v>
      </c>
      <c r="E29" s="752">
        <f t="shared" si="0"/>
        <v>0</v>
      </c>
      <c r="F29" s="752">
        <f t="shared" si="0"/>
        <v>0</v>
      </c>
      <c r="G29" s="752">
        <f t="shared" si="0"/>
        <v>0</v>
      </c>
      <c r="H29" s="753">
        <f t="shared" si="4"/>
        <v>1</v>
      </c>
      <c r="I29" s="751">
        <f t="shared" si="5"/>
        <v>0.2</v>
      </c>
      <c r="J29" s="752">
        <f t="shared" si="1"/>
        <v>0.3</v>
      </c>
      <c r="K29" s="752">
        <f t="shared" si="1"/>
        <v>0.25</v>
      </c>
      <c r="L29" s="752">
        <f t="shared" si="1"/>
        <v>0.05</v>
      </c>
      <c r="M29" s="752">
        <f t="shared" si="1"/>
        <v>0.2</v>
      </c>
      <c r="N29" s="753">
        <f t="shared" si="6"/>
        <v>1</v>
      </c>
      <c r="O29" s="754"/>
      <c r="R29" s="748">
        <f t="shared" si="7"/>
        <v>0.8</v>
      </c>
      <c r="S29" s="749">
        <f t="shared" si="8"/>
        <v>0.71500000000000008</v>
      </c>
    </row>
    <row r="30" spans="2:19">
      <c r="B30" s="750">
        <f t="shared" si="2"/>
        <v>2012</v>
      </c>
      <c r="C30" s="751">
        <f t="shared" si="3"/>
        <v>0</v>
      </c>
      <c r="D30" s="752">
        <f t="shared" si="0"/>
        <v>1</v>
      </c>
      <c r="E30" s="752">
        <f t="shared" si="0"/>
        <v>0</v>
      </c>
      <c r="F30" s="752">
        <f t="shared" si="0"/>
        <v>0</v>
      </c>
      <c r="G30" s="752">
        <f t="shared" si="0"/>
        <v>0</v>
      </c>
      <c r="H30" s="753">
        <f t="shared" si="4"/>
        <v>1</v>
      </c>
      <c r="I30" s="751">
        <f t="shared" si="5"/>
        <v>0.2</v>
      </c>
      <c r="J30" s="752">
        <f t="shared" si="1"/>
        <v>0.3</v>
      </c>
      <c r="K30" s="752">
        <f t="shared" si="1"/>
        <v>0.25</v>
      </c>
      <c r="L30" s="752">
        <f t="shared" si="1"/>
        <v>0.05</v>
      </c>
      <c r="M30" s="752">
        <f t="shared" si="1"/>
        <v>0.2</v>
      </c>
      <c r="N30" s="753">
        <f t="shared" si="6"/>
        <v>1</v>
      </c>
      <c r="O30" s="754"/>
      <c r="R30" s="748">
        <f t="shared" si="7"/>
        <v>0.8</v>
      </c>
      <c r="S30" s="749">
        <f t="shared" si="8"/>
        <v>0.71500000000000008</v>
      </c>
    </row>
    <row r="31" spans="2:19">
      <c r="B31" s="750">
        <f t="shared" si="2"/>
        <v>2013</v>
      </c>
      <c r="C31" s="751">
        <f t="shared" si="3"/>
        <v>0</v>
      </c>
      <c r="D31" s="752">
        <f t="shared" si="0"/>
        <v>1</v>
      </c>
      <c r="E31" s="752">
        <f t="shared" si="0"/>
        <v>0</v>
      </c>
      <c r="F31" s="752">
        <f t="shared" si="0"/>
        <v>0</v>
      </c>
      <c r="G31" s="752">
        <f t="shared" si="0"/>
        <v>0</v>
      </c>
      <c r="H31" s="753">
        <f t="shared" si="4"/>
        <v>1</v>
      </c>
      <c r="I31" s="751">
        <f t="shared" si="5"/>
        <v>0.2</v>
      </c>
      <c r="J31" s="752">
        <f t="shared" si="1"/>
        <v>0.3</v>
      </c>
      <c r="K31" s="752">
        <f t="shared" si="1"/>
        <v>0.25</v>
      </c>
      <c r="L31" s="752">
        <f t="shared" si="1"/>
        <v>0.05</v>
      </c>
      <c r="M31" s="752">
        <f t="shared" si="1"/>
        <v>0.2</v>
      </c>
      <c r="N31" s="753">
        <f t="shared" si="6"/>
        <v>1</v>
      </c>
      <c r="O31" s="754"/>
      <c r="R31" s="748">
        <f t="shared" si="7"/>
        <v>0.8</v>
      </c>
      <c r="S31" s="749">
        <f t="shared" si="8"/>
        <v>0.71500000000000008</v>
      </c>
    </row>
    <row r="32" spans="2:19">
      <c r="B32" s="750">
        <f t="shared" si="2"/>
        <v>2014</v>
      </c>
      <c r="C32" s="751">
        <f t="shared" si="3"/>
        <v>0</v>
      </c>
      <c r="D32" s="752">
        <f t="shared" si="0"/>
        <v>1</v>
      </c>
      <c r="E32" s="752">
        <f t="shared" si="0"/>
        <v>0</v>
      </c>
      <c r="F32" s="752">
        <f t="shared" si="0"/>
        <v>0</v>
      </c>
      <c r="G32" s="752">
        <f t="shared" si="0"/>
        <v>0</v>
      </c>
      <c r="H32" s="753">
        <f t="shared" si="4"/>
        <v>1</v>
      </c>
      <c r="I32" s="751">
        <f t="shared" si="5"/>
        <v>0.2</v>
      </c>
      <c r="J32" s="752">
        <f t="shared" si="1"/>
        <v>0.3</v>
      </c>
      <c r="K32" s="752">
        <f t="shared" si="1"/>
        <v>0.25</v>
      </c>
      <c r="L32" s="752">
        <f t="shared" si="1"/>
        <v>0.05</v>
      </c>
      <c r="M32" s="752">
        <f t="shared" si="1"/>
        <v>0.2</v>
      </c>
      <c r="N32" s="753">
        <f t="shared" si="6"/>
        <v>1</v>
      </c>
      <c r="O32" s="754"/>
      <c r="R32" s="748">
        <f t="shared" si="7"/>
        <v>0.8</v>
      </c>
      <c r="S32" s="749">
        <f t="shared" si="8"/>
        <v>0.71500000000000008</v>
      </c>
    </row>
    <row r="33" spans="2:19">
      <c r="B33" s="750">
        <f t="shared" si="2"/>
        <v>2015</v>
      </c>
      <c r="C33" s="751">
        <f t="shared" si="3"/>
        <v>0</v>
      </c>
      <c r="D33" s="752">
        <f t="shared" si="0"/>
        <v>1</v>
      </c>
      <c r="E33" s="752">
        <f t="shared" si="0"/>
        <v>0</v>
      </c>
      <c r="F33" s="752">
        <f t="shared" si="0"/>
        <v>0</v>
      </c>
      <c r="G33" s="752">
        <f t="shared" si="0"/>
        <v>0</v>
      </c>
      <c r="H33" s="753">
        <f t="shared" si="4"/>
        <v>1</v>
      </c>
      <c r="I33" s="751">
        <f t="shared" si="5"/>
        <v>0.2</v>
      </c>
      <c r="J33" s="752">
        <f t="shared" si="1"/>
        <v>0.3</v>
      </c>
      <c r="K33" s="752">
        <f t="shared" si="1"/>
        <v>0.25</v>
      </c>
      <c r="L33" s="752">
        <f t="shared" si="1"/>
        <v>0.05</v>
      </c>
      <c r="M33" s="752">
        <f t="shared" si="1"/>
        <v>0.2</v>
      </c>
      <c r="N33" s="753">
        <f t="shared" si="6"/>
        <v>1</v>
      </c>
      <c r="O33" s="754"/>
      <c r="R33" s="748">
        <f t="shared" si="7"/>
        <v>0.8</v>
      </c>
      <c r="S33" s="749">
        <f t="shared" si="8"/>
        <v>0.71500000000000008</v>
      </c>
    </row>
    <row r="34" spans="2:19">
      <c r="B34" s="750">
        <f t="shared" si="2"/>
        <v>2016</v>
      </c>
      <c r="C34" s="751">
        <f t="shared" si="3"/>
        <v>0</v>
      </c>
      <c r="D34" s="752">
        <f t="shared" si="3"/>
        <v>1</v>
      </c>
      <c r="E34" s="752">
        <f t="shared" si="3"/>
        <v>0</v>
      </c>
      <c r="F34" s="752">
        <f t="shared" si="3"/>
        <v>0</v>
      </c>
      <c r="G34" s="752">
        <f t="shared" si="3"/>
        <v>0</v>
      </c>
      <c r="H34" s="753">
        <f t="shared" si="4"/>
        <v>1</v>
      </c>
      <c r="I34" s="751">
        <f t="shared" si="5"/>
        <v>0.2</v>
      </c>
      <c r="J34" s="752">
        <f t="shared" si="5"/>
        <v>0.3</v>
      </c>
      <c r="K34" s="752">
        <f t="shared" si="5"/>
        <v>0.25</v>
      </c>
      <c r="L34" s="752">
        <f t="shared" si="5"/>
        <v>0.05</v>
      </c>
      <c r="M34" s="752">
        <f t="shared" si="5"/>
        <v>0.2</v>
      </c>
      <c r="N34" s="753">
        <f t="shared" si="6"/>
        <v>1</v>
      </c>
      <c r="O34" s="754"/>
      <c r="R34" s="748">
        <f t="shared" si="7"/>
        <v>0.8</v>
      </c>
      <c r="S34" s="749">
        <f t="shared" si="8"/>
        <v>0.71500000000000008</v>
      </c>
    </row>
    <row r="35" spans="2:19">
      <c r="B35" s="750">
        <f t="shared" si="2"/>
        <v>2017</v>
      </c>
      <c r="C35" s="751">
        <f t="shared" si="3"/>
        <v>0</v>
      </c>
      <c r="D35" s="752">
        <f t="shared" si="3"/>
        <v>1</v>
      </c>
      <c r="E35" s="752">
        <f t="shared" si="3"/>
        <v>0</v>
      </c>
      <c r="F35" s="752">
        <f t="shared" si="3"/>
        <v>0</v>
      </c>
      <c r="G35" s="752">
        <f t="shared" si="3"/>
        <v>0</v>
      </c>
      <c r="H35" s="753">
        <f t="shared" si="4"/>
        <v>1</v>
      </c>
      <c r="I35" s="751">
        <f t="shared" si="5"/>
        <v>0.2</v>
      </c>
      <c r="J35" s="752">
        <f t="shared" si="5"/>
        <v>0.3</v>
      </c>
      <c r="K35" s="752">
        <f t="shared" si="5"/>
        <v>0.25</v>
      </c>
      <c r="L35" s="752">
        <f t="shared" si="5"/>
        <v>0.05</v>
      </c>
      <c r="M35" s="752">
        <f t="shared" si="5"/>
        <v>0.2</v>
      </c>
      <c r="N35" s="753">
        <f t="shared" si="6"/>
        <v>1</v>
      </c>
      <c r="O35" s="754"/>
      <c r="R35" s="748">
        <f t="shared" si="7"/>
        <v>0.8</v>
      </c>
      <c r="S35" s="749">
        <f t="shared" si="8"/>
        <v>0.71500000000000008</v>
      </c>
    </row>
    <row r="36" spans="2:19">
      <c r="B36" s="750">
        <f t="shared" si="2"/>
        <v>2018</v>
      </c>
      <c r="C36" s="751">
        <f t="shared" si="3"/>
        <v>0</v>
      </c>
      <c r="D36" s="752">
        <f t="shared" si="3"/>
        <v>1</v>
      </c>
      <c r="E36" s="752">
        <f t="shared" si="3"/>
        <v>0</v>
      </c>
      <c r="F36" s="752">
        <f t="shared" si="3"/>
        <v>0</v>
      </c>
      <c r="G36" s="752">
        <f t="shared" si="3"/>
        <v>0</v>
      </c>
      <c r="H36" s="753">
        <f t="shared" si="4"/>
        <v>1</v>
      </c>
      <c r="I36" s="751">
        <f t="shared" si="5"/>
        <v>0.2</v>
      </c>
      <c r="J36" s="752">
        <f t="shared" si="5"/>
        <v>0.3</v>
      </c>
      <c r="K36" s="752">
        <f t="shared" si="5"/>
        <v>0.25</v>
      </c>
      <c r="L36" s="752">
        <f t="shared" si="5"/>
        <v>0.05</v>
      </c>
      <c r="M36" s="752">
        <f t="shared" si="5"/>
        <v>0.2</v>
      </c>
      <c r="N36" s="753">
        <f t="shared" si="6"/>
        <v>1</v>
      </c>
      <c r="O36" s="754"/>
      <c r="R36" s="748">
        <f t="shared" si="7"/>
        <v>0.8</v>
      </c>
      <c r="S36" s="749">
        <f t="shared" si="8"/>
        <v>0.71500000000000008</v>
      </c>
    </row>
    <row r="37" spans="2:19">
      <c r="B37" s="750">
        <f t="shared" si="2"/>
        <v>2019</v>
      </c>
      <c r="C37" s="751">
        <f t="shared" si="3"/>
        <v>0</v>
      </c>
      <c r="D37" s="752">
        <f t="shared" si="3"/>
        <v>1</v>
      </c>
      <c r="E37" s="752">
        <f t="shared" si="3"/>
        <v>0</v>
      </c>
      <c r="F37" s="752">
        <f t="shared" si="3"/>
        <v>0</v>
      </c>
      <c r="G37" s="752">
        <f t="shared" si="3"/>
        <v>0</v>
      </c>
      <c r="H37" s="753">
        <f t="shared" si="4"/>
        <v>1</v>
      </c>
      <c r="I37" s="751">
        <f t="shared" si="5"/>
        <v>0.2</v>
      </c>
      <c r="J37" s="752">
        <f t="shared" si="5"/>
        <v>0.3</v>
      </c>
      <c r="K37" s="752">
        <f t="shared" si="5"/>
        <v>0.25</v>
      </c>
      <c r="L37" s="752">
        <f t="shared" si="5"/>
        <v>0.05</v>
      </c>
      <c r="M37" s="752">
        <f t="shared" si="5"/>
        <v>0.2</v>
      </c>
      <c r="N37" s="753">
        <f t="shared" si="6"/>
        <v>1</v>
      </c>
      <c r="O37" s="754"/>
      <c r="R37" s="748">
        <f t="shared" si="7"/>
        <v>0.8</v>
      </c>
      <c r="S37" s="749">
        <f t="shared" si="8"/>
        <v>0.71500000000000008</v>
      </c>
    </row>
    <row r="38" spans="2:19">
      <c r="B38" s="750">
        <f t="shared" si="2"/>
        <v>2020</v>
      </c>
      <c r="C38" s="751">
        <f t="shared" si="3"/>
        <v>0</v>
      </c>
      <c r="D38" s="752">
        <f t="shared" si="3"/>
        <v>1</v>
      </c>
      <c r="E38" s="752">
        <f t="shared" si="3"/>
        <v>0</v>
      </c>
      <c r="F38" s="752">
        <f t="shared" si="3"/>
        <v>0</v>
      </c>
      <c r="G38" s="752">
        <f t="shared" si="3"/>
        <v>0</v>
      </c>
      <c r="H38" s="753">
        <f t="shared" si="4"/>
        <v>1</v>
      </c>
      <c r="I38" s="751">
        <f t="shared" si="5"/>
        <v>0.2</v>
      </c>
      <c r="J38" s="752">
        <f t="shared" si="5"/>
        <v>0.3</v>
      </c>
      <c r="K38" s="752">
        <f t="shared" si="5"/>
        <v>0.25</v>
      </c>
      <c r="L38" s="752">
        <f t="shared" si="5"/>
        <v>0.05</v>
      </c>
      <c r="M38" s="752">
        <f t="shared" si="5"/>
        <v>0.2</v>
      </c>
      <c r="N38" s="753">
        <f t="shared" si="6"/>
        <v>1</v>
      </c>
      <c r="O38" s="754"/>
      <c r="R38" s="748">
        <f t="shared" si="7"/>
        <v>0.8</v>
      </c>
      <c r="S38" s="749">
        <f t="shared" si="8"/>
        <v>0.71500000000000008</v>
      </c>
    </row>
    <row r="39" spans="2:19">
      <c r="B39" s="750">
        <f t="shared" si="2"/>
        <v>2021</v>
      </c>
      <c r="C39" s="751">
        <f t="shared" si="3"/>
        <v>0</v>
      </c>
      <c r="D39" s="752">
        <f t="shared" si="3"/>
        <v>1</v>
      </c>
      <c r="E39" s="752">
        <f t="shared" si="3"/>
        <v>0</v>
      </c>
      <c r="F39" s="752">
        <f t="shared" si="3"/>
        <v>0</v>
      </c>
      <c r="G39" s="752">
        <f t="shared" si="3"/>
        <v>0</v>
      </c>
      <c r="H39" s="753">
        <f t="shared" si="4"/>
        <v>1</v>
      </c>
      <c r="I39" s="751">
        <f t="shared" si="5"/>
        <v>0.2</v>
      </c>
      <c r="J39" s="752">
        <f t="shared" si="5"/>
        <v>0.3</v>
      </c>
      <c r="K39" s="752">
        <f t="shared" si="5"/>
        <v>0.25</v>
      </c>
      <c r="L39" s="752">
        <f t="shared" si="5"/>
        <v>0.05</v>
      </c>
      <c r="M39" s="752">
        <f t="shared" si="5"/>
        <v>0.2</v>
      </c>
      <c r="N39" s="753">
        <f t="shared" si="6"/>
        <v>1</v>
      </c>
      <c r="O39" s="754"/>
      <c r="R39" s="748">
        <f t="shared" si="7"/>
        <v>0.8</v>
      </c>
      <c r="S39" s="749">
        <f t="shared" si="8"/>
        <v>0.71500000000000008</v>
      </c>
    </row>
    <row r="40" spans="2:19">
      <c r="B40" s="750">
        <f t="shared" si="2"/>
        <v>2022</v>
      </c>
      <c r="C40" s="751">
        <f t="shared" si="3"/>
        <v>0</v>
      </c>
      <c r="D40" s="752">
        <f t="shared" si="3"/>
        <v>1</v>
      </c>
      <c r="E40" s="752">
        <f t="shared" si="3"/>
        <v>0</v>
      </c>
      <c r="F40" s="752">
        <f t="shared" si="3"/>
        <v>0</v>
      </c>
      <c r="G40" s="752">
        <f t="shared" si="3"/>
        <v>0</v>
      </c>
      <c r="H40" s="753">
        <f t="shared" si="4"/>
        <v>1</v>
      </c>
      <c r="I40" s="751">
        <f t="shared" si="5"/>
        <v>0.2</v>
      </c>
      <c r="J40" s="752">
        <f t="shared" si="5"/>
        <v>0.3</v>
      </c>
      <c r="K40" s="752">
        <f t="shared" si="5"/>
        <v>0.25</v>
      </c>
      <c r="L40" s="752">
        <f t="shared" si="5"/>
        <v>0.05</v>
      </c>
      <c r="M40" s="752">
        <f t="shared" si="5"/>
        <v>0.2</v>
      </c>
      <c r="N40" s="753">
        <f t="shared" si="6"/>
        <v>1</v>
      </c>
      <c r="O40" s="754"/>
      <c r="R40" s="748">
        <f t="shared" si="7"/>
        <v>0.8</v>
      </c>
      <c r="S40" s="749">
        <f t="shared" si="8"/>
        <v>0.71500000000000008</v>
      </c>
    </row>
    <row r="41" spans="2:19">
      <c r="B41" s="750">
        <f t="shared" si="2"/>
        <v>2023</v>
      </c>
      <c r="C41" s="751">
        <f t="shared" si="3"/>
        <v>0</v>
      </c>
      <c r="D41" s="752">
        <f t="shared" si="3"/>
        <v>1</v>
      </c>
      <c r="E41" s="752">
        <f t="shared" si="3"/>
        <v>0</v>
      </c>
      <c r="F41" s="752">
        <f t="shared" si="3"/>
        <v>0</v>
      </c>
      <c r="G41" s="752">
        <f t="shared" si="3"/>
        <v>0</v>
      </c>
      <c r="H41" s="753">
        <f t="shared" si="4"/>
        <v>1</v>
      </c>
      <c r="I41" s="751">
        <f t="shared" si="5"/>
        <v>0.2</v>
      </c>
      <c r="J41" s="752">
        <f t="shared" si="5"/>
        <v>0.3</v>
      </c>
      <c r="K41" s="752">
        <f t="shared" si="5"/>
        <v>0.25</v>
      </c>
      <c r="L41" s="752">
        <f t="shared" si="5"/>
        <v>0.05</v>
      </c>
      <c r="M41" s="752">
        <f t="shared" si="5"/>
        <v>0.2</v>
      </c>
      <c r="N41" s="753">
        <f t="shared" si="6"/>
        <v>1</v>
      </c>
      <c r="O41" s="754"/>
      <c r="R41" s="748">
        <f t="shared" si="7"/>
        <v>0.8</v>
      </c>
      <c r="S41" s="749">
        <f t="shared" si="8"/>
        <v>0.71500000000000008</v>
      </c>
    </row>
    <row r="42" spans="2:19">
      <c r="B42" s="750">
        <f t="shared" si="2"/>
        <v>2024</v>
      </c>
      <c r="C42" s="751">
        <f t="shared" si="3"/>
        <v>0</v>
      </c>
      <c r="D42" s="752">
        <f t="shared" si="3"/>
        <v>1</v>
      </c>
      <c r="E42" s="752">
        <f t="shared" si="3"/>
        <v>0</v>
      </c>
      <c r="F42" s="752">
        <f t="shared" si="3"/>
        <v>0</v>
      </c>
      <c r="G42" s="752">
        <f t="shared" si="3"/>
        <v>0</v>
      </c>
      <c r="H42" s="753">
        <f t="shared" si="4"/>
        <v>1</v>
      </c>
      <c r="I42" s="751">
        <f t="shared" si="5"/>
        <v>0.2</v>
      </c>
      <c r="J42" s="752">
        <f t="shared" si="5"/>
        <v>0.3</v>
      </c>
      <c r="K42" s="752">
        <f t="shared" si="5"/>
        <v>0.25</v>
      </c>
      <c r="L42" s="752">
        <f t="shared" si="5"/>
        <v>0.05</v>
      </c>
      <c r="M42" s="752">
        <f t="shared" si="5"/>
        <v>0.2</v>
      </c>
      <c r="N42" s="753">
        <f t="shared" si="6"/>
        <v>1</v>
      </c>
      <c r="O42" s="754"/>
      <c r="R42" s="748">
        <f t="shared" si="7"/>
        <v>0.8</v>
      </c>
      <c r="S42" s="749">
        <f t="shared" si="8"/>
        <v>0.71500000000000008</v>
      </c>
    </row>
    <row r="43" spans="2:19">
      <c r="B43" s="750">
        <f t="shared" si="2"/>
        <v>2025</v>
      </c>
      <c r="C43" s="751">
        <f t="shared" si="3"/>
        <v>0</v>
      </c>
      <c r="D43" s="752">
        <f t="shared" si="3"/>
        <v>1</v>
      </c>
      <c r="E43" s="752">
        <f t="shared" si="3"/>
        <v>0</v>
      </c>
      <c r="F43" s="752">
        <f t="shared" si="3"/>
        <v>0</v>
      </c>
      <c r="G43" s="752">
        <f t="shared" si="3"/>
        <v>0</v>
      </c>
      <c r="H43" s="753">
        <f t="shared" si="4"/>
        <v>1</v>
      </c>
      <c r="I43" s="751">
        <f t="shared" si="5"/>
        <v>0.2</v>
      </c>
      <c r="J43" s="752">
        <f t="shared" si="5"/>
        <v>0.3</v>
      </c>
      <c r="K43" s="752">
        <f t="shared" si="5"/>
        <v>0.25</v>
      </c>
      <c r="L43" s="752">
        <f t="shared" si="5"/>
        <v>0.05</v>
      </c>
      <c r="M43" s="752">
        <f t="shared" si="5"/>
        <v>0.2</v>
      </c>
      <c r="N43" s="753">
        <f t="shared" si="6"/>
        <v>1</v>
      </c>
      <c r="O43" s="754"/>
      <c r="R43" s="748">
        <f t="shared" si="7"/>
        <v>0.8</v>
      </c>
      <c r="S43" s="749">
        <f t="shared" si="8"/>
        <v>0.71500000000000008</v>
      </c>
    </row>
    <row r="44" spans="2:19">
      <c r="B44" s="750">
        <f t="shared" si="2"/>
        <v>2026</v>
      </c>
      <c r="C44" s="751">
        <f t="shared" si="3"/>
        <v>0</v>
      </c>
      <c r="D44" s="752">
        <f t="shared" si="3"/>
        <v>1</v>
      </c>
      <c r="E44" s="752">
        <f t="shared" si="3"/>
        <v>0</v>
      </c>
      <c r="F44" s="752">
        <f t="shared" si="3"/>
        <v>0</v>
      </c>
      <c r="G44" s="752">
        <f t="shared" si="3"/>
        <v>0</v>
      </c>
      <c r="H44" s="753">
        <f t="shared" si="4"/>
        <v>1</v>
      </c>
      <c r="I44" s="751">
        <f t="shared" si="5"/>
        <v>0.2</v>
      </c>
      <c r="J44" s="752">
        <f t="shared" si="5"/>
        <v>0.3</v>
      </c>
      <c r="K44" s="752">
        <f t="shared" si="5"/>
        <v>0.25</v>
      </c>
      <c r="L44" s="752">
        <f t="shared" si="5"/>
        <v>0.05</v>
      </c>
      <c r="M44" s="752">
        <f t="shared" si="5"/>
        <v>0.2</v>
      </c>
      <c r="N44" s="753">
        <f t="shared" si="6"/>
        <v>1</v>
      </c>
      <c r="O44" s="754"/>
      <c r="R44" s="748">
        <f t="shared" si="7"/>
        <v>0.8</v>
      </c>
      <c r="S44" s="749">
        <f t="shared" si="8"/>
        <v>0.71500000000000008</v>
      </c>
    </row>
    <row r="45" spans="2:19">
      <c r="B45" s="750">
        <f t="shared" si="2"/>
        <v>2027</v>
      </c>
      <c r="C45" s="751">
        <f t="shared" si="3"/>
        <v>0</v>
      </c>
      <c r="D45" s="752">
        <f t="shared" si="3"/>
        <v>1</v>
      </c>
      <c r="E45" s="752">
        <f t="shared" si="3"/>
        <v>0</v>
      </c>
      <c r="F45" s="752">
        <f t="shared" si="3"/>
        <v>0</v>
      </c>
      <c r="G45" s="752">
        <f t="shared" si="3"/>
        <v>0</v>
      </c>
      <c r="H45" s="753">
        <f t="shared" si="4"/>
        <v>1</v>
      </c>
      <c r="I45" s="751">
        <f t="shared" si="5"/>
        <v>0.2</v>
      </c>
      <c r="J45" s="752">
        <f t="shared" si="5"/>
        <v>0.3</v>
      </c>
      <c r="K45" s="752">
        <f t="shared" si="5"/>
        <v>0.25</v>
      </c>
      <c r="L45" s="752">
        <f t="shared" si="5"/>
        <v>0.05</v>
      </c>
      <c r="M45" s="752">
        <f t="shared" si="5"/>
        <v>0.2</v>
      </c>
      <c r="N45" s="753">
        <f t="shared" si="6"/>
        <v>1</v>
      </c>
      <c r="O45" s="754"/>
      <c r="R45" s="748">
        <f t="shared" si="7"/>
        <v>0.8</v>
      </c>
      <c r="S45" s="749">
        <f t="shared" si="8"/>
        <v>0.71500000000000008</v>
      </c>
    </row>
    <row r="46" spans="2:19">
      <c r="B46" s="750">
        <f t="shared" si="2"/>
        <v>2028</v>
      </c>
      <c r="C46" s="751">
        <f t="shared" si="3"/>
        <v>0</v>
      </c>
      <c r="D46" s="752">
        <f t="shared" si="3"/>
        <v>1</v>
      </c>
      <c r="E46" s="752">
        <f t="shared" si="3"/>
        <v>0</v>
      </c>
      <c r="F46" s="752">
        <f t="shared" si="3"/>
        <v>0</v>
      </c>
      <c r="G46" s="752">
        <f t="shared" si="3"/>
        <v>0</v>
      </c>
      <c r="H46" s="753">
        <f t="shared" si="4"/>
        <v>1</v>
      </c>
      <c r="I46" s="751">
        <f t="shared" si="5"/>
        <v>0.2</v>
      </c>
      <c r="J46" s="752">
        <f t="shared" si="5"/>
        <v>0.3</v>
      </c>
      <c r="K46" s="752">
        <f t="shared" si="5"/>
        <v>0.25</v>
      </c>
      <c r="L46" s="752">
        <f t="shared" si="5"/>
        <v>0.05</v>
      </c>
      <c r="M46" s="752">
        <f t="shared" si="5"/>
        <v>0.2</v>
      </c>
      <c r="N46" s="753">
        <f t="shared" si="6"/>
        <v>1</v>
      </c>
      <c r="O46" s="754"/>
      <c r="R46" s="748">
        <f t="shared" si="7"/>
        <v>0.8</v>
      </c>
      <c r="S46" s="749">
        <f t="shared" si="8"/>
        <v>0.71500000000000008</v>
      </c>
    </row>
    <row r="47" spans="2:19">
      <c r="B47" s="750">
        <f t="shared" si="2"/>
        <v>2029</v>
      </c>
      <c r="C47" s="751">
        <f t="shared" si="3"/>
        <v>0</v>
      </c>
      <c r="D47" s="752">
        <f t="shared" si="3"/>
        <v>1</v>
      </c>
      <c r="E47" s="752">
        <f t="shared" si="3"/>
        <v>0</v>
      </c>
      <c r="F47" s="752">
        <f t="shared" si="3"/>
        <v>0</v>
      </c>
      <c r="G47" s="752">
        <f t="shared" si="3"/>
        <v>0</v>
      </c>
      <c r="H47" s="753">
        <f t="shared" si="4"/>
        <v>1</v>
      </c>
      <c r="I47" s="751">
        <f t="shared" si="5"/>
        <v>0.2</v>
      </c>
      <c r="J47" s="752">
        <f t="shared" si="5"/>
        <v>0.3</v>
      </c>
      <c r="K47" s="752">
        <f t="shared" si="5"/>
        <v>0.25</v>
      </c>
      <c r="L47" s="752">
        <f t="shared" si="5"/>
        <v>0.05</v>
      </c>
      <c r="M47" s="752">
        <f t="shared" si="5"/>
        <v>0.2</v>
      </c>
      <c r="N47" s="753">
        <f t="shared" si="6"/>
        <v>1</v>
      </c>
      <c r="O47" s="754"/>
      <c r="R47" s="748">
        <f t="shared" si="7"/>
        <v>0.8</v>
      </c>
      <c r="S47" s="749">
        <f t="shared" si="8"/>
        <v>0.71500000000000008</v>
      </c>
    </row>
    <row r="48" spans="2:19">
      <c r="B48" s="750">
        <f t="shared" si="2"/>
        <v>2030</v>
      </c>
      <c r="C48" s="751">
        <f t="shared" si="3"/>
        <v>0</v>
      </c>
      <c r="D48" s="752">
        <f t="shared" si="3"/>
        <v>1</v>
      </c>
      <c r="E48" s="752">
        <f t="shared" si="3"/>
        <v>0</v>
      </c>
      <c r="F48" s="752">
        <f t="shared" si="3"/>
        <v>0</v>
      </c>
      <c r="G48" s="752">
        <f t="shared" si="3"/>
        <v>0</v>
      </c>
      <c r="H48" s="753">
        <f t="shared" si="4"/>
        <v>1</v>
      </c>
      <c r="I48" s="751">
        <f t="shared" si="5"/>
        <v>0.2</v>
      </c>
      <c r="J48" s="752">
        <f t="shared" si="5"/>
        <v>0.3</v>
      </c>
      <c r="K48" s="752">
        <f t="shared" si="5"/>
        <v>0.25</v>
      </c>
      <c r="L48" s="752">
        <f t="shared" si="5"/>
        <v>0.05</v>
      </c>
      <c r="M48" s="752">
        <f t="shared" si="5"/>
        <v>0.2</v>
      </c>
      <c r="N48" s="753">
        <f t="shared" si="6"/>
        <v>1</v>
      </c>
      <c r="O48" s="754"/>
      <c r="R48" s="748">
        <f t="shared" si="7"/>
        <v>0.8</v>
      </c>
      <c r="S48" s="749">
        <f t="shared" si="8"/>
        <v>0.71500000000000008</v>
      </c>
    </row>
    <row r="49" spans="2:19">
      <c r="B49" s="750">
        <f t="shared" si="2"/>
        <v>2031</v>
      </c>
      <c r="C49" s="751">
        <f t="shared" si="3"/>
        <v>0</v>
      </c>
      <c r="D49" s="752">
        <f t="shared" si="3"/>
        <v>1</v>
      </c>
      <c r="E49" s="752">
        <f t="shared" si="3"/>
        <v>0</v>
      </c>
      <c r="F49" s="752">
        <f t="shared" si="3"/>
        <v>0</v>
      </c>
      <c r="G49" s="752">
        <f t="shared" si="3"/>
        <v>0</v>
      </c>
      <c r="H49" s="753">
        <f t="shared" si="4"/>
        <v>1</v>
      </c>
      <c r="I49" s="751">
        <f t="shared" si="5"/>
        <v>0.2</v>
      </c>
      <c r="J49" s="752">
        <f t="shared" si="5"/>
        <v>0.3</v>
      </c>
      <c r="K49" s="752">
        <f t="shared" si="5"/>
        <v>0.25</v>
      </c>
      <c r="L49" s="752">
        <f t="shared" si="5"/>
        <v>0.05</v>
      </c>
      <c r="M49" s="752">
        <f t="shared" si="5"/>
        <v>0.2</v>
      </c>
      <c r="N49" s="753">
        <f t="shared" si="6"/>
        <v>1</v>
      </c>
      <c r="O49" s="754"/>
      <c r="R49" s="748">
        <f t="shared" si="7"/>
        <v>0.8</v>
      </c>
      <c r="S49" s="749">
        <f t="shared" si="8"/>
        <v>0.71500000000000008</v>
      </c>
    </row>
    <row r="50" spans="2:19">
      <c r="B50" s="750">
        <f t="shared" si="2"/>
        <v>2032</v>
      </c>
      <c r="C50" s="751">
        <f t="shared" si="3"/>
        <v>0</v>
      </c>
      <c r="D50" s="752">
        <f t="shared" si="3"/>
        <v>1</v>
      </c>
      <c r="E50" s="752">
        <f t="shared" si="3"/>
        <v>0</v>
      </c>
      <c r="F50" s="752">
        <f t="shared" si="3"/>
        <v>0</v>
      </c>
      <c r="G50" s="752">
        <f t="shared" si="3"/>
        <v>0</v>
      </c>
      <c r="H50" s="753">
        <f t="shared" si="4"/>
        <v>1</v>
      </c>
      <c r="I50" s="751">
        <f t="shared" si="5"/>
        <v>0.2</v>
      </c>
      <c r="J50" s="752">
        <f t="shared" si="5"/>
        <v>0.3</v>
      </c>
      <c r="K50" s="752">
        <f t="shared" si="5"/>
        <v>0.25</v>
      </c>
      <c r="L50" s="752">
        <f t="shared" si="5"/>
        <v>0.05</v>
      </c>
      <c r="M50" s="752">
        <f t="shared" si="5"/>
        <v>0.2</v>
      </c>
      <c r="N50" s="753">
        <f t="shared" si="6"/>
        <v>1</v>
      </c>
      <c r="O50" s="754"/>
      <c r="R50" s="748">
        <f t="shared" si="7"/>
        <v>0.8</v>
      </c>
      <c r="S50" s="749">
        <f t="shared" si="8"/>
        <v>0.71500000000000008</v>
      </c>
    </row>
    <row r="51" spans="2:19">
      <c r="B51" s="750">
        <f t="shared" ref="B51:B82" si="9">B50+1</f>
        <v>2033</v>
      </c>
      <c r="C51" s="751">
        <f t="shared" ref="C51:G98" si="10">C$16</f>
        <v>0</v>
      </c>
      <c r="D51" s="752">
        <f t="shared" si="10"/>
        <v>1</v>
      </c>
      <c r="E51" s="752">
        <f t="shared" si="10"/>
        <v>0</v>
      </c>
      <c r="F51" s="752">
        <f t="shared" si="10"/>
        <v>0</v>
      </c>
      <c r="G51" s="752">
        <f t="shared" si="10"/>
        <v>0</v>
      </c>
      <c r="H51" s="753">
        <f t="shared" si="4"/>
        <v>1</v>
      </c>
      <c r="I51" s="751">
        <f t="shared" ref="I51:M98" si="11">I$16</f>
        <v>0.2</v>
      </c>
      <c r="J51" s="752">
        <f t="shared" si="11"/>
        <v>0.3</v>
      </c>
      <c r="K51" s="752">
        <f t="shared" si="11"/>
        <v>0.25</v>
      </c>
      <c r="L51" s="752">
        <f t="shared" si="11"/>
        <v>0.05</v>
      </c>
      <c r="M51" s="752">
        <f t="shared" si="11"/>
        <v>0.2</v>
      </c>
      <c r="N51" s="753">
        <f t="shared" si="6"/>
        <v>1</v>
      </c>
      <c r="O51" s="754"/>
      <c r="R51" s="748">
        <f t="shared" si="7"/>
        <v>0.8</v>
      </c>
      <c r="S51" s="749">
        <f t="shared" si="8"/>
        <v>0.71500000000000008</v>
      </c>
    </row>
    <row r="52" spans="2:19">
      <c r="B52" s="750">
        <f t="shared" si="9"/>
        <v>2034</v>
      </c>
      <c r="C52" s="751">
        <f t="shared" si="10"/>
        <v>0</v>
      </c>
      <c r="D52" s="752">
        <f t="shared" si="10"/>
        <v>1</v>
      </c>
      <c r="E52" s="752">
        <f t="shared" si="10"/>
        <v>0</v>
      </c>
      <c r="F52" s="752">
        <f t="shared" si="10"/>
        <v>0</v>
      </c>
      <c r="G52" s="752">
        <f t="shared" si="10"/>
        <v>0</v>
      </c>
      <c r="H52" s="753">
        <f t="shared" si="4"/>
        <v>1</v>
      </c>
      <c r="I52" s="751">
        <f t="shared" si="11"/>
        <v>0.2</v>
      </c>
      <c r="J52" s="752">
        <f t="shared" si="11"/>
        <v>0.3</v>
      </c>
      <c r="K52" s="752">
        <f t="shared" si="11"/>
        <v>0.25</v>
      </c>
      <c r="L52" s="752">
        <f t="shared" si="11"/>
        <v>0.05</v>
      </c>
      <c r="M52" s="752">
        <f t="shared" si="11"/>
        <v>0.2</v>
      </c>
      <c r="N52" s="753">
        <f t="shared" si="6"/>
        <v>1</v>
      </c>
      <c r="O52" s="754"/>
      <c r="R52" s="748">
        <f t="shared" si="7"/>
        <v>0.8</v>
      </c>
      <c r="S52" s="749">
        <f t="shared" si="8"/>
        <v>0.71500000000000008</v>
      </c>
    </row>
    <row r="53" spans="2:19">
      <c r="B53" s="750">
        <f t="shared" si="9"/>
        <v>2035</v>
      </c>
      <c r="C53" s="751">
        <f t="shared" si="10"/>
        <v>0</v>
      </c>
      <c r="D53" s="752">
        <f t="shared" si="10"/>
        <v>1</v>
      </c>
      <c r="E53" s="752">
        <f t="shared" si="10"/>
        <v>0</v>
      </c>
      <c r="F53" s="752">
        <f t="shared" si="10"/>
        <v>0</v>
      </c>
      <c r="G53" s="752">
        <f t="shared" si="10"/>
        <v>0</v>
      </c>
      <c r="H53" s="753">
        <f t="shared" si="4"/>
        <v>1</v>
      </c>
      <c r="I53" s="751">
        <f t="shared" si="11"/>
        <v>0.2</v>
      </c>
      <c r="J53" s="752">
        <f t="shared" si="11"/>
        <v>0.3</v>
      </c>
      <c r="K53" s="752">
        <f t="shared" si="11"/>
        <v>0.25</v>
      </c>
      <c r="L53" s="752">
        <f t="shared" si="11"/>
        <v>0.05</v>
      </c>
      <c r="M53" s="752">
        <f t="shared" si="11"/>
        <v>0.2</v>
      </c>
      <c r="N53" s="753">
        <f t="shared" si="6"/>
        <v>1</v>
      </c>
      <c r="O53" s="754"/>
      <c r="R53" s="748">
        <f t="shared" si="7"/>
        <v>0.8</v>
      </c>
      <c r="S53" s="749">
        <f t="shared" si="8"/>
        <v>0.71500000000000008</v>
      </c>
    </row>
    <row r="54" spans="2:19">
      <c r="B54" s="750">
        <f t="shared" si="9"/>
        <v>2036</v>
      </c>
      <c r="C54" s="751">
        <f t="shared" si="10"/>
        <v>0</v>
      </c>
      <c r="D54" s="752">
        <f t="shared" si="10"/>
        <v>1</v>
      </c>
      <c r="E54" s="752">
        <f t="shared" si="10"/>
        <v>0</v>
      </c>
      <c r="F54" s="752">
        <f t="shared" si="10"/>
        <v>0</v>
      </c>
      <c r="G54" s="752">
        <f t="shared" si="10"/>
        <v>0</v>
      </c>
      <c r="H54" s="753">
        <f t="shared" si="4"/>
        <v>1</v>
      </c>
      <c r="I54" s="751">
        <f t="shared" si="11"/>
        <v>0.2</v>
      </c>
      <c r="J54" s="752">
        <f t="shared" si="11"/>
        <v>0.3</v>
      </c>
      <c r="K54" s="752">
        <f t="shared" si="11"/>
        <v>0.25</v>
      </c>
      <c r="L54" s="752">
        <f t="shared" si="11"/>
        <v>0.05</v>
      </c>
      <c r="M54" s="752">
        <f t="shared" si="11"/>
        <v>0.2</v>
      </c>
      <c r="N54" s="753">
        <f t="shared" si="6"/>
        <v>1</v>
      </c>
      <c r="O54" s="754"/>
      <c r="R54" s="748">
        <f t="shared" si="7"/>
        <v>0.8</v>
      </c>
      <c r="S54" s="749">
        <f t="shared" si="8"/>
        <v>0.71500000000000008</v>
      </c>
    </row>
    <row r="55" spans="2:19">
      <c r="B55" s="750">
        <f t="shared" si="9"/>
        <v>2037</v>
      </c>
      <c r="C55" s="751">
        <f t="shared" si="10"/>
        <v>0</v>
      </c>
      <c r="D55" s="752">
        <f t="shared" si="10"/>
        <v>1</v>
      </c>
      <c r="E55" s="752">
        <f t="shared" si="10"/>
        <v>0</v>
      </c>
      <c r="F55" s="752">
        <f t="shared" si="10"/>
        <v>0</v>
      </c>
      <c r="G55" s="752">
        <f t="shared" si="10"/>
        <v>0</v>
      </c>
      <c r="H55" s="753">
        <f t="shared" si="4"/>
        <v>1</v>
      </c>
      <c r="I55" s="751">
        <f t="shared" si="11"/>
        <v>0.2</v>
      </c>
      <c r="J55" s="752">
        <f t="shared" si="11"/>
        <v>0.3</v>
      </c>
      <c r="K55" s="752">
        <f t="shared" si="11"/>
        <v>0.25</v>
      </c>
      <c r="L55" s="752">
        <f t="shared" si="11"/>
        <v>0.05</v>
      </c>
      <c r="M55" s="752">
        <f t="shared" si="11"/>
        <v>0.2</v>
      </c>
      <c r="N55" s="753">
        <f t="shared" si="6"/>
        <v>1</v>
      </c>
      <c r="O55" s="754"/>
      <c r="R55" s="748">
        <f t="shared" si="7"/>
        <v>0.8</v>
      </c>
      <c r="S55" s="749">
        <f t="shared" si="8"/>
        <v>0.71500000000000008</v>
      </c>
    </row>
    <row r="56" spans="2:19">
      <c r="B56" s="750">
        <f t="shared" si="9"/>
        <v>2038</v>
      </c>
      <c r="C56" s="751">
        <f t="shared" si="10"/>
        <v>0</v>
      </c>
      <c r="D56" s="752">
        <f t="shared" si="10"/>
        <v>1</v>
      </c>
      <c r="E56" s="752">
        <f t="shared" si="10"/>
        <v>0</v>
      </c>
      <c r="F56" s="752">
        <f t="shared" si="10"/>
        <v>0</v>
      </c>
      <c r="G56" s="752">
        <f t="shared" si="10"/>
        <v>0</v>
      </c>
      <c r="H56" s="753">
        <f t="shared" si="4"/>
        <v>1</v>
      </c>
      <c r="I56" s="751">
        <f t="shared" si="11"/>
        <v>0.2</v>
      </c>
      <c r="J56" s="752">
        <f t="shared" si="11"/>
        <v>0.3</v>
      </c>
      <c r="K56" s="752">
        <f t="shared" si="11"/>
        <v>0.25</v>
      </c>
      <c r="L56" s="752">
        <f t="shared" si="11"/>
        <v>0.05</v>
      </c>
      <c r="M56" s="752">
        <f t="shared" si="11"/>
        <v>0.2</v>
      </c>
      <c r="N56" s="753">
        <f t="shared" si="6"/>
        <v>1</v>
      </c>
      <c r="O56" s="754"/>
      <c r="R56" s="748">
        <f t="shared" si="7"/>
        <v>0.8</v>
      </c>
      <c r="S56" s="749">
        <f t="shared" si="8"/>
        <v>0.71500000000000008</v>
      </c>
    </row>
    <row r="57" spans="2:19">
      <c r="B57" s="750">
        <f t="shared" si="9"/>
        <v>2039</v>
      </c>
      <c r="C57" s="751">
        <f t="shared" si="10"/>
        <v>0</v>
      </c>
      <c r="D57" s="752">
        <f t="shared" si="10"/>
        <v>1</v>
      </c>
      <c r="E57" s="752">
        <f t="shared" si="10"/>
        <v>0</v>
      </c>
      <c r="F57" s="752">
        <f t="shared" si="10"/>
        <v>0</v>
      </c>
      <c r="G57" s="752">
        <f t="shared" si="10"/>
        <v>0</v>
      </c>
      <c r="H57" s="753">
        <f t="shared" si="4"/>
        <v>1</v>
      </c>
      <c r="I57" s="751">
        <f t="shared" si="11"/>
        <v>0.2</v>
      </c>
      <c r="J57" s="752">
        <f t="shared" si="11"/>
        <v>0.3</v>
      </c>
      <c r="K57" s="752">
        <f t="shared" si="11"/>
        <v>0.25</v>
      </c>
      <c r="L57" s="752">
        <f t="shared" si="11"/>
        <v>0.05</v>
      </c>
      <c r="M57" s="752">
        <f t="shared" si="11"/>
        <v>0.2</v>
      </c>
      <c r="N57" s="753">
        <f t="shared" si="6"/>
        <v>1</v>
      </c>
      <c r="O57" s="754"/>
      <c r="R57" s="748">
        <f t="shared" si="7"/>
        <v>0.8</v>
      </c>
      <c r="S57" s="749">
        <f t="shared" si="8"/>
        <v>0.71500000000000008</v>
      </c>
    </row>
    <row r="58" spans="2:19">
      <c r="B58" s="750">
        <f t="shared" si="9"/>
        <v>2040</v>
      </c>
      <c r="C58" s="751">
        <f t="shared" si="10"/>
        <v>0</v>
      </c>
      <c r="D58" s="752">
        <f t="shared" si="10"/>
        <v>1</v>
      </c>
      <c r="E58" s="752">
        <f t="shared" si="10"/>
        <v>0</v>
      </c>
      <c r="F58" s="752">
        <f t="shared" si="10"/>
        <v>0</v>
      </c>
      <c r="G58" s="752">
        <f t="shared" si="10"/>
        <v>0</v>
      </c>
      <c r="H58" s="753">
        <f t="shared" si="4"/>
        <v>1</v>
      </c>
      <c r="I58" s="751">
        <f t="shared" si="11"/>
        <v>0.2</v>
      </c>
      <c r="J58" s="752">
        <f t="shared" si="11"/>
        <v>0.3</v>
      </c>
      <c r="K58" s="752">
        <f t="shared" si="11"/>
        <v>0.25</v>
      </c>
      <c r="L58" s="752">
        <f t="shared" si="11"/>
        <v>0.05</v>
      </c>
      <c r="M58" s="752">
        <f t="shared" si="11"/>
        <v>0.2</v>
      </c>
      <c r="N58" s="753">
        <f t="shared" si="6"/>
        <v>1</v>
      </c>
      <c r="O58" s="754"/>
      <c r="R58" s="748">
        <f t="shared" si="7"/>
        <v>0.8</v>
      </c>
      <c r="S58" s="749">
        <f t="shared" si="8"/>
        <v>0.71500000000000008</v>
      </c>
    </row>
    <row r="59" spans="2:19">
      <c r="B59" s="750">
        <f t="shared" si="9"/>
        <v>2041</v>
      </c>
      <c r="C59" s="751">
        <f t="shared" si="10"/>
        <v>0</v>
      </c>
      <c r="D59" s="752">
        <f t="shared" si="10"/>
        <v>1</v>
      </c>
      <c r="E59" s="752">
        <f t="shared" si="10"/>
        <v>0</v>
      </c>
      <c r="F59" s="752">
        <f t="shared" si="10"/>
        <v>0</v>
      </c>
      <c r="G59" s="752">
        <f t="shared" si="10"/>
        <v>0</v>
      </c>
      <c r="H59" s="753">
        <f t="shared" si="4"/>
        <v>1</v>
      </c>
      <c r="I59" s="751">
        <f t="shared" si="11"/>
        <v>0.2</v>
      </c>
      <c r="J59" s="752">
        <f t="shared" si="11"/>
        <v>0.3</v>
      </c>
      <c r="K59" s="752">
        <f t="shared" si="11"/>
        <v>0.25</v>
      </c>
      <c r="L59" s="752">
        <f t="shared" si="11"/>
        <v>0.05</v>
      </c>
      <c r="M59" s="752">
        <f t="shared" si="11"/>
        <v>0.2</v>
      </c>
      <c r="N59" s="753">
        <f t="shared" si="6"/>
        <v>1</v>
      </c>
      <c r="O59" s="754"/>
      <c r="R59" s="748">
        <f t="shared" si="7"/>
        <v>0.8</v>
      </c>
      <c r="S59" s="749">
        <f t="shared" si="8"/>
        <v>0.71500000000000008</v>
      </c>
    </row>
    <row r="60" spans="2:19">
      <c r="B60" s="750">
        <f t="shared" si="9"/>
        <v>2042</v>
      </c>
      <c r="C60" s="751">
        <f t="shared" si="10"/>
        <v>0</v>
      </c>
      <c r="D60" s="752">
        <f t="shared" si="10"/>
        <v>1</v>
      </c>
      <c r="E60" s="752">
        <f t="shared" si="10"/>
        <v>0</v>
      </c>
      <c r="F60" s="752">
        <f t="shared" si="10"/>
        <v>0</v>
      </c>
      <c r="G60" s="752">
        <f t="shared" si="10"/>
        <v>0</v>
      </c>
      <c r="H60" s="753">
        <f t="shared" si="4"/>
        <v>1</v>
      </c>
      <c r="I60" s="751">
        <f t="shared" si="11"/>
        <v>0.2</v>
      </c>
      <c r="J60" s="752">
        <f t="shared" si="11"/>
        <v>0.3</v>
      </c>
      <c r="K60" s="752">
        <f t="shared" si="11"/>
        <v>0.25</v>
      </c>
      <c r="L60" s="752">
        <f t="shared" si="11"/>
        <v>0.05</v>
      </c>
      <c r="M60" s="752">
        <f t="shared" si="11"/>
        <v>0.2</v>
      </c>
      <c r="N60" s="753">
        <f t="shared" si="6"/>
        <v>1</v>
      </c>
      <c r="O60" s="754"/>
      <c r="R60" s="748">
        <f t="shared" si="7"/>
        <v>0.8</v>
      </c>
      <c r="S60" s="749">
        <f t="shared" si="8"/>
        <v>0.71500000000000008</v>
      </c>
    </row>
    <row r="61" spans="2:19">
      <c r="B61" s="750">
        <f t="shared" si="9"/>
        <v>2043</v>
      </c>
      <c r="C61" s="751">
        <f t="shared" si="10"/>
        <v>0</v>
      </c>
      <c r="D61" s="752">
        <f t="shared" si="10"/>
        <v>1</v>
      </c>
      <c r="E61" s="752">
        <f t="shared" si="10"/>
        <v>0</v>
      </c>
      <c r="F61" s="752">
        <f t="shared" si="10"/>
        <v>0</v>
      </c>
      <c r="G61" s="752">
        <f t="shared" si="10"/>
        <v>0</v>
      </c>
      <c r="H61" s="753">
        <f t="shared" si="4"/>
        <v>1</v>
      </c>
      <c r="I61" s="751">
        <f t="shared" si="11"/>
        <v>0.2</v>
      </c>
      <c r="J61" s="752">
        <f t="shared" si="11"/>
        <v>0.3</v>
      </c>
      <c r="K61" s="752">
        <f t="shared" si="11"/>
        <v>0.25</v>
      </c>
      <c r="L61" s="752">
        <f t="shared" si="11"/>
        <v>0.05</v>
      </c>
      <c r="M61" s="752">
        <f t="shared" si="11"/>
        <v>0.2</v>
      </c>
      <c r="N61" s="753">
        <f t="shared" si="6"/>
        <v>1</v>
      </c>
      <c r="O61" s="754"/>
      <c r="R61" s="748">
        <f t="shared" si="7"/>
        <v>0.8</v>
      </c>
      <c r="S61" s="749">
        <f t="shared" si="8"/>
        <v>0.71500000000000008</v>
      </c>
    </row>
    <row r="62" spans="2:19">
      <c r="B62" s="750">
        <f t="shared" si="9"/>
        <v>2044</v>
      </c>
      <c r="C62" s="751">
        <f t="shared" si="10"/>
        <v>0</v>
      </c>
      <c r="D62" s="752">
        <f t="shared" si="10"/>
        <v>1</v>
      </c>
      <c r="E62" s="752">
        <f t="shared" si="10"/>
        <v>0</v>
      </c>
      <c r="F62" s="752">
        <f t="shared" si="10"/>
        <v>0</v>
      </c>
      <c r="G62" s="752">
        <f t="shared" si="10"/>
        <v>0</v>
      </c>
      <c r="H62" s="753">
        <f t="shared" si="4"/>
        <v>1</v>
      </c>
      <c r="I62" s="751">
        <f t="shared" si="11"/>
        <v>0.2</v>
      </c>
      <c r="J62" s="752">
        <f t="shared" si="11"/>
        <v>0.3</v>
      </c>
      <c r="K62" s="752">
        <f t="shared" si="11"/>
        <v>0.25</v>
      </c>
      <c r="L62" s="752">
        <f t="shared" si="11"/>
        <v>0.05</v>
      </c>
      <c r="M62" s="752">
        <f t="shared" si="11"/>
        <v>0.2</v>
      </c>
      <c r="N62" s="753">
        <f t="shared" si="6"/>
        <v>1</v>
      </c>
      <c r="O62" s="754"/>
      <c r="R62" s="748">
        <f t="shared" si="7"/>
        <v>0.8</v>
      </c>
      <c r="S62" s="749">
        <f t="shared" si="8"/>
        <v>0.71500000000000008</v>
      </c>
    </row>
    <row r="63" spans="2:19">
      <c r="B63" s="750">
        <f t="shared" si="9"/>
        <v>2045</v>
      </c>
      <c r="C63" s="751">
        <f t="shared" si="10"/>
        <v>0</v>
      </c>
      <c r="D63" s="752">
        <f t="shared" si="10"/>
        <v>1</v>
      </c>
      <c r="E63" s="752">
        <f t="shared" si="10"/>
        <v>0</v>
      </c>
      <c r="F63" s="752">
        <f t="shared" si="10"/>
        <v>0</v>
      </c>
      <c r="G63" s="752">
        <f t="shared" si="10"/>
        <v>0</v>
      </c>
      <c r="H63" s="753">
        <f t="shared" si="4"/>
        <v>1</v>
      </c>
      <c r="I63" s="751">
        <f t="shared" si="11"/>
        <v>0.2</v>
      </c>
      <c r="J63" s="752">
        <f t="shared" si="11"/>
        <v>0.3</v>
      </c>
      <c r="K63" s="752">
        <f t="shared" si="11"/>
        <v>0.25</v>
      </c>
      <c r="L63" s="752">
        <f t="shared" si="11"/>
        <v>0.05</v>
      </c>
      <c r="M63" s="752">
        <f t="shared" si="11"/>
        <v>0.2</v>
      </c>
      <c r="N63" s="753">
        <f t="shared" si="6"/>
        <v>1</v>
      </c>
      <c r="O63" s="754"/>
      <c r="R63" s="748">
        <f t="shared" si="7"/>
        <v>0.8</v>
      </c>
      <c r="S63" s="749">
        <f t="shared" si="8"/>
        <v>0.71500000000000008</v>
      </c>
    </row>
    <row r="64" spans="2:19">
      <c r="B64" s="750">
        <f t="shared" si="9"/>
        <v>2046</v>
      </c>
      <c r="C64" s="751">
        <f t="shared" si="10"/>
        <v>0</v>
      </c>
      <c r="D64" s="752">
        <f t="shared" si="10"/>
        <v>1</v>
      </c>
      <c r="E64" s="752">
        <f t="shared" si="10"/>
        <v>0</v>
      </c>
      <c r="F64" s="752">
        <f t="shared" si="10"/>
        <v>0</v>
      </c>
      <c r="G64" s="752">
        <f t="shared" si="10"/>
        <v>0</v>
      </c>
      <c r="H64" s="753">
        <f t="shared" si="4"/>
        <v>1</v>
      </c>
      <c r="I64" s="751">
        <f t="shared" si="11"/>
        <v>0.2</v>
      </c>
      <c r="J64" s="752">
        <f t="shared" si="11"/>
        <v>0.3</v>
      </c>
      <c r="K64" s="752">
        <f t="shared" si="11"/>
        <v>0.25</v>
      </c>
      <c r="L64" s="752">
        <f t="shared" si="11"/>
        <v>0.05</v>
      </c>
      <c r="M64" s="752">
        <f t="shared" si="11"/>
        <v>0.2</v>
      </c>
      <c r="N64" s="753">
        <f t="shared" si="6"/>
        <v>1</v>
      </c>
      <c r="O64" s="754"/>
      <c r="R64" s="748">
        <f t="shared" si="7"/>
        <v>0.8</v>
      </c>
      <c r="S64" s="749">
        <f t="shared" si="8"/>
        <v>0.71500000000000008</v>
      </c>
    </row>
    <row r="65" spans="2:19">
      <c r="B65" s="750">
        <f t="shared" si="9"/>
        <v>2047</v>
      </c>
      <c r="C65" s="751">
        <f t="shared" si="10"/>
        <v>0</v>
      </c>
      <c r="D65" s="752">
        <f t="shared" si="10"/>
        <v>1</v>
      </c>
      <c r="E65" s="752">
        <f t="shared" si="10"/>
        <v>0</v>
      </c>
      <c r="F65" s="752">
        <f t="shared" si="10"/>
        <v>0</v>
      </c>
      <c r="G65" s="752">
        <f t="shared" si="10"/>
        <v>0</v>
      </c>
      <c r="H65" s="753">
        <f t="shared" si="4"/>
        <v>1</v>
      </c>
      <c r="I65" s="751">
        <f t="shared" si="11"/>
        <v>0.2</v>
      </c>
      <c r="J65" s="752">
        <f t="shared" si="11"/>
        <v>0.3</v>
      </c>
      <c r="K65" s="752">
        <f t="shared" si="11"/>
        <v>0.25</v>
      </c>
      <c r="L65" s="752">
        <f t="shared" si="11"/>
        <v>0.05</v>
      </c>
      <c r="M65" s="752">
        <f t="shared" si="11"/>
        <v>0.2</v>
      </c>
      <c r="N65" s="753">
        <f t="shared" si="6"/>
        <v>1</v>
      </c>
      <c r="O65" s="754"/>
      <c r="R65" s="748">
        <f t="shared" si="7"/>
        <v>0.8</v>
      </c>
      <c r="S65" s="749">
        <f t="shared" si="8"/>
        <v>0.71500000000000008</v>
      </c>
    </row>
    <row r="66" spans="2:19">
      <c r="B66" s="750">
        <f t="shared" si="9"/>
        <v>2048</v>
      </c>
      <c r="C66" s="751">
        <f t="shared" si="10"/>
        <v>0</v>
      </c>
      <c r="D66" s="752">
        <f t="shared" si="10"/>
        <v>1</v>
      </c>
      <c r="E66" s="752">
        <f t="shared" si="10"/>
        <v>0</v>
      </c>
      <c r="F66" s="752">
        <f t="shared" si="10"/>
        <v>0</v>
      </c>
      <c r="G66" s="752">
        <f t="shared" si="10"/>
        <v>0</v>
      </c>
      <c r="H66" s="753">
        <f t="shared" si="4"/>
        <v>1</v>
      </c>
      <c r="I66" s="751">
        <f t="shared" si="11"/>
        <v>0.2</v>
      </c>
      <c r="J66" s="752">
        <f t="shared" si="11"/>
        <v>0.3</v>
      </c>
      <c r="K66" s="752">
        <f t="shared" si="11"/>
        <v>0.25</v>
      </c>
      <c r="L66" s="752">
        <f t="shared" si="11"/>
        <v>0.05</v>
      </c>
      <c r="M66" s="752">
        <f t="shared" si="11"/>
        <v>0.2</v>
      </c>
      <c r="N66" s="753">
        <f t="shared" si="6"/>
        <v>1</v>
      </c>
      <c r="O66" s="754"/>
      <c r="R66" s="748">
        <f t="shared" si="7"/>
        <v>0.8</v>
      </c>
      <c r="S66" s="749">
        <f t="shared" si="8"/>
        <v>0.71500000000000008</v>
      </c>
    </row>
    <row r="67" spans="2:19">
      <c r="B67" s="750">
        <f t="shared" si="9"/>
        <v>2049</v>
      </c>
      <c r="C67" s="751">
        <f t="shared" si="10"/>
        <v>0</v>
      </c>
      <c r="D67" s="752">
        <f t="shared" si="10"/>
        <v>1</v>
      </c>
      <c r="E67" s="752">
        <f t="shared" si="10"/>
        <v>0</v>
      </c>
      <c r="F67" s="752">
        <f t="shared" si="10"/>
        <v>0</v>
      </c>
      <c r="G67" s="752">
        <f t="shared" si="10"/>
        <v>0</v>
      </c>
      <c r="H67" s="753">
        <f t="shared" si="4"/>
        <v>1</v>
      </c>
      <c r="I67" s="751">
        <f t="shared" si="11"/>
        <v>0.2</v>
      </c>
      <c r="J67" s="752">
        <f t="shared" si="11"/>
        <v>0.3</v>
      </c>
      <c r="K67" s="752">
        <f t="shared" si="11"/>
        <v>0.25</v>
      </c>
      <c r="L67" s="752">
        <f t="shared" si="11"/>
        <v>0.05</v>
      </c>
      <c r="M67" s="752">
        <f t="shared" si="11"/>
        <v>0.2</v>
      </c>
      <c r="N67" s="753">
        <f t="shared" si="6"/>
        <v>1</v>
      </c>
      <c r="O67" s="754"/>
      <c r="R67" s="748">
        <f t="shared" si="7"/>
        <v>0.8</v>
      </c>
      <c r="S67" s="749">
        <f t="shared" si="8"/>
        <v>0.71500000000000008</v>
      </c>
    </row>
    <row r="68" spans="2:19">
      <c r="B68" s="750">
        <f t="shared" si="9"/>
        <v>2050</v>
      </c>
      <c r="C68" s="751">
        <f t="shared" si="10"/>
        <v>0</v>
      </c>
      <c r="D68" s="752">
        <f t="shared" si="10"/>
        <v>1</v>
      </c>
      <c r="E68" s="752">
        <f t="shared" si="10"/>
        <v>0</v>
      </c>
      <c r="F68" s="752">
        <f t="shared" si="10"/>
        <v>0</v>
      </c>
      <c r="G68" s="752">
        <f t="shared" si="10"/>
        <v>0</v>
      </c>
      <c r="H68" s="753">
        <f t="shared" si="4"/>
        <v>1</v>
      </c>
      <c r="I68" s="751">
        <f t="shared" si="11"/>
        <v>0.2</v>
      </c>
      <c r="J68" s="752">
        <f t="shared" si="11"/>
        <v>0.3</v>
      </c>
      <c r="K68" s="752">
        <f t="shared" si="11"/>
        <v>0.25</v>
      </c>
      <c r="L68" s="752">
        <f t="shared" si="11"/>
        <v>0.05</v>
      </c>
      <c r="M68" s="752">
        <f t="shared" si="11"/>
        <v>0.2</v>
      </c>
      <c r="N68" s="753">
        <f t="shared" si="6"/>
        <v>1</v>
      </c>
      <c r="O68" s="754"/>
      <c r="R68" s="748">
        <f t="shared" si="7"/>
        <v>0.8</v>
      </c>
      <c r="S68" s="749">
        <f t="shared" si="8"/>
        <v>0.71500000000000008</v>
      </c>
    </row>
    <row r="69" spans="2:19">
      <c r="B69" s="750">
        <f t="shared" si="9"/>
        <v>2051</v>
      </c>
      <c r="C69" s="751">
        <f t="shared" si="10"/>
        <v>0</v>
      </c>
      <c r="D69" s="752">
        <f t="shared" si="10"/>
        <v>1</v>
      </c>
      <c r="E69" s="752">
        <f t="shared" si="10"/>
        <v>0</v>
      </c>
      <c r="F69" s="752">
        <f t="shared" si="10"/>
        <v>0</v>
      </c>
      <c r="G69" s="752">
        <f t="shared" si="10"/>
        <v>0</v>
      </c>
      <c r="H69" s="753">
        <f t="shared" si="4"/>
        <v>1</v>
      </c>
      <c r="I69" s="751">
        <f t="shared" si="11"/>
        <v>0.2</v>
      </c>
      <c r="J69" s="752">
        <f t="shared" si="11"/>
        <v>0.3</v>
      </c>
      <c r="K69" s="752">
        <f t="shared" si="11"/>
        <v>0.25</v>
      </c>
      <c r="L69" s="752">
        <f t="shared" si="11"/>
        <v>0.05</v>
      </c>
      <c r="M69" s="752">
        <f t="shared" si="11"/>
        <v>0.2</v>
      </c>
      <c r="N69" s="753">
        <f t="shared" si="6"/>
        <v>1</v>
      </c>
      <c r="O69" s="754"/>
      <c r="R69" s="748">
        <f t="shared" si="7"/>
        <v>0.8</v>
      </c>
      <c r="S69" s="749">
        <f t="shared" si="8"/>
        <v>0.71500000000000008</v>
      </c>
    </row>
    <row r="70" spans="2:19">
      <c r="B70" s="750">
        <f t="shared" si="9"/>
        <v>2052</v>
      </c>
      <c r="C70" s="751">
        <f t="shared" si="10"/>
        <v>0</v>
      </c>
      <c r="D70" s="752">
        <f t="shared" si="10"/>
        <v>1</v>
      </c>
      <c r="E70" s="752">
        <f t="shared" si="10"/>
        <v>0</v>
      </c>
      <c r="F70" s="752">
        <f t="shared" si="10"/>
        <v>0</v>
      </c>
      <c r="G70" s="752">
        <f t="shared" si="10"/>
        <v>0</v>
      </c>
      <c r="H70" s="753">
        <f t="shared" si="4"/>
        <v>1</v>
      </c>
      <c r="I70" s="751">
        <f t="shared" si="11"/>
        <v>0.2</v>
      </c>
      <c r="J70" s="752">
        <f t="shared" si="11"/>
        <v>0.3</v>
      </c>
      <c r="K70" s="752">
        <f t="shared" si="11"/>
        <v>0.25</v>
      </c>
      <c r="L70" s="752">
        <f t="shared" si="11"/>
        <v>0.05</v>
      </c>
      <c r="M70" s="752">
        <f t="shared" si="11"/>
        <v>0.2</v>
      </c>
      <c r="N70" s="753">
        <f t="shared" si="6"/>
        <v>1</v>
      </c>
      <c r="O70" s="754"/>
      <c r="R70" s="748">
        <f t="shared" si="7"/>
        <v>0.8</v>
      </c>
      <c r="S70" s="749">
        <f t="shared" si="8"/>
        <v>0.71500000000000008</v>
      </c>
    </row>
    <row r="71" spans="2:19">
      <c r="B71" s="750">
        <f t="shared" si="9"/>
        <v>2053</v>
      </c>
      <c r="C71" s="751">
        <f t="shared" si="10"/>
        <v>0</v>
      </c>
      <c r="D71" s="752">
        <f t="shared" si="10"/>
        <v>1</v>
      </c>
      <c r="E71" s="752">
        <f t="shared" si="10"/>
        <v>0</v>
      </c>
      <c r="F71" s="752">
        <f t="shared" si="10"/>
        <v>0</v>
      </c>
      <c r="G71" s="752">
        <f t="shared" si="10"/>
        <v>0</v>
      </c>
      <c r="H71" s="753">
        <f t="shared" si="4"/>
        <v>1</v>
      </c>
      <c r="I71" s="751">
        <f t="shared" si="11"/>
        <v>0.2</v>
      </c>
      <c r="J71" s="752">
        <f t="shared" si="11"/>
        <v>0.3</v>
      </c>
      <c r="K71" s="752">
        <f t="shared" si="11"/>
        <v>0.25</v>
      </c>
      <c r="L71" s="752">
        <f t="shared" si="11"/>
        <v>0.05</v>
      </c>
      <c r="M71" s="752">
        <f t="shared" si="11"/>
        <v>0.2</v>
      </c>
      <c r="N71" s="753">
        <f t="shared" si="6"/>
        <v>1</v>
      </c>
      <c r="O71" s="754"/>
      <c r="R71" s="748">
        <f t="shared" si="7"/>
        <v>0.8</v>
      </c>
      <c r="S71" s="749">
        <f t="shared" si="8"/>
        <v>0.71500000000000008</v>
      </c>
    </row>
    <row r="72" spans="2:19">
      <c r="B72" s="750">
        <f t="shared" si="9"/>
        <v>2054</v>
      </c>
      <c r="C72" s="751">
        <f t="shared" si="10"/>
        <v>0</v>
      </c>
      <c r="D72" s="752">
        <f t="shared" si="10"/>
        <v>1</v>
      </c>
      <c r="E72" s="752">
        <f t="shared" si="10"/>
        <v>0</v>
      </c>
      <c r="F72" s="752">
        <f t="shared" si="10"/>
        <v>0</v>
      </c>
      <c r="G72" s="752">
        <f t="shared" si="10"/>
        <v>0</v>
      </c>
      <c r="H72" s="753">
        <f t="shared" si="4"/>
        <v>1</v>
      </c>
      <c r="I72" s="751">
        <f t="shared" si="11"/>
        <v>0.2</v>
      </c>
      <c r="J72" s="752">
        <f t="shared" si="11"/>
        <v>0.3</v>
      </c>
      <c r="K72" s="752">
        <f t="shared" si="11"/>
        <v>0.25</v>
      </c>
      <c r="L72" s="752">
        <f t="shared" si="11"/>
        <v>0.05</v>
      </c>
      <c r="M72" s="752">
        <f t="shared" si="11"/>
        <v>0.2</v>
      </c>
      <c r="N72" s="753">
        <f t="shared" si="6"/>
        <v>1</v>
      </c>
      <c r="O72" s="754"/>
      <c r="R72" s="748">
        <f t="shared" si="7"/>
        <v>0.8</v>
      </c>
      <c r="S72" s="749">
        <f t="shared" si="8"/>
        <v>0.71500000000000008</v>
      </c>
    </row>
    <row r="73" spans="2:19">
      <c r="B73" s="750">
        <f t="shared" si="9"/>
        <v>2055</v>
      </c>
      <c r="C73" s="751">
        <f t="shared" si="10"/>
        <v>0</v>
      </c>
      <c r="D73" s="752">
        <f t="shared" si="10"/>
        <v>1</v>
      </c>
      <c r="E73" s="752">
        <f t="shared" si="10"/>
        <v>0</v>
      </c>
      <c r="F73" s="752">
        <f t="shared" si="10"/>
        <v>0</v>
      </c>
      <c r="G73" s="752">
        <f t="shared" si="10"/>
        <v>0</v>
      </c>
      <c r="H73" s="753">
        <f t="shared" si="4"/>
        <v>1</v>
      </c>
      <c r="I73" s="751">
        <f t="shared" si="11"/>
        <v>0.2</v>
      </c>
      <c r="J73" s="752">
        <f t="shared" si="11"/>
        <v>0.3</v>
      </c>
      <c r="K73" s="752">
        <f t="shared" si="11"/>
        <v>0.25</v>
      </c>
      <c r="L73" s="752">
        <f t="shared" si="11"/>
        <v>0.05</v>
      </c>
      <c r="M73" s="752">
        <f t="shared" si="11"/>
        <v>0.2</v>
      </c>
      <c r="N73" s="753">
        <f t="shared" si="6"/>
        <v>1</v>
      </c>
      <c r="O73" s="754"/>
      <c r="R73" s="748">
        <f t="shared" si="7"/>
        <v>0.8</v>
      </c>
      <c r="S73" s="749">
        <f t="shared" si="8"/>
        <v>0.71500000000000008</v>
      </c>
    </row>
    <row r="74" spans="2:19">
      <c r="B74" s="750">
        <f t="shared" si="9"/>
        <v>2056</v>
      </c>
      <c r="C74" s="751">
        <f t="shared" si="10"/>
        <v>0</v>
      </c>
      <c r="D74" s="752">
        <f t="shared" si="10"/>
        <v>1</v>
      </c>
      <c r="E74" s="752">
        <f t="shared" si="10"/>
        <v>0</v>
      </c>
      <c r="F74" s="752">
        <f t="shared" si="10"/>
        <v>0</v>
      </c>
      <c r="G74" s="752">
        <f t="shared" si="10"/>
        <v>0</v>
      </c>
      <c r="H74" s="753">
        <f t="shared" si="4"/>
        <v>1</v>
      </c>
      <c r="I74" s="751">
        <f t="shared" si="11"/>
        <v>0.2</v>
      </c>
      <c r="J74" s="752">
        <f t="shared" si="11"/>
        <v>0.3</v>
      </c>
      <c r="K74" s="752">
        <f t="shared" si="11"/>
        <v>0.25</v>
      </c>
      <c r="L74" s="752">
        <f t="shared" si="11"/>
        <v>0.05</v>
      </c>
      <c r="M74" s="752">
        <f t="shared" si="11"/>
        <v>0.2</v>
      </c>
      <c r="N74" s="753">
        <f t="shared" si="6"/>
        <v>1</v>
      </c>
      <c r="O74" s="754"/>
      <c r="R74" s="748">
        <f t="shared" si="7"/>
        <v>0.8</v>
      </c>
      <c r="S74" s="749">
        <f t="shared" si="8"/>
        <v>0.71500000000000008</v>
      </c>
    </row>
    <row r="75" spans="2:19">
      <c r="B75" s="750">
        <f t="shared" si="9"/>
        <v>2057</v>
      </c>
      <c r="C75" s="751">
        <f t="shared" si="10"/>
        <v>0</v>
      </c>
      <c r="D75" s="752">
        <f t="shared" si="10"/>
        <v>1</v>
      </c>
      <c r="E75" s="752">
        <f t="shared" si="10"/>
        <v>0</v>
      </c>
      <c r="F75" s="752">
        <f t="shared" si="10"/>
        <v>0</v>
      </c>
      <c r="G75" s="752">
        <f t="shared" si="10"/>
        <v>0</v>
      </c>
      <c r="H75" s="753">
        <f t="shared" si="4"/>
        <v>1</v>
      </c>
      <c r="I75" s="751">
        <f t="shared" si="11"/>
        <v>0.2</v>
      </c>
      <c r="J75" s="752">
        <f t="shared" si="11"/>
        <v>0.3</v>
      </c>
      <c r="K75" s="752">
        <f t="shared" si="11"/>
        <v>0.25</v>
      </c>
      <c r="L75" s="752">
        <f t="shared" si="11"/>
        <v>0.05</v>
      </c>
      <c r="M75" s="752">
        <f t="shared" si="11"/>
        <v>0.2</v>
      </c>
      <c r="N75" s="753">
        <f t="shared" si="6"/>
        <v>1</v>
      </c>
      <c r="O75" s="754"/>
      <c r="R75" s="748">
        <f t="shared" si="7"/>
        <v>0.8</v>
      </c>
      <c r="S75" s="749">
        <f t="shared" si="8"/>
        <v>0.71500000000000008</v>
      </c>
    </row>
    <row r="76" spans="2:19">
      <c r="B76" s="750">
        <f t="shared" si="9"/>
        <v>2058</v>
      </c>
      <c r="C76" s="751">
        <f t="shared" si="10"/>
        <v>0</v>
      </c>
      <c r="D76" s="752">
        <f t="shared" si="10"/>
        <v>1</v>
      </c>
      <c r="E76" s="752">
        <f t="shared" si="10"/>
        <v>0</v>
      </c>
      <c r="F76" s="752">
        <f t="shared" si="10"/>
        <v>0</v>
      </c>
      <c r="G76" s="752">
        <f t="shared" si="10"/>
        <v>0</v>
      </c>
      <c r="H76" s="753">
        <f t="shared" si="4"/>
        <v>1</v>
      </c>
      <c r="I76" s="751">
        <f t="shared" si="11"/>
        <v>0.2</v>
      </c>
      <c r="J76" s="752">
        <f t="shared" si="11"/>
        <v>0.3</v>
      </c>
      <c r="K76" s="752">
        <f t="shared" si="11"/>
        <v>0.25</v>
      </c>
      <c r="L76" s="752">
        <f t="shared" si="11"/>
        <v>0.05</v>
      </c>
      <c r="M76" s="752">
        <f t="shared" si="11"/>
        <v>0.2</v>
      </c>
      <c r="N76" s="753">
        <f t="shared" si="6"/>
        <v>1</v>
      </c>
      <c r="O76" s="754"/>
      <c r="R76" s="748">
        <f t="shared" si="7"/>
        <v>0.8</v>
      </c>
      <c r="S76" s="749">
        <f t="shared" si="8"/>
        <v>0.71500000000000008</v>
      </c>
    </row>
    <row r="77" spans="2:19">
      <c r="B77" s="750">
        <f t="shared" si="9"/>
        <v>2059</v>
      </c>
      <c r="C77" s="751">
        <f t="shared" si="10"/>
        <v>0</v>
      </c>
      <c r="D77" s="752">
        <f t="shared" si="10"/>
        <v>1</v>
      </c>
      <c r="E77" s="752">
        <f t="shared" si="10"/>
        <v>0</v>
      </c>
      <c r="F77" s="752">
        <f t="shared" si="10"/>
        <v>0</v>
      </c>
      <c r="G77" s="752">
        <f t="shared" si="10"/>
        <v>0</v>
      </c>
      <c r="H77" s="753">
        <f t="shared" si="4"/>
        <v>1</v>
      </c>
      <c r="I77" s="751">
        <f t="shared" si="11"/>
        <v>0.2</v>
      </c>
      <c r="J77" s="752">
        <f t="shared" si="11"/>
        <v>0.3</v>
      </c>
      <c r="K77" s="752">
        <f t="shared" si="11"/>
        <v>0.25</v>
      </c>
      <c r="L77" s="752">
        <f t="shared" si="11"/>
        <v>0.05</v>
      </c>
      <c r="M77" s="752">
        <f t="shared" si="11"/>
        <v>0.2</v>
      </c>
      <c r="N77" s="753">
        <f t="shared" si="6"/>
        <v>1</v>
      </c>
      <c r="O77" s="754"/>
      <c r="R77" s="748">
        <f t="shared" si="7"/>
        <v>0.8</v>
      </c>
      <c r="S77" s="749">
        <f t="shared" si="8"/>
        <v>0.71500000000000008</v>
      </c>
    </row>
    <row r="78" spans="2:19">
      <c r="B78" s="750">
        <f t="shared" si="9"/>
        <v>2060</v>
      </c>
      <c r="C78" s="751">
        <f t="shared" si="10"/>
        <v>0</v>
      </c>
      <c r="D78" s="752">
        <f t="shared" si="10"/>
        <v>1</v>
      </c>
      <c r="E78" s="752">
        <f t="shared" si="10"/>
        <v>0</v>
      </c>
      <c r="F78" s="752">
        <f t="shared" si="10"/>
        <v>0</v>
      </c>
      <c r="G78" s="752">
        <f t="shared" si="10"/>
        <v>0</v>
      </c>
      <c r="H78" s="753">
        <f t="shared" si="4"/>
        <v>1</v>
      </c>
      <c r="I78" s="751">
        <f t="shared" si="11"/>
        <v>0.2</v>
      </c>
      <c r="J78" s="752">
        <f t="shared" si="11"/>
        <v>0.3</v>
      </c>
      <c r="K78" s="752">
        <f t="shared" si="11"/>
        <v>0.25</v>
      </c>
      <c r="L78" s="752">
        <f t="shared" si="11"/>
        <v>0.05</v>
      </c>
      <c r="M78" s="752">
        <f t="shared" si="11"/>
        <v>0.2</v>
      </c>
      <c r="N78" s="753">
        <f t="shared" si="6"/>
        <v>1</v>
      </c>
      <c r="O78" s="754"/>
      <c r="R78" s="748">
        <f t="shared" si="7"/>
        <v>0.8</v>
      </c>
      <c r="S78" s="749">
        <f t="shared" si="8"/>
        <v>0.71500000000000008</v>
      </c>
    </row>
    <row r="79" spans="2:19">
      <c r="B79" s="750">
        <f t="shared" si="9"/>
        <v>2061</v>
      </c>
      <c r="C79" s="751">
        <f t="shared" si="10"/>
        <v>0</v>
      </c>
      <c r="D79" s="752">
        <f t="shared" si="10"/>
        <v>1</v>
      </c>
      <c r="E79" s="752">
        <f t="shared" si="10"/>
        <v>0</v>
      </c>
      <c r="F79" s="752">
        <f t="shared" si="10"/>
        <v>0</v>
      </c>
      <c r="G79" s="752">
        <f t="shared" si="10"/>
        <v>0</v>
      </c>
      <c r="H79" s="753">
        <f t="shared" si="4"/>
        <v>1</v>
      </c>
      <c r="I79" s="751">
        <f t="shared" si="11"/>
        <v>0.2</v>
      </c>
      <c r="J79" s="752">
        <f t="shared" si="11"/>
        <v>0.3</v>
      </c>
      <c r="K79" s="752">
        <f t="shared" si="11"/>
        <v>0.25</v>
      </c>
      <c r="L79" s="752">
        <f t="shared" si="11"/>
        <v>0.05</v>
      </c>
      <c r="M79" s="752">
        <f t="shared" si="11"/>
        <v>0.2</v>
      </c>
      <c r="N79" s="753">
        <f t="shared" si="6"/>
        <v>1</v>
      </c>
      <c r="O79" s="754"/>
      <c r="R79" s="748">
        <f t="shared" si="7"/>
        <v>0.8</v>
      </c>
      <c r="S79" s="749">
        <f t="shared" si="8"/>
        <v>0.71500000000000008</v>
      </c>
    </row>
    <row r="80" spans="2:19">
      <c r="B80" s="750">
        <f t="shared" si="9"/>
        <v>2062</v>
      </c>
      <c r="C80" s="751">
        <f t="shared" si="10"/>
        <v>0</v>
      </c>
      <c r="D80" s="752">
        <f t="shared" si="10"/>
        <v>1</v>
      </c>
      <c r="E80" s="752">
        <f t="shared" si="10"/>
        <v>0</v>
      </c>
      <c r="F80" s="752">
        <f t="shared" si="10"/>
        <v>0</v>
      </c>
      <c r="G80" s="752">
        <f t="shared" si="10"/>
        <v>0</v>
      </c>
      <c r="H80" s="753">
        <f t="shared" si="4"/>
        <v>1</v>
      </c>
      <c r="I80" s="751">
        <f t="shared" si="11"/>
        <v>0.2</v>
      </c>
      <c r="J80" s="752">
        <f t="shared" si="11"/>
        <v>0.3</v>
      </c>
      <c r="K80" s="752">
        <f t="shared" si="11"/>
        <v>0.25</v>
      </c>
      <c r="L80" s="752">
        <f t="shared" si="11"/>
        <v>0.05</v>
      </c>
      <c r="M80" s="752">
        <f t="shared" si="11"/>
        <v>0.2</v>
      </c>
      <c r="N80" s="753">
        <f t="shared" si="6"/>
        <v>1</v>
      </c>
      <c r="O80" s="754"/>
      <c r="R80" s="748">
        <f t="shared" si="7"/>
        <v>0.8</v>
      </c>
      <c r="S80" s="749">
        <f t="shared" si="8"/>
        <v>0.71500000000000008</v>
      </c>
    </row>
    <row r="81" spans="2:19">
      <c r="B81" s="750">
        <f t="shared" si="9"/>
        <v>2063</v>
      </c>
      <c r="C81" s="751">
        <f t="shared" si="10"/>
        <v>0</v>
      </c>
      <c r="D81" s="752">
        <f t="shared" si="10"/>
        <v>1</v>
      </c>
      <c r="E81" s="752">
        <f t="shared" si="10"/>
        <v>0</v>
      </c>
      <c r="F81" s="752">
        <f t="shared" si="10"/>
        <v>0</v>
      </c>
      <c r="G81" s="752">
        <f t="shared" si="10"/>
        <v>0</v>
      </c>
      <c r="H81" s="753">
        <f t="shared" si="4"/>
        <v>1</v>
      </c>
      <c r="I81" s="751">
        <f t="shared" si="11"/>
        <v>0.2</v>
      </c>
      <c r="J81" s="752">
        <f t="shared" si="11"/>
        <v>0.3</v>
      </c>
      <c r="K81" s="752">
        <f t="shared" si="11"/>
        <v>0.25</v>
      </c>
      <c r="L81" s="752">
        <f t="shared" si="11"/>
        <v>0.05</v>
      </c>
      <c r="M81" s="752">
        <f t="shared" si="11"/>
        <v>0.2</v>
      </c>
      <c r="N81" s="753">
        <f t="shared" si="6"/>
        <v>1</v>
      </c>
      <c r="O81" s="754"/>
      <c r="R81" s="748">
        <f t="shared" si="7"/>
        <v>0.8</v>
      </c>
      <c r="S81" s="749">
        <f t="shared" si="8"/>
        <v>0.71500000000000008</v>
      </c>
    </row>
    <row r="82" spans="2:19">
      <c r="B82" s="750">
        <f t="shared" si="9"/>
        <v>2064</v>
      </c>
      <c r="C82" s="751">
        <f t="shared" si="10"/>
        <v>0</v>
      </c>
      <c r="D82" s="752">
        <f t="shared" si="10"/>
        <v>1</v>
      </c>
      <c r="E82" s="752">
        <f t="shared" si="10"/>
        <v>0</v>
      </c>
      <c r="F82" s="752">
        <f t="shared" si="10"/>
        <v>0</v>
      </c>
      <c r="G82" s="752">
        <f t="shared" si="10"/>
        <v>0</v>
      </c>
      <c r="H82" s="753">
        <f t="shared" si="4"/>
        <v>1</v>
      </c>
      <c r="I82" s="751">
        <f t="shared" si="11"/>
        <v>0.2</v>
      </c>
      <c r="J82" s="752">
        <f t="shared" si="11"/>
        <v>0.3</v>
      </c>
      <c r="K82" s="752">
        <f t="shared" si="11"/>
        <v>0.25</v>
      </c>
      <c r="L82" s="752">
        <f t="shared" si="11"/>
        <v>0.05</v>
      </c>
      <c r="M82" s="752">
        <f t="shared" si="11"/>
        <v>0.2</v>
      </c>
      <c r="N82" s="753">
        <f t="shared" si="6"/>
        <v>1</v>
      </c>
      <c r="O82" s="754"/>
      <c r="R82" s="748">
        <f t="shared" si="7"/>
        <v>0.8</v>
      </c>
      <c r="S82" s="749">
        <f t="shared" si="8"/>
        <v>0.71500000000000008</v>
      </c>
    </row>
    <row r="83" spans="2:19">
      <c r="B83" s="750">
        <f t="shared" ref="B83:B98" si="12">B82+1</f>
        <v>2065</v>
      </c>
      <c r="C83" s="751">
        <f t="shared" si="10"/>
        <v>0</v>
      </c>
      <c r="D83" s="752">
        <f t="shared" si="10"/>
        <v>1</v>
      </c>
      <c r="E83" s="752">
        <f t="shared" si="10"/>
        <v>0</v>
      </c>
      <c r="F83" s="752">
        <f t="shared" si="10"/>
        <v>0</v>
      </c>
      <c r="G83" s="752">
        <f t="shared" si="10"/>
        <v>0</v>
      </c>
      <c r="H83" s="753">
        <f t="shared" ref="H83:H98" si="13">SUM(C83:G83)</f>
        <v>1</v>
      </c>
      <c r="I83" s="751">
        <f t="shared" si="11"/>
        <v>0.2</v>
      </c>
      <c r="J83" s="752">
        <f t="shared" si="11"/>
        <v>0.3</v>
      </c>
      <c r="K83" s="752">
        <f t="shared" si="11"/>
        <v>0.25</v>
      </c>
      <c r="L83" s="752">
        <f t="shared" si="11"/>
        <v>0.05</v>
      </c>
      <c r="M83" s="752">
        <f t="shared" si="11"/>
        <v>0.2</v>
      </c>
      <c r="N83" s="753">
        <f t="shared" ref="N83:N98" si="14">SUM(I83:M83)</f>
        <v>1</v>
      </c>
      <c r="O83" s="754"/>
      <c r="R83" s="748">
        <f t="shared" ref="R83:R98" si="15">C83*C$13+D83*D$13+E83*E$13+F83*F$13+G83*G$13</f>
        <v>0.8</v>
      </c>
      <c r="S83" s="749">
        <f t="shared" ref="S83:S98" si="16">I83*I$13+J83*J$13+K83*K$13+L83*L$13+M83*M$13</f>
        <v>0.71500000000000008</v>
      </c>
    </row>
    <row r="84" spans="2:19">
      <c r="B84" s="750">
        <f t="shared" si="12"/>
        <v>2066</v>
      </c>
      <c r="C84" s="751">
        <f t="shared" si="10"/>
        <v>0</v>
      </c>
      <c r="D84" s="752">
        <f t="shared" si="10"/>
        <v>1</v>
      </c>
      <c r="E84" s="752">
        <f t="shared" si="10"/>
        <v>0</v>
      </c>
      <c r="F84" s="752">
        <f t="shared" si="10"/>
        <v>0</v>
      </c>
      <c r="G84" s="752">
        <f t="shared" si="10"/>
        <v>0</v>
      </c>
      <c r="H84" s="753">
        <f t="shared" si="13"/>
        <v>1</v>
      </c>
      <c r="I84" s="751">
        <f t="shared" si="11"/>
        <v>0.2</v>
      </c>
      <c r="J84" s="752">
        <f t="shared" si="11"/>
        <v>0.3</v>
      </c>
      <c r="K84" s="752">
        <f t="shared" si="11"/>
        <v>0.25</v>
      </c>
      <c r="L84" s="752">
        <f t="shared" si="11"/>
        <v>0.05</v>
      </c>
      <c r="M84" s="752">
        <f t="shared" si="11"/>
        <v>0.2</v>
      </c>
      <c r="N84" s="753">
        <f t="shared" si="14"/>
        <v>1</v>
      </c>
      <c r="O84" s="754"/>
      <c r="R84" s="748">
        <f t="shared" si="15"/>
        <v>0.8</v>
      </c>
      <c r="S84" s="749">
        <f t="shared" si="16"/>
        <v>0.71500000000000008</v>
      </c>
    </row>
    <row r="85" spans="2:19">
      <c r="B85" s="750">
        <f t="shared" si="12"/>
        <v>2067</v>
      </c>
      <c r="C85" s="751">
        <f t="shared" si="10"/>
        <v>0</v>
      </c>
      <c r="D85" s="752">
        <f t="shared" si="10"/>
        <v>1</v>
      </c>
      <c r="E85" s="752">
        <f t="shared" si="10"/>
        <v>0</v>
      </c>
      <c r="F85" s="752">
        <f t="shared" si="10"/>
        <v>0</v>
      </c>
      <c r="G85" s="752">
        <f t="shared" si="10"/>
        <v>0</v>
      </c>
      <c r="H85" s="753">
        <f t="shared" si="13"/>
        <v>1</v>
      </c>
      <c r="I85" s="751">
        <f t="shared" si="11"/>
        <v>0.2</v>
      </c>
      <c r="J85" s="752">
        <f t="shared" si="11"/>
        <v>0.3</v>
      </c>
      <c r="K85" s="752">
        <f t="shared" si="11"/>
        <v>0.25</v>
      </c>
      <c r="L85" s="752">
        <f t="shared" si="11"/>
        <v>0.05</v>
      </c>
      <c r="M85" s="752">
        <f t="shared" si="11"/>
        <v>0.2</v>
      </c>
      <c r="N85" s="753">
        <f t="shared" si="14"/>
        <v>1</v>
      </c>
      <c r="O85" s="754"/>
      <c r="R85" s="748">
        <f t="shared" si="15"/>
        <v>0.8</v>
      </c>
      <c r="S85" s="749">
        <f t="shared" si="16"/>
        <v>0.71500000000000008</v>
      </c>
    </row>
    <row r="86" spans="2:19">
      <c r="B86" s="750">
        <f t="shared" si="12"/>
        <v>2068</v>
      </c>
      <c r="C86" s="751">
        <f t="shared" si="10"/>
        <v>0</v>
      </c>
      <c r="D86" s="752">
        <f t="shared" si="10"/>
        <v>1</v>
      </c>
      <c r="E86" s="752">
        <f t="shared" si="10"/>
        <v>0</v>
      </c>
      <c r="F86" s="752">
        <f t="shared" si="10"/>
        <v>0</v>
      </c>
      <c r="G86" s="752">
        <f t="shared" si="10"/>
        <v>0</v>
      </c>
      <c r="H86" s="753">
        <f t="shared" si="13"/>
        <v>1</v>
      </c>
      <c r="I86" s="751">
        <f t="shared" si="11"/>
        <v>0.2</v>
      </c>
      <c r="J86" s="752">
        <f t="shared" si="11"/>
        <v>0.3</v>
      </c>
      <c r="K86" s="752">
        <f t="shared" si="11"/>
        <v>0.25</v>
      </c>
      <c r="L86" s="752">
        <f t="shared" si="11"/>
        <v>0.05</v>
      </c>
      <c r="M86" s="752">
        <f t="shared" si="11"/>
        <v>0.2</v>
      </c>
      <c r="N86" s="753">
        <f t="shared" si="14"/>
        <v>1</v>
      </c>
      <c r="O86" s="754"/>
      <c r="R86" s="748">
        <f t="shared" si="15"/>
        <v>0.8</v>
      </c>
      <c r="S86" s="749">
        <f t="shared" si="16"/>
        <v>0.71500000000000008</v>
      </c>
    </row>
    <row r="87" spans="2:19">
      <c r="B87" s="750">
        <f t="shared" si="12"/>
        <v>2069</v>
      </c>
      <c r="C87" s="751">
        <f t="shared" si="10"/>
        <v>0</v>
      </c>
      <c r="D87" s="752">
        <f t="shared" si="10"/>
        <v>1</v>
      </c>
      <c r="E87" s="752">
        <f t="shared" si="10"/>
        <v>0</v>
      </c>
      <c r="F87" s="752">
        <f t="shared" si="10"/>
        <v>0</v>
      </c>
      <c r="G87" s="752">
        <f t="shared" si="10"/>
        <v>0</v>
      </c>
      <c r="H87" s="753">
        <f t="shared" si="13"/>
        <v>1</v>
      </c>
      <c r="I87" s="751">
        <f t="shared" si="11"/>
        <v>0.2</v>
      </c>
      <c r="J87" s="752">
        <f t="shared" si="11"/>
        <v>0.3</v>
      </c>
      <c r="K87" s="752">
        <f t="shared" si="11"/>
        <v>0.25</v>
      </c>
      <c r="L87" s="752">
        <f t="shared" si="11"/>
        <v>0.05</v>
      </c>
      <c r="M87" s="752">
        <f t="shared" si="11"/>
        <v>0.2</v>
      </c>
      <c r="N87" s="753">
        <f t="shared" si="14"/>
        <v>1</v>
      </c>
      <c r="O87" s="754"/>
      <c r="R87" s="748">
        <f t="shared" si="15"/>
        <v>0.8</v>
      </c>
      <c r="S87" s="749">
        <f t="shared" si="16"/>
        <v>0.71500000000000008</v>
      </c>
    </row>
    <row r="88" spans="2:19">
      <c r="B88" s="750">
        <f t="shared" si="12"/>
        <v>2070</v>
      </c>
      <c r="C88" s="751">
        <f t="shared" si="10"/>
        <v>0</v>
      </c>
      <c r="D88" s="752">
        <f t="shared" si="10"/>
        <v>1</v>
      </c>
      <c r="E88" s="752">
        <f t="shared" si="10"/>
        <v>0</v>
      </c>
      <c r="F88" s="752">
        <f t="shared" si="10"/>
        <v>0</v>
      </c>
      <c r="G88" s="752">
        <f t="shared" si="10"/>
        <v>0</v>
      </c>
      <c r="H88" s="753">
        <f t="shared" si="13"/>
        <v>1</v>
      </c>
      <c r="I88" s="751">
        <f t="shared" si="11"/>
        <v>0.2</v>
      </c>
      <c r="J88" s="752">
        <f t="shared" si="11"/>
        <v>0.3</v>
      </c>
      <c r="K88" s="752">
        <f t="shared" si="11"/>
        <v>0.25</v>
      </c>
      <c r="L88" s="752">
        <f t="shared" si="11"/>
        <v>0.05</v>
      </c>
      <c r="M88" s="752">
        <f t="shared" si="11"/>
        <v>0.2</v>
      </c>
      <c r="N88" s="753">
        <f t="shared" si="14"/>
        <v>1</v>
      </c>
      <c r="O88" s="754"/>
      <c r="R88" s="748">
        <f t="shared" si="15"/>
        <v>0.8</v>
      </c>
      <c r="S88" s="749">
        <f t="shared" si="16"/>
        <v>0.71500000000000008</v>
      </c>
    </row>
    <row r="89" spans="2:19">
      <c r="B89" s="750">
        <f t="shared" si="12"/>
        <v>2071</v>
      </c>
      <c r="C89" s="751">
        <f t="shared" si="10"/>
        <v>0</v>
      </c>
      <c r="D89" s="752">
        <f t="shared" si="10"/>
        <v>1</v>
      </c>
      <c r="E89" s="752">
        <f t="shared" si="10"/>
        <v>0</v>
      </c>
      <c r="F89" s="752">
        <f t="shared" si="10"/>
        <v>0</v>
      </c>
      <c r="G89" s="752">
        <f t="shared" si="10"/>
        <v>0</v>
      </c>
      <c r="H89" s="753">
        <f t="shared" si="13"/>
        <v>1</v>
      </c>
      <c r="I89" s="751">
        <f t="shared" si="11"/>
        <v>0.2</v>
      </c>
      <c r="J89" s="752">
        <f t="shared" si="11"/>
        <v>0.3</v>
      </c>
      <c r="K89" s="752">
        <f t="shared" si="11"/>
        <v>0.25</v>
      </c>
      <c r="L89" s="752">
        <f t="shared" si="11"/>
        <v>0.05</v>
      </c>
      <c r="M89" s="752">
        <f t="shared" si="11"/>
        <v>0.2</v>
      </c>
      <c r="N89" s="753">
        <f t="shared" si="14"/>
        <v>1</v>
      </c>
      <c r="O89" s="754"/>
      <c r="R89" s="748">
        <f t="shared" si="15"/>
        <v>0.8</v>
      </c>
      <c r="S89" s="749">
        <f t="shared" si="16"/>
        <v>0.71500000000000008</v>
      </c>
    </row>
    <row r="90" spans="2:19">
      <c r="B90" s="750">
        <f t="shared" si="12"/>
        <v>2072</v>
      </c>
      <c r="C90" s="751">
        <f t="shared" si="10"/>
        <v>0</v>
      </c>
      <c r="D90" s="752">
        <f t="shared" si="10"/>
        <v>1</v>
      </c>
      <c r="E90" s="752">
        <f t="shared" si="10"/>
        <v>0</v>
      </c>
      <c r="F90" s="752">
        <f t="shared" si="10"/>
        <v>0</v>
      </c>
      <c r="G90" s="752">
        <f t="shared" si="10"/>
        <v>0</v>
      </c>
      <c r="H90" s="753">
        <f t="shared" si="13"/>
        <v>1</v>
      </c>
      <c r="I90" s="751">
        <f t="shared" si="11"/>
        <v>0.2</v>
      </c>
      <c r="J90" s="752">
        <f t="shared" si="11"/>
        <v>0.3</v>
      </c>
      <c r="K90" s="752">
        <f t="shared" si="11"/>
        <v>0.25</v>
      </c>
      <c r="L90" s="752">
        <f t="shared" si="11"/>
        <v>0.05</v>
      </c>
      <c r="M90" s="752">
        <f t="shared" si="11"/>
        <v>0.2</v>
      </c>
      <c r="N90" s="753">
        <f t="shared" si="14"/>
        <v>1</v>
      </c>
      <c r="O90" s="754"/>
      <c r="R90" s="748">
        <f t="shared" si="15"/>
        <v>0.8</v>
      </c>
      <c r="S90" s="749">
        <f t="shared" si="16"/>
        <v>0.71500000000000008</v>
      </c>
    </row>
    <row r="91" spans="2:19">
      <c r="B91" s="750">
        <f t="shared" si="12"/>
        <v>2073</v>
      </c>
      <c r="C91" s="751">
        <f t="shared" si="10"/>
        <v>0</v>
      </c>
      <c r="D91" s="752">
        <f t="shared" si="10"/>
        <v>1</v>
      </c>
      <c r="E91" s="752">
        <f t="shared" si="10"/>
        <v>0</v>
      </c>
      <c r="F91" s="752">
        <f t="shared" si="10"/>
        <v>0</v>
      </c>
      <c r="G91" s="752">
        <f t="shared" si="10"/>
        <v>0</v>
      </c>
      <c r="H91" s="753">
        <f t="shared" si="13"/>
        <v>1</v>
      </c>
      <c r="I91" s="751">
        <f t="shared" si="11"/>
        <v>0.2</v>
      </c>
      <c r="J91" s="752">
        <f t="shared" si="11"/>
        <v>0.3</v>
      </c>
      <c r="K91" s="752">
        <f t="shared" si="11"/>
        <v>0.25</v>
      </c>
      <c r="L91" s="752">
        <f t="shared" si="11"/>
        <v>0.05</v>
      </c>
      <c r="M91" s="752">
        <f t="shared" si="11"/>
        <v>0.2</v>
      </c>
      <c r="N91" s="753">
        <f t="shared" si="14"/>
        <v>1</v>
      </c>
      <c r="O91" s="754"/>
      <c r="R91" s="748">
        <f t="shared" si="15"/>
        <v>0.8</v>
      </c>
      <c r="S91" s="749">
        <f t="shared" si="16"/>
        <v>0.71500000000000008</v>
      </c>
    </row>
    <row r="92" spans="2:19">
      <c r="B92" s="750">
        <f t="shared" si="12"/>
        <v>2074</v>
      </c>
      <c r="C92" s="751">
        <f t="shared" si="10"/>
        <v>0</v>
      </c>
      <c r="D92" s="752">
        <f t="shared" si="10"/>
        <v>1</v>
      </c>
      <c r="E92" s="752">
        <f t="shared" si="10"/>
        <v>0</v>
      </c>
      <c r="F92" s="752">
        <f t="shared" si="10"/>
        <v>0</v>
      </c>
      <c r="G92" s="752">
        <f t="shared" si="10"/>
        <v>0</v>
      </c>
      <c r="H92" s="753">
        <f t="shared" si="13"/>
        <v>1</v>
      </c>
      <c r="I92" s="751">
        <f t="shared" si="11"/>
        <v>0.2</v>
      </c>
      <c r="J92" s="752">
        <f t="shared" si="11"/>
        <v>0.3</v>
      </c>
      <c r="K92" s="752">
        <f t="shared" si="11"/>
        <v>0.25</v>
      </c>
      <c r="L92" s="752">
        <f t="shared" si="11"/>
        <v>0.05</v>
      </c>
      <c r="M92" s="752">
        <f t="shared" si="11"/>
        <v>0.2</v>
      </c>
      <c r="N92" s="753">
        <f t="shared" si="14"/>
        <v>1</v>
      </c>
      <c r="O92" s="754"/>
      <c r="R92" s="748">
        <f t="shared" si="15"/>
        <v>0.8</v>
      </c>
      <c r="S92" s="749">
        <f t="shared" si="16"/>
        <v>0.71500000000000008</v>
      </c>
    </row>
    <row r="93" spans="2:19">
      <c r="B93" s="750">
        <f t="shared" si="12"/>
        <v>2075</v>
      </c>
      <c r="C93" s="751">
        <f t="shared" si="10"/>
        <v>0</v>
      </c>
      <c r="D93" s="752">
        <f t="shared" si="10"/>
        <v>1</v>
      </c>
      <c r="E93" s="752">
        <f t="shared" si="10"/>
        <v>0</v>
      </c>
      <c r="F93" s="752">
        <f t="shared" si="10"/>
        <v>0</v>
      </c>
      <c r="G93" s="752">
        <f t="shared" si="10"/>
        <v>0</v>
      </c>
      <c r="H93" s="753">
        <f t="shared" si="13"/>
        <v>1</v>
      </c>
      <c r="I93" s="751">
        <f t="shared" si="11"/>
        <v>0.2</v>
      </c>
      <c r="J93" s="752">
        <f t="shared" si="11"/>
        <v>0.3</v>
      </c>
      <c r="K93" s="752">
        <f t="shared" si="11"/>
        <v>0.25</v>
      </c>
      <c r="L93" s="752">
        <f t="shared" si="11"/>
        <v>0.05</v>
      </c>
      <c r="M93" s="752">
        <f t="shared" si="11"/>
        <v>0.2</v>
      </c>
      <c r="N93" s="753">
        <f t="shared" si="14"/>
        <v>1</v>
      </c>
      <c r="O93" s="754"/>
      <c r="R93" s="748">
        <f t="shared" si="15"/>
        <v>0.8</v>
      </c>
      <c r="S93" s="749">
        <f t="shared" si="16"/>
        <v>0.71500000000000008</v>
      </c>
    </row>
    <row r="94" spans="2:19">
      <c r="B94" s="750">
        <f t="shared" si="12"/>
        <v>2076</v>
      </c>
      <c r="C94" s="751">
        <f t="shared" si="10"/>
        <v>0</v>
      </c>
      <c r="D94" s="752">
        <f t="shared" si="10"/>
        <v>1</v>
      </c>
      <c r="E94" s="752">
        <f t="shared" si="10"/>
        <v>0</v>
      </c>
      <c r="F94" s="752">
        <f t="shared" si="10"/>
        <v>0</v>
      </c>
      <c r="G94" s="752">
        <f t="shared" si="10"/>
        <v>0</v>
      </c>
      <c r="H94" s="753">
        <f t="shared" si="13"/>
        <v>1</v>
      </c>
      <c r="I94" s="751">
        <f t="shared" si="11"/>
        <v>0.2</v>
      </c>
      <c r="J94" s="752">
        <f t="shared" si="11"/>
        <v>0.3</v>
      </c>
      <c r="K94" s="752">
        <f t="shared" si="11"/>
        <v>0.25</v>
      </c>
      <c r="L94" s="752">
        <f t="shared" si="11"/>
        <v>0.05</v>
      </c>
      <c r="M94" s="752">
        <f t="shared" si="11"/>
        <v>0.2</v>
      </c>
      <c r="N94" s="753">
        <f t="shared" si="14"/>
        <v>1</v>
      </c>
      <c r="O94" s="754"/>
      <c r="R94" s="748">
        <f t="shared" si="15"/>
        <v>0.8</v>
      </c>
      <c r="S94" s="749">
        <f t="shared" si="16"/>
        <v>0.71500000000000008</v>
      </c>
    </row>
    <row r="95" spans="2:19">
      <c r="B95" s="750">
        <f t="shared" si="12"/>
        <v>2077</v>
      </c>
      <c r="C95" s="751">
        <f t="shared" si="10"/>
        <v>0</v>
      </c>
      <c r="D95" s="752">
        <f t="shared" si="10"/>
        <v>1</v>
      </c>
      <c r="E95" s="752">
        <f t="shared" si="10"/>
        <v>0</v>
      </c>
      <c r="F95" s="752">
        <f t="shared" si="10"/>
        <v>0</v>
      </c>
      <c r="G95" s="752">
        <f t="shared" si="10"/>
        <v>0</v>
      </c>
      <c r="H95" s="753">
        <f t="shared" si="13"/>
        <v>1</v>
      </c>
      <c r="I95" s="751">
        <f t="shared" si="11"/>
        <v>0.2</v>
      </c>
      <c r="J95" s="752">
        <f t="shared" si="11"/>
        <v>0.3</v>
      </c>
      <c r="K95" s="752">
        <f t="shared" si="11"/>
        <v>0.25</v>
      </c>
      <c r="L95" s="752">
        <f t="shared" si="11"/>
        <v>0.05</v>
      </c>
      <c r="M95" s="752">
        <f t="shared" si="11"/>
        <v>0.2</v>
      </c>
      <c r="N95" s="753">
        <f t="shared" si="14"/>
        <v>1</v>
      </c>
      <c r="O95" s="754"/>
      <c r="R95" s="748">
        <f t="shared" si="15"/>
        <v>0.8</v>
      </c>
      <c r="S95" s="749">
        <f t="shared" si="16"/>
        <v>0.71500000000000008</v>
      </c>
    </row>
    <row r="96" spans="2:19">
      <c r="B96" s="750">
        <f t="shared" si="12"/>
        <v>2078</v>
      </c>
      <c r="C96" s="751">
        <f t="shared" si="10"/>
        <v>0</v>
      </c>
      <c r="D96" s="752">
        <f t="shared" si="10"/>
        <v>1</v>
      </c>
      <c r="E96" s="752">
        <f t="shared" si="10"/>
        <v>0</v>
      </c>
      <c r="F96" s="752">
        <f t="shared" si="10"/>
        <v>0</v>
      </c>
      <c r="G96" s="752">
        <f t="shared" si="10"/>
        <v>0</v>
      </c>
      <c r="H96" s="753">
        <f t="shared" si="13"/>
        <v>1</v>
      </c>
      <c r="I96" s="751">
        <f t="shared" si="11"/>
        <v>0.2</v>
      </c>
      <c r="J96" s="752">
        <f t="shared" si="11"/>
        <v>0.3</v>
      </c>
      <c r="K96" s="752">
        <f t="shared" si="11"/>
        <v>0.25</v>
      </c>
      <c r="L96" s="752">
        <f t="shared" si="11"/>
        <v>0.05</v>
      </c>
      <c r="M96" s="752">
        <f t="shared" si="11"/>
        <v>0.2</v>
      </c>
      <c r="N96" s="753">
        <f t="shared" si="14"/>
        <v>1</v>
      </c>
      <c r="O96" s="754"/>
      <c r="R96" s="748">
        <f t="shared" si="15"/>
        <v>0.8</v>
      </c>
      <c r="S96" s="749">
        <f t="shared" si="16"/>
        <v>0.71500000000000008</v>
      </c>
    </row>
    <row r="97" spans="2:19">
      <c r="B97" s="750">
        <f t="shared" si="12"/>
        <v>2079</v>
      </c>
      <c r="C97" s="751">
        <f t="shared" si="10"/>
        <v>0</v>
      </c>
      <c r="D97" s="752">
        <f t="shared" si="10"/>
        <v>1</v>
      </c>
      <c r="E97" s="752">
        <f t="shared" si="10"/>
        <v>0</v>
      </c>
      <c r="F97" s="752">
        <f t="shared" si="10"/>
        <v>0</v>
      </c>
      <c r="G97" s="752">
        <f t="shared" si="10"/>
        <v>0</v>
      </c>
      <c r="H97" s="753">
        <f t="shared" si="13"/>
        <v>1</v>
      </c>
      <c r="I97" s="751">
        <f t="shared" si="11"/>
        <v>0.2</v>
      </c>
      <c r="J97" s="752">
        <f t="shared" si="11"/>
        <v>0.3</v>
      </c>
      <c r="K97" s="752">
        <f t="shared" si="11"/>
        <v>0.25</v>
      </c>
      <c r="L97" s="752">
        <f t="shared" si="11"/>
        <v>0.05</v>
      </c>
      <c r="M97" s="752">
        <f t="shared" si="11"/>
        <v>0.2</v>
      </c>
      <c r="N97" s="753">
        <f t="shared" si="14"/>
        <v>1</v>
      </c>
      <c r="O97" s="754"/>
      <c r="R97" s="748">
        <f t="shared" si="15"/>
        <v>0.8</v>
      </c>
      <c r="S97" s="749">
        <f t="shared" si="16"/>
        <v>0.71500000000000008</v>
      </c>
    </row>
    <row r="98" spans="2:19" ht="13.5" thickBot="1">
      <c r="B98" s="755">
        <f t="shared" si="12"/>
        <v>2080</v>
      </c>
      <c r="C98" s="756">
        <f t="shared" si="10"/>
        <v>0</v>
      </c>
      <c r="D98" s="757">
        <f t="shared" si="10"/>
        <v>1</v>
      </c>
      <c r="E98" s="757">
        <f t="shared" si="10"/>
        <v>0</v>
      </c>
      <c r="F98" s="757">
        <f t="shared" si="10"/>
        <v>0</v>
      </c>
      <c r="G98" s="757">
        <f t="shared" si="10"/>
        <v>0</v>
      </c>
      <c r="H98" s="758">
        <f t="shared" si="13"/>
        <v>1</v>
      </c>
      <c r="I98" s="756">
        <f t="shared" si="11"/>
        <v>0.2</v>
      </c>
      <c r="J98" s="757">
        <f t="shared" si="11"/>
        <v>0.3</v>
      </c>
      <c r="K98" s="757">
        <f t="shared" si="11"/>
        <v>0.25</v>
      </c>
      <c r="L98" s="757">
        <f t="shared" si="11"/>
        <v>0.05</v>
      </c>
      <c r="M98" s="757">
        <f t="shared" si="11"/>
        <v>0.2</v>
      </c>
      <c r="N98" s="758">
        <f t="shared" si="14"/>
        <v>1</v>
      </c>
      <c r="O98" s="630"/>
      <c r="R98" s="759">
        <f t="shared" si="15"/>
        <v>0.8</v>
      </c>
      <c r="S98" s="759">
        <f t="shared" si="16"/>
        <v>0.71500000000000008</v>
      </c>
    </row>
    <row r="99" spans="2:19">
      <c r="H99" s="760"/>
    </row>
    <row r="100" spans="2:19">
      <c r="H100" s="760"/>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pageSetup paperSize="9" orientation="portrait" horizontalDpi="4294967292" verticalDpi="0" r:id="rId1"/>
  <headerFooter alignWithMargins="0"/>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37" activePane="bottomRight" state="frozen"/>
      <selection activeCell="E19" sqref="E19"/>
      <selection pane="topRight" activeCell="E19" sqref="E19"/>
      <selection pane="bottomLeft" activeCell="E19" sqref="E19"/>
      <selection pane="bottomRight" activeCell="AD2" sqref="AD2:AD10"/>
    </sheetView>
  </sheetViews>
  <sheetFormatPr defaultColWidth="11.42578125" defaultRowHeight="12.75"/>
  <cols>
    <col min="1" max="1" width="2.28515625" style="587" customWidth="1"/>
    <col min="2" max="2" width="6.28515625" style="587" customWidth="1"/>
    <col min="3" max="3" width="9.28515625" style="587" customWidth="1"/>
    <col min="4" max="4" width="7.42578125" style="587" customWidth="1"/>
    <col min="5" max="14" width="8" style="587" customWidth="1"/>
    <col min="15" max="16" width="8.42578125" style="587" customWidth="1"/>
    <col min="17" max="17" width="3.85546875" style="587" customWidth="1"/>
    <col min="18" max="18" width="3.42578125" style="587" customWidth="1"/>
    <col min="19" max="21" width="11.42578125" style="587" hidden="1" customWidth="1"/>
    <col min="22" max="22" width="10.28515625" style="587" hidden="1" customWidth="1"/>
    <col min="23" max="23" width="9.7109375" style="587" hidden="1" customWidth="1"/>
    <col min="24" max="24" width="9.42578125" style="587" hidden="1" customWidth="1"/>
    <col min="25" max="27" width="0" style="587" hidden="1" customWidth="1"/>
    <col min="28" max="29" width="11.42578125" style="587"/>
    <col min="30" max="30" width="10.85546875" style="587" customWidth="1"/>
    <col min="31" max="16384" width="11.42578125" style="587"/>
  </cols>
  <sheetData>
    <row r="2" spans="2:30" ht="15.75">
      <c r="C2" s="588" t="s">
        <v>34</v>
      </c>
      <c r="S2" s="588" t="s">
        <v>300</v>
      </c>
      <c r="AC2" s="587" t="s">
        <v>6</v>
      </c>
      <c r="AD2" s="705">
        <v>0.435</v>
      </c>
    </row>
    <row r="3" spans="2:30">
      <c r="B3" s="589"/>
      <c r="C3" s="589"/>
      <c r="S3" s="589"/>
      <c r="AC3" s="587" t="s">
        <v>256</v>
      </c>
      <c r="AD3" s="705">
        <v>0.129</v>
      </c>
    </row>
    <row r="4" spans="2:30">
      <c r="B4" s="589"/>
      <c r="C4" s="589" t="s">
        <v>38</v>
      </c>
      <c r="S4" s="589" t="s">
        <v>301</v>
      </c>
      <c r="AC4" s="587" t="s">
        <v>2</v>
      </c>
      <c r="AD4" s="705">
        <v>9.9000000000000005E-2</v>
      </c>
    </row>
    <row r="5" spans="2:30">
      <c r="B5" s="589"/>
      <c r="C5" s="589"/>
      <c r="S5" s="589" t="s">
        <v>38</v>
      </c>
      <c r="AC5" s="587" t="s">
        <v>16</v>
      </c>
      <c r="AD5" s="705">
        <v>2.7E-2</v>
      </c>
    </row>
    <row r="6" spans="2:30">
      <c r="B6" s="589"/>
      <c r="S6" s="589"/>
      <c r="AC6" s="587" t="s">
        <v>331</v>
      </c>
      <c r="AD6" s="705">
        <v>8.9999999999999993E-3</v>
      </c>
    </row>
    <row r="7" spans="2:30" ht="13.5" thickBot="1">
      <c r="B7" s="589"/>
      <c r="C7" s="590"/>
      <c r="S7" s="589"/>
      <c r="AC7" s="587" t="s">
        <v>332</v>
      </c>
      <c r="AD7" s="705">
        <v>7.1999999999999995E-2</v>
      </c>
    </row>
    <row r="8" spans="2:30" ht="13.5" thickBot="1">
      <c r="B8" s="589"/>
      <c r="D8" s="591">
        <v>6.2100000000000002E-2</v>
      </c>
      <c r="E8" s="703">
        <f>AD2</f>
        <v>0.435</v>
      </c>
      <c r="F8" s="704">
        <f>AD3</f>
        <v>0.129</v>
      </c>
      <c r="G8" s="704">
        <v>0</v>
      </c>
      <c r="H8" s="704">
        <v>0</v>
      </c>
      <c r="I8" s="704">
        <f>AD4</f>
        <v>9.9000000000000005E-2</v>
      </c>
      <c r="J8" s="704">
        <f>AD5</f>
        <v>2.7E-2</v>
      </c>
      <c r="K8" s="704">
        <f>AD6</f>
        <v>8.9999999999999993E-3</v>
      </c>
      <c r="L8" s="704">
        <f>AD7</f>
        <v>7.1999999999999995E-2</v>
      </c>
      <c r="M8" s="704">
        <f>AD8</f>
        <v>3.3000000000000002E-2</v>
      </c>
      <c r="N8" s="704">
        <f>AD9</f>
        <v>0.04</v>
      </c>
      <c r="O8" s="704">
        <f>AD10</f>
        <v>0.156</v>
      </c>
      <c r="P8" s="592">
        <f>SUM(E8:O8)</f>
        <v>1</v>
      </c>
      <c r="S8" s="589"/>
      <c r="T8" s="589"/>
      <c r="AC8" s="587" t="s">
        <v>231</v>
      </c>
      <c r="AD8" s="705">
        <v>3.3000000000000002E-2</v>
      </c>
    </row>
    <row r="9" spans="2:30" ht="13.5" thickBot="1">
      <c r="B9" s="593"/>
      <c r="C9" s="594"/>
      <c r="D9" s="595"/>
      <c r="E9" s="818" t="s">
        <v>41</v>
      </c>
      <c r="F9" s="819"/>
      <c r="G9" s="819"/>
      <c r="H9" s="819"/>
      <c r="I9" s="819"/>
      <c r="J9" s="819"/>
      <c r="K9" s="819"/>
      <c r="L9" s="819"/>
      <c r="M9" s="819"/>
      <c r="N9" s="819"/>
      <c r="O9" s="819"/>
      <c r="P9" s="596"/>
      <c r="AC9" s="587" t="s">
        <v>232</v>
      </c>
      <c r="AD9" s="705">
        <v>0.04</v>
      </c>
    </row>
    <row r="10" spans="2:30" ht="21.75" customHeight="1" thickBot="1">
      <c r="B10" s="820" t="s">
        <v>1</v>
      </c>
      <c r="C10" s="820" t="s">
        <v>33</v>
      </c>
      <c r="D10" s="820" t="s">
        <v>40</v>
      </c>
      <c r="E10" s="820" t="s">
        <v>228</v>
      </c>
      <c r="F10" s="820" t="s">
        <v>271</v>
      </c>
      <c r="G10" s="810" t="s">
        <v>267</v>
      </c>
      <c r="H10" s="820" t="s">
        <v>270</v>
      </c>
      <c r="I10" s="810" t="s">
        <v>2</v>
      </c>
      <c r="J10" s="820" t="s">
        <v>16</v>
      </c>
      <c r="K10" s="810" t="s">
        <v>229</v>
      </c>
      <c r="L10" s="807" t="s">
        <v>273</v>
      </c>
      <c r="M10" s="808"/>
      <c r="N10" s="808"/>
      <c r="O10" s="809"/>
      <c r="P10" s="820" t="s">
        <v>27</v>
      </c>
      <c r="AC10" s="587" t="s">
        <v>233</v>
      </c>
      <c r="AD10" s="705">
        <v>0.156</v>
      </c>
    </row>
    <row r="11" spans="2:30" s="598" customFormat="1" ht="42" customHeight="1" thickBot="1">
      <c r="B11" s="821"/>
      <c r="C11" s="821"/>
      <c r="D11" s="821"/>
      <c r="E11" s="821"/>
      <c r="F11" s="821"/>
      <c r="G11" s="812"/>
      <c r="H11" s="821"/>
      <c r="I11" s="812"/>
      <c r="J11" s="821"/>
      <c r="K11" s="812"/>
      <c r="L11" s="597" t="s">
        <v>230</v>
      </c>
      <c r="M11" s="597" t="s">
        <v>231</v>
      </c>
      <c r="N11" s="597" t="s">
        <v>232</v>
      </c>
      <c r="O11" s="597" t="s">
        <v>233</v>
      </c>
      <c r="P11" s="821"/>
      <c r="S11" s="365" t="s">
        <v>1</v>
      </c>
      <c r="T11" s="369" t="s">
        <v>302</v>
      </c>
      <c r="U11" s="365" t="s">
        <v>303</v>
      </c>
      <c r="V11" s="369" t="s">
        <v>304</v>
      </c>
      <c r="W11" s="365" t="s">
        <v>40</v>
      </c>
      <c r="X11" s="369" t="s">
        <v>305</v>
      </c>
    </row>
    <row r="12" spans="2:30" s="605" customFormat="1" ht="26.25" thickBot="1">
      <c r="B12" s="599"/>
      <c r="C12" s="600" t="s">
        <v>15</v>
      </c>
      <c r="D12" s="600" t="s">
        <v>24</v>
      </c>
      <c r="E12" s="601" t="s">
        <v>24</v>
      </c>
      <c r="F12" s="602" t="s">
        <v>24</v>
      </c>
      <c r="G12" s="602" t="s">
        <v>24</v>
      </c>
      <c r="H12" s="602" t="s">
        <v>24</v>
      </c>
      <c r="I12" s="602" t="s">
        <v>24</v>
      </c>
      <c r="J12" s="602" t="s">
        <v>24</v>
      </c>
      <c r="K12" s="602" t="s">
        <v>24</v>
      </c>
      <c r="L12" s="602" t="s">
        <v>24</v>
      </c>
      <c r="M12" s="602" t="s">
        <v>24</v>
      </c>
      <c r="N12" s="602" t="s">
        <v>24</v>
      </c>
      <c r="O12" s="603" t="s">
        <v>24</v>
      </c>
      <c r="P12" s="604" t="s">
        <v>39</v>
      </c>
      <c r="S12" s="606"/>
      <c r="T12" s="607" t="s">
        <v>306</v>
      </c>
      <c r="U12" s="606" t="s">
        <v>307</v>
      </c>
      <c r="V12" s="607" t="s">
        <v>15</v>
      </c>
      <c r="W12" s="608" t="s">
        <v>24</v>
      </c>
      <c r="X12" s="607" t="s">
        <v>15</v>
      </c>
    </row>
    <row r="13" spans="2:30">
      <c r="B13" s="609">
        <f>year</f>
        <v>2000</v>
      </c>
      <c r="C13" s="610">
        <f>'[2]Fraksi pengelolaan sampah BaU'!C30</f>
        <v>0</v>
      </c>
      <c r="D13" s="611">
        <v>1</v>
      </c>
      <c r="E13" s="612">
        <f t="shared" ref="E13:O28" si="0">E$8</f>
        <v>0.435</v>
      </c>
      <c r="F13" s="612">
        <f t="shared" si="0"/>
        <v>0.129</v>
      </c>
      <c r="G13" s="612">
        <f t="shared" si="0"/>
        <v>0</v>
      </c>
      <c r="H13" s="612">
        <f t="shared" si="0"/>
        <v>0</v>
      </c>
      <c r="I13" s="612">
        <f t="shared" si="0"/>
        <v>9.9000000000000005E-2</v>
      </c>
      <c r="J13" s="612">
        <f t="shared" si="0"/>
        <v>2.7E-2</v>
      </c>
      <c r="K13" s="612">
        <f t="shared" si="0"/>
        <v>8.9999999999999993E-3</v>
      </c>
      <c r="L13" s="612">
        <f t="shared" si="0"/>
        <v>7.1999999999999995E-2</v>
      </c>
      <c r="M13" s="612">
        <f t="shared" si="0"/>
        <v>3.3000000000000002E-2</v>
      </c>
      <c r="N13" s="612">
        <f t="shared" si="0"/>
        <v>0.04</v>
      </c>
      <c r="O13" s="612">
        <f t="shared" si="0"/>
        <v>0.156</v>
      </c>
      <c r="P13" s="613">
        <f t="shared" ref="P13:P44" si="1">SUM(E13:O13)</f>
        <v>1</v>
      </c>
      <c r="S13" s="609">
        <f>year</f>
        <v>2000</v>
      </c>
      <c r="T13" s="614">
        <v>0</v>
      </c>
      <c r="U13" s="614">
        <v>5</v>
      </c>
      <c r="V13" s="615">
        <f>T13*U13</f>
        <v>0</v>
      </c>
      <c r="W13" s="616">
        <v>1</v>
      </c>
      <c r="X13" s="617">
        <f t="shared" ref="X13:X44" si="2">V13*W13</f>
        <v>0</v>
      </c>
    </row>
    <row r="14" spans="2:30">
      <c r="B14" s="618">
        <f t="shared" ref="B14:B45" si="3">B13+1</f>
        <v>2001</v>
      </c>
      <c r="C14" s="610">
        <f>'[2]Fraksi pengelolaan sampah BaU'!C31</f>
        <v>0</v>
      </c>
      <c r="D14" s="611">
        <v>1</v>
      </c>
      <c r="E14" s="612">
        <f t="shared" si="0"/>
        <v>0.435</v>
      </c>
      <c r="F14" s="612">
        <f t="shared" si="0"/>
        <v>0.129</v>
      </c>
      <c r="G14" s="612">
        <f t="shared" si="0"/>
        <v>0</v>
      </c>
      <c r="H14" s="612">
        <f t="shared" si="0"/>
        <v>0</v>
      </c>
      <c r="I14" s="612">
        <f t="shared" si="0"/>
        <v>9.9000000000000005E-2</v>
      </c>
      <c r="J14" s="612">
        <f t="shared" si="0"/>
        <v>2.7E-2</v>
      </c>
      <c r="K14" s="612">
        <f t="shared" si="0"/>
        <v>8.9999999999999993E-3</v>
      </c>
      <c r="L14" s="612">
        <f t="shared" si="0"/>
        <v>7.1999999999999995E-2</v>
      </c>
      <c r="M14" s="612">
        <f t="shared" si="0"/>
        <v>3.3000000000000002E-2</v>
      </c>
      <c r="N14" s="612">
        <f t="shared" si="0"/>
        <v>0.04</v>
      </c>
      <c r="O14" s="612">
        <f t="shared" si="0"/>
        <v>0.156</v>
      </c>
      <c r="P14" s="619">
        <f t="shared" si="1"/>
        <v>1</v>
      </c>
      <c r="S14" s="618">
        <f t="shared" ref="S14:S77" si="4">S13+1</f>
        <v>2001</v>
      </c>
      <c r="T14" s="620">
        <v>0</v>
      </c>
      <c r="U14" s="620">
        <v>5</v>
      </c>
      <c r="V14" s="621">
        <f>T14*U14</f>
        <v>0</v>
      </c>
      <c r="W14" s="622">
        <v>1</v>
      </c>
      <c r="X14" s="623">
        <f t="shared" si="2"/>
        <v>0</v>
      </c>
    </row>
    <row r="15" spans="2:30">
      <c r="B15" s="618">
        <f t="shared" si="3"/>
        <v>2002</v>
      </c>
      <c r="C15" s="610">
        <f>'[2]Fraksi pengelolaan sampah BaU'!C32</f>
        <v>6.8882854919999996</v>
      </c>
      <c r="D15" s="611">
        <v>1</v>
      </c>
      <c r="E15" s="612">
        <f t="shared" si="0"/>
        <v>0.435</v>
      </c>
      <c r="F15" s="612">
        <f t="shared" si="0"/>
        <v>0.129</v>
      </c>
      <c r="G15" s="612">
        <f t="shared" si="0"/>
        <v>0</v>
      </c>
      <c r="H15" s="612">
        <f t="shared" si="0"/>
        <v>0</v>
      </c>
      <c r="I15" s="612">
        <f t="shared" si="0"/>
        <v>9.9000000000000005E-2</v>
      </c>
      <c r="J15" s="612">
        <f t="shared" si="0"/>
        <v>2.7E-2</v>
      </c>
      <c r="K15" s="612">
        <f t="shared" si="0"/>
        <v>8.9999999999999993E-3</v>
      </c>
      <c r="L15" s="612">
        <f t="shared" si="0"/>
        <v>7.1999999999999995E-2</v>
      </c>
      <c r="M15" s="612">
        <f t="shared" si="0"/>
        <v>3.3000000000000002E-2</v>
      </c>
      <c r="N15" s="612">
        <f t="shared" si="0"/>
        <v>0.04</v>
      </c>
      <c r="O15" s="612">
        <f t="shared" si="0"/>
        <v>0.156</v>
      </c>
      <c r="P15" s="619">
        <f t="shared" si="1"/>
        <v>1</v>
      </c>
      <c r="S15" s="618">
        <f t="shared" si="4"/>
        <v>2002</v>
      </c>
      <c r="T15" s="620">
        <v>0</v>
      </c>
      <c r="U15" s="620">
        <v>5</v>
      </c>
      <c r="V15" s="621">
        <f t="shared" ref="V15:V78" si="5">T15*U15</f>
        <v>0</v>
      </c>
      <c r="W15" s="622">
        <v>1</v>
      </c>
      <c r="X15" s="623">
        <f t="shared" si="2"/>
        <v>0</v>
      </c>
    </row>
    <row r="16" spans="2:30">
      <c r="B16" s="618">
        <f t="shared" si="3"/>
        <v>2003</v>
      </c>
      <c r="C16" s="610">
        <f>'[2]Fraksi pengelolaan sampah BaU'!C33</f>
        <v>7.0063953960000003</v>
      </c>
      <c r="D16" s="611">
        <v>1</v>
      </c>
      <c r="E16" s="612">
        <f t="shared" si="0"/>
        <v>0.435</v>
      </c>
      <c r="F16" s="612">
        <f t="shared" si="0"/>
        <v>0.129</v>
      </c>
      <c r="G16" s="612">
        <f t="shared" si="0"/>
        <v>0</v>
      </c>
      <c r="H16" s="612">
        <f t="shared" si="0"/>
        <v>0</v>
      </c>
      <c r="I16" s="612">
        <f t="shared" si="0"/>
        <v>9.9000000000000005E-2</v>
      </c>
      <c r="J16" s="612">
        <f t="shared" si="0"/>
        <v>2.7E-2</v>
      </c>
      <c r="K16" s="612">
        <f t="shared" si="0"/>
        <v>8.9999999999999993E-3</v>
      </c>
      <c r="L16" s="612">
        <f t="shared" si="0"/>
        <v>7.1999999999999995E-2</v>
      </c>
      <c r="M16" s="612">
        <f t="shared" si="0"/>
        <v>3.3000000000000002E-2</v>
      </c>
      <c r="N16" s="612">
        <f t="shared" si="0"/>
        <v>0.04</v>
      </c>
      <c r="O16" s="612">
        <f t="shared" si="0"/>
        <v>0.156</v>
      </c>
      <c r="P16" s="619">
        <f t="shared" si="1"/>
        <v>1</v>
      </c>
      <c r="S16" s="618">
        <f t="shared" si="4"/>
        <v>2003</v>
      </c>
      <c r="T16" s="620">
        <v>0</v>
      </c>
      <c r="U16" s="620">
        <v>5</v>
      </c>
      <c r="V16" s="621">
        <f t="shared" si="5"/>
        <v>0</v>
      </c>
      <c r="W16" s="622">
        <v>1</v>
      </c>
      <c r="X16" s="623">
        <f t="shared" si="2"/>
        <v>0</v>
      </c>
    </row>
    <row r="17" spans="2:24">
      <c r="B17" s="618">
        <f t="shared" si="3"/>
        <v>2004</v>
      </c>
      <c r="C17" s="610">
        <f>'[2]Fraksi pengelolaan sampah BaU'!C34</f>
        <v>7.2874920359999997</v>
      </c>
      <c r="D17" s="611">
        <v>1</v>
      </c>
      <c r="E17" s="612">
        <f t="shared" si="0"/>
        <v>0.435</v>
      </c>
      <c r="F17" s="612">
        <f t="shared" si="0"/>
        <v>0.129</v>
      </c>
      <c r="G17" s="612">
        <f t="shared" si="0"/>
        <v>0</v>
      </c>
      <c r="H17" s="612">
        <f t="shared" si="0"/>
        <v>0</v>
      </c>
      <c r="I17" s="612">
        <f t="shared" si="0"/>
        <v>9.9000000000000005E-2</v>
      </c>
      <c r="J17" s="612">
        <f t="shared" si="0"/>
        <v>2.7E-2</v>
      </c>
      <c r="K17" s="612">
        <f t="shared" si="0"/>
        <v>8.9999999999999993E-3</v>
      </c>
      <c r="L17" s="612">
        <f t="shared" si="0"/>
        <v>7.1999999999999995E-2</v>
      </c>
      <c r="M17" s="612">
        <f t="shared" si="0"/>
        <v>3.3000000000000002E-2</v>
      </c>
      <c r="N17" s="612">
        <f t="shared" si="0"/>
        <v>0.04</v>
      </c>
      <c r="O17" s="612">
        <f t="shared" si="0"/>
        <v>0.156</v>
      </c>
      <c r="P17" s="619">
        <f t="shared" si="1"/>
        <v>1</v>
      </c>
      <c r="S17" s="618">
        <f t="shared" si="4"/>
        <v>2004</v>
      </c>
      <c r="T17" s="620">
        <v>0</v>
      </c>
      <c r="U17" s="620">
        <v>5</v>
      </c>
      <c r="V17" s="621">
        <f t="shared" si="5"/>
        <v>0</v>
      </c>
      <c r="W17" s="622">
        <v>1</v>
      </c>
      <c r="X17" s="623">
        <f t="shared" si="2"/>
        <v>0</v>
      </c>
    </row>
    <row r="18" spans="2:24">
      <c r="B18" s="618">
        <f t="shared" si="3"/>
        <v>2005</v>
      </c>
      <c r="C18" s="610">
        <f>'[2]Fraksi pengelolaan sampah BaU'!C35</f>
        <v>7.549479036000001</v>
      </c>
      <c r="D18" s="611">
        <v>1</v>
      </c>
      <c r="E18" s="612">
        <f t="shared" si="0"/>
        <v>0.435</v>
      </c>
      <c r="F18" s="612">
        <f t="shared" si="0"/>
        <v>0.129</v>
      </c>
      <c r="G18" s="612">
        <f t="shared" si="0"/>
        <v>0</v>
      </c>
      <c r="H18" s="612">
        <f t="shared" si="0"/>
        <v>0</v>
      </c>
      <c r="I18" s="612">
        <f t="shared" si="0"/>
        <v>9.9000000000000005E-2</v>
      </c>
      <c r="J18" s="612">
        <f t="shared" si="0"/>
        <v>2.7E-2</v>
      </c>
      <c r="K18" s="612">
        <f t="shared" si="0"/>
        <v>8.9999999999999993E-3</v>
      </c>
      <c r="L18" s="612">
        <f t="shared" si="0"/>
        <v>7.1999999999999995E-2</v>
      </c>
      <c r="M18" s="612">
        <f t="shared" si="0"/>
        <v>3.3000000000000002E-2</v>
      </c>
      <c r="N18" s="612">
        <f t="shared" si="0"/>
        <v>0.04</v>
      </c>
      <c r="O18" s="612">
        <f t="shared" si="0"/>
        <v>0.156</v>
      </c>
      <c r="P18" s="619">
        <f t="shared" si="1"/>
        <v>1</v>
      </c>
      <c r="S18" s="618">
        <f t="shared" si="4"/>
        <v>2005</v>
      </c>
      <c r="T18" s="620">
        <v>0</v>
      </c>
      <c r="U18" s="620">
        <v>5</v>
      </c>
      <c r="V18" s="621">
        <f t="shared" si="5"/>
        <v>0</v>
      </c>
      <c r="W18" s="622">
        <v>1</v>
      </c>
      <c r="X18" s="623">
        <f t="shared" si="2"/>
        <v>0</v>
      </c>
    </row>
    <row r="19" spans="2:24">
      <c r="B19" s="618">
        <f t="shared" si="3"/>
        <v>2006</v>
      </c>
      <c r="C19" s="610">
        <f>'[2]Fraksi pengelolaan sampah BaU'!C36</f>
        <v>7.631958708</v>
      </c>
      <c r="D19" s="611">
        <v>1</v>
      </c>
      <c r="E19" s="612">
        <f t="shared" si="0"/>
        <v>0.435</v>
      </c>
      <c r="F19" s="612">
        <f t="shared" si="0"/>
        <v>0.129</v>
      </c>
      <c r="G19" s="612">
        <f t="shared" si="0"/>
        <v>0</v>
      </c>
      <c r="H19" s="612">
        <f t="shared" si="0"/>
        <v>0</v>
      </c>
      <c r="I19" s="612">
        <f t="shared" si="0"/>
        <v>9.9000000000000005E-2</v>
      </c>
      <c r="J19" s="612">
        <f t="shared" si="0"/>
        <v>2.7E-2</v>
      </c>
      <c r="K19" s="612">
        <f t="shared" si="0"/>
        <v>8.9999999999999993E-3</v>
      </c>
      <c r="L19" s="612">
        <f t="shared" si="0"/>
        <v>7.1999999999999995E-2</v>
      </c>
      <c r="M19" s="612">
        <f t="shared" si="0"/>
        <v>3.3000000000000002E-2</v>
      </c>
      <c r="N19" s="612">
        <f t="shared" si="0"/>
        <v>0.04</v>
      </c>
      <c r="O19" s="612">
        <f t="shared" si="0"/>
        <v>0.156</v>
      </c>
      <c r="P19" s="619">
        <f t="shared" si="1"/>
        <v>1</v>
      </c>
      <c r="S19" s="618">
        <f t="shared" si="4"/>
        <v>2006</v>
      </c>
      <c r="T19" s="620">
        <v>0</v>
      </c>
      <c r="U19" s="620">
        <v>5</v>
      </c>
      <c r="V19" s="621">
        <f t="shared" si="5"/>
        <v>0</v>
      </c>
      <c r="W19" s="622">
        <v>1</v>
      </c>
      <c r="X19" s="623">
        <f t="shared" si="2"/>
        <v>0</v>
      </c>
    </row>
    <row r="20" spans="2:24">
      <c r="B20" s="618">
        <f t="shared" si="3"/>
        <v>2007</v>
      </c>
      <c r="C20" s="610">
        <f>'[2]Fraksi pengelolaan sampah BaU'!C37</f>
        <v>7.7120342639999997</v>
      </c>
      <c r="D20" s="611">
        <v>1</v>
      </c>
      <c r="E20" s="612">
        <f t="shared" si="0"/>
        <v>0.435</v>
      </c>
      <c r="F20" s="612">
        <f t="shared" si="0"/>
        <v>0.129</v>
      </c>
      <c r="G20" s="612">
        <f t="shared" si="0"/>
        <v>0</v>
      </c>
      <c r="H20" s="612">
        <f t="shared" si="0"/>
        <v>0</v>
      </c>
      <c r="I20" s="612">
        <f t="shared" si="0"/>
        <v>9.9000000000000005E-2</v>
      </c>
      <c r="J20" s="612">
        <f t="shared" si="0"/>
        <v>2.7E-2</v>
      </c>
      <c r="K20" s="612">
        <f t="shared" si="0"/>
        <v>8.9999999999999993E-3</v>
      </c>
      <c r="L20" s="612">
        <f t="shared" si="0"/>
        <v>7.1999999999999995E-2</v>
      </c>
      <c r="M20" s="612">
        <f t="shared" si="0"/>
        <v>3.3000000000000002E-2</v>
      </c>
      <c r="N20" s="612">
        <f t="shared" si="0"/>
        <v>0.04</v>
      </c>
      <c r="O20" s="612">
        <f t="shared" si="0"/>
        <v>0.156</v>
      </c>
      <c r="P20" s="619">
        <f t="shared" si="1"/>
        <v>1</v>
      </c>
      <c r="S20" s="618">
        <f t="shared" si="4"/>
        <v>2007</v>
      </c>
      <c r="T20" s="620">
        <v>0</v>
      </c>
      <c r="U20" s="620">
        <v>5</v>
      </c>
      <c r="V20" s="621">
        <f t="shared" si="5"/>
        <v>0</v>
      </c>
      <c r="W20" s="622">
        <v>1</v>
      </c>
      <c r="X20" s="623">
        <f t="shared" si="2"/>
        <v>0</v>
      </c>
    </row>
    <row r="21" spans="2:24">
      <c r="B21" s="618">
        <f t="shared" si="3"/>
        <v>2008</v>
      </c>
      <c r="C21" s="610">
        <f>'[2]Fraksi pengelolaan sampah BaU'!C38</f>
        <v>7.7889659760000001</v>
      </c>
      <c r="D21" s="611">
        <v>1</v>
      </c>
      <c r="E21" s="612">
        <f t="shared" si="0"/>
        <v>0.435</v>
      </c>
      <c r="F21" s="612">
        <f t="shared" si="0"/>
        <v>0.129</v>
      </c>
      <c r="G21" s="612">
        <f t="shared" si="0"/>
        <v>0</v>
      </c>
      <c r="H21" s="612">
        <f t="shared" si="0"/>
        <v>0</v>
      </c>
      <c r="I21" s="612">
        <f t="shared" si="0"/>
        <v>9.9000000000000005E-2</v>
      </c>
      <c r="J21" s="612">
        <f t="shared" si="0"/>
        <v>2.7E-2</v>
      </c>
      <c r="K21" s="612">
        <f t="shared" si="0"/>
        <v>8.9999999999999993E-3</v>
      </c>
      <c r="L21" s="612">
        <f t="shared" si="0"/>
        <v>7.1999999999999995E-2</v>
      </c>
      <c r="M21" s="612">
        <f t="shared" si="0"/>
        <v>3.3000000000000002E-2</v>
      </c>
      <c r="N21" s="612">
        <f t="shared" si="0"/>
        <v>0.04</v>
      </c>
      <c r="O21" s="612">
        <f t="shared" si="0"/>
        <v>0.156</v>
      </c>
      <c r="P21" s="619">
        <f t="shared" si="1"/>
        <v>1</v>
      </c>
      <c r="S21" s="618">
        <f t="shared" si="4"/>
        <v>2008</v>
      </c>
      <c r="T21" s="620">
        <v>0</v>
      </c>
      <c r="U21" s="620">
        <v>5</v>
      </c>
      <c r="V21" s="621">
        <f t="shared" si="5"/>
        <v>0</v>
      </c>
      <c r="W21" s="622">
        <v>1</v>
      </c>
      <c r="X21" s="623">
        <f t="shared" si="2"/>
        <v>0</v>
      </c>
    </row>
    <row r="22" spans="2:24">
      <c r="B22" s="618">
        <f t="shared" si="3"/>
        <v>2009</v>
      </c>
      <c r="C22" s="610">
        <f>'[2]Fraksi pengelolaan sampah BaU'!C39</f>
        <v>7.861582608</v>
      </c>
      <c r="D22" s="611">
        <v>1</v>
      </c>
      <c r="E22" s="612">
        <f t="shared" si="0"/>
        <v>0.435</v>
      </c>
      <c r="F22" s="612">
        <f t="shared" si="0"/>
        <v>0.129</v>
      </c>
      <c r="G22" s="612">
        <f t="shared" si="0"/>
        <v>0</v>
      </c>
      <c r="H22" s="612">
        <f t="shared" si="0"/>
        <v>0</v>
      </c>
      <c r="I22" s="612">
        <f t="shared" si="0"/>
        <v>9.9000000000000005E-2</v>
      </c>
      <c r="J22" s="612">
        <f t="shared" si="0"/>
        <v>2.7E-2</v>
      </c>
      <c r="K22" s="612">
        <f t="shared" si="0"/>
        <v>8.9999999999999993E-3</v>
      </c>
      <c r="L22" s="612">
        <f t="shared" si="0"/>
        <v>7.1999999999999995E-2</v>
      </c>
      <c r="M22" s="612">
        <f t="shared" si="0"/>
        <v>3.3000000000000002E-2</v>
      </c>
      <c r="N22" s="612">
        <f t="shared" si="0"/>
        <v>0.04</v>
      </c>
      <c r="O22" s="612">
        <f t="shared" si="0"/>
        <v>0.156</v>
      </c>
      <c r="P22" s="619">
        <f t="shared" si="1"/>
        <v>1</v>
      </c>
      <c r="S22" s="618">
        <f t="shared" si="4"/>
        <v>2009</v>
      </c>
      <c r="T22" s="620">
        <v>0</v>
      </c>
      <c r="U22" s="620">
        <v>5</v>
      </c>
      <c r="V22" s="621">
        <f t="shared" si="5"/>
        <v>0</v>
      </c>
      <c r="W22" s="622">
        <v>1</v>
      </c>
      <c r="X22" s="623">
        <f t="shared" si="2"/>
        <v>0</v>
      </c>
    </row>
    <row r="23" spans="2:24">
      <c r="B23" s="618">
        <f t="shared" si="3"/>
        <v>2010</v>
      </c>
      <c r="C23" s="610">
        <f>'[2]Fraksi pengelolaan sampah BaU'!C40</f>
        <v>8.8102837679999997</v>
      </c>
      <c r="D23" s="611">
        <v>1</v>
      </c>
      <c r="E23" s="612">
        <f t="shared" ref="E23:O38" si="6">E$8</f>
        <v>0.435</v>
      </c>
      <c r="F23" s="612">
        <f t="shared" si="6"/>
        <v>0.129</v>
      </c>
      <c r="G23" s="612">
        <f t="shared" si="0"/>
        <v>0</v>
      </c>
      <c r="H23" s="612">
        <f t="shared" si="6"/>
        <v>0</v>
      </c>
      <c r="I23" s="612">
        <f t="shared" si="0"/>
        <v>9.9000000000000005E-2</v>
      </c>
      <c r="J23" s="612">
        <f t="shared" si="6"/>
        <v>2.7E-2</v>
      </c>
      <c r="K23" s="612">
        <f t="shared" si="6"/>
        <v>8.9999999999999993E-3</v>
      </c>
      <c r="L23" s="612">
        <f t="shared" si="6"/>
        <v>7.1999999999999995E-2</v>
      </c>
      <c r="M23" s="612">
        <f t="shared" si="6"/>
        <v>3.3000000000000002E-2</v>
      </c>
      <c r="N23" s="612">
        <f t="shared" si="6"/>
        <v>0.04</v>
      </c>
      <c r="O23" s="612">
        <f t="shared" si="6"/>
        <v>0.156</v>
      </c>
      <c r="P23" s="619">
        <f t="shared" si="1"/>
        <v>1</v>
      </c>
      <c r="S23" s="618">
        <f t="shared" si="4"/>
        <v>2010</v>
      </c>
      <c r="T23" s="620">
        <v>0</v>
      </c>
      <c r="U23" s="620">
        <v>5</v>
      </c>
      <c r="V23" s="621">
        <f t="shared" si="5"/>
        <v>0</v>
      </c>
      <c r="W23" s="622">
        <v>1</v>
      </c>
      <c r="X23" s="623">
        <f t="shared" si="2"/>
        <v>0</v>
      </c>
    </row>
    <row r="24" spans="2:24">
      <c r="B24" s="618">
        <f t="shared" si="3"/>
        <v>2011</v>
      </c>
      <c r="C24" s="610">
        <f>'[3]Fraksi pengelolaan sampah BaU'!C29</f>
        <v>8.1806071200000012</v>
      </c>
      <c r="D24" s="611">
        <v>1</v>
      </c>
      <c r="E24" s="612">
        <f t="shared" si="6"/>
        <v>0.435</v>
      </c>
      <c r="F24" s="612">
        <f t="shared" si="6"/>
        <v>0.129</v>
      </c>
      <c r="G24" s="612">
        <f t="shared" si="0"/>
        <v>0</v>
      </c>
      <c r="H24" s="612">
        <f t="shared" si="6"/>
        <v>0</v>
      </c>
      <c r="I24" s="612">
        <f t="shared" si="0"/>
        <v>9.9000000000000005E-2</v>
      </c>
      <c r="J24" s="612">
        <f t="shared" si="6"/>
        <v>2.7E-2</v>
      </c>
      <c r="K24" s="612">
        <f t="shared" si="6"/>
        <v>8.9999999999999993E-3</v>
      </c>
      <c r="L24" s="612">
        <f t="shared" si="6"/>
        <v>7.1999999999999995E-2</v>
      </c>
      <c r="M24" s="612">
        <f t="shared" si="6"/>
        <v>3.3000000000000002E-2</v>
      </c>
      <c r="N24" s="612">
        <f t="shared" si="6"/>
        <v>0.04</v>
      </c>
      <c r="O24" s="612">
        <f t="shared" si="6"/>
        <v>0.156</v>
      </c>
      <c r="P24" s="619">
        <f t="shared" si="1"/>
        <v>1</v>
      </c>
      <c r="S24" s="618">
        <f t="shared" si="4"/>
        <v>2011</v>
      </c>
      <c r="T24" s="620">
        <v>0</v>
      </c>
      <c r="U24" s="620">
        <v>5</v>
      </c>
      <c r="V24" s="621">
        <f t="shared" si="5"/>
        <v>0</v>
      </c>
      <c r="W24" s="622">
        <v>1</v>
      </c>
      <c r="X24" s="623">
        <f t="shared" si="2"/>
        <v>0</v>
      </c>
    </row>
    <row r="25" spans="2:24">
      <c r="B25" s="618">
        <f t="shared" si="3"/>
        <v>2012</v>
      </c>
      <c r="C25" s="610">
        <f>'[3]Fraksi pengelolaan sampah BaU'!C30</f>
        <v>8.2958253600000003</v>
      </c>
      <c r="D25" s="611">
        <v>1</v>
      </c>
      <c r="E25" s="612">
        <f t="shared" si="6"/>
        <v>0.435</v>
      </c>
      <c r="F25" s="612">
        <f t="shared" si="6"/>
        <v>0.129</v>
      </c>
      <c r="G25" s="612">
        <f t="shared" si="0"/>
        <v>0</v>
      </c>
      <c r="H25" s="612">
        <f t="shared" si="6"/>
        <v>0</v>
      </c>
      <c r="I25" s="612">
        <f t="shared" si="0"/>
        <v>9.9000000000000005E-2</v>
      </c>
      <c r="J25" s="612">
        <f t="shared" si="6"/>
        <v>2.7E-2</v>
      </c>
      <c r="K25" s="612">
        <f t="shared" si="6"/>
        <v>8.9999999999999993E-3</v>
      </c>
      <c r="L25" s="612">
        <f t="shared" si="6"/>
        <v>7.1999999999999995E-2</v>
      </c>
      <c r="M25" s="612">
        <f t="shared" si="6"/>
        <v>3.3000000000000002E-2</v>
      </c>
      <c r="N25" s="612">
        <f t="shared" si="6"/>
        <v>0.04</v>
      </c>
      <c r="O25" s="612">
        <f t="shared" si="6"/>
        <v>0.156</v>
      </c>
      <c r="P25" s="619">
        <f t="shared" si="1"/>
        <v>1</v>
      </c>
      <c r="S25" s="618">
        <f t="shared" si="4"/>
        <v>2012</v>
      </c>
      <c r="T25" s="620">
        <v>0</v>
      </c>
      <c r="U25" s="620">
        <v>5</v>
      </c>
      <c r="V25" s="621">
        <f t="shared" si="5"/>
        <v>0</v>
      </c>
      <c r="W25" s="622">
        <v>1</v>
      </c>
      <c r="X25" s="623">
        <f t="shared" si="2"/>
        <v>0</v>
      </c>
    </row>
    <row r="26" spans="2:24">
      <c r="B26" s="618">
        <f t="shared" si="3"/>
        <v>2013</v>
      </c>
      <c r="C26" s="610">
        <f>'[3]Fraksi pengelolaan sampah BaU'!C31</f>
        <v>8.4174882000000011</v>
      </c>
      <c r="D26" s="611">
        <v>1</v>
      </c>
      <c r="E26" s="612">
        <f t="shared" si="6"/>
        <v>0.435</v>
      </c>
      <c r="F26" s="612">
        <f t="shared" si="6"/>
        <v>0.129</v>
      </c>
      <c r="G26" s="612">
        <f t="shared" si="0"/>
        <v>0</v>
      </c>
      <c r="H26" s="612">
        <f t="shared" si="6"/>
        <v>0</v>
      </c>
      <c r="I26" s="612">
        <f t="shared" si="0"/>
        <v>9.9000000000000005E-2</v>
      </c>
      <c r="J26" s="612">
        <f t="shared" si="6"/>
        <v>2.7E-2</v>
      </c>
      <c r="K26" s="612">
        <f t="shared" si="6"/>
        <v>8.9999999999999993E-3</v>
      </c>
      <c r="L26" s="612">
        <f t="shared" si="6"/>
        <v>7.1999999999999995E-2</v>
      </c>
      <c r="M26" s="612">
        <f t="shared" si="6"/>
        <v>3.3000000000000002E-2</v>
      </c>
      <c r="N26" s="612">
        <f t="shared" si="6"/>
        <v>0.04</v>
      </c>
      <c r="O26" s="612">
        <f t="shared" si="6"/>
        <v>0.156</v>
      </c>
      <c r="P26" s="619">
        <f t="shared" si="1"/>
        <v>1</v>
      </c>
      <c r="S26" s="618">
        <f t="shared" si="4"/>
        <v>2013</v>
      </c>
      <c r="T26" s="620">
        <v>0</v>
      </c>
      <c r="U26" s="620">
        <v>5</v>
      </c>
      <c r="V26" s="621">
        <f t="shared" si="5"/>
        <v>0</v>
      </c>
      <c r="W26" s="622">
        <v>1</v>
      </c>
      <c r="X26" s="623">
        <f t="shared" si="2"/>
        <v>0</v>
      </c>
    </row>
    <row r="27" spans="2:24">
      <c r="B27" s="618">
        <f t="shared" si="3"/>
        <v>2014</v>
      </c>
      <c r="C27" s="610">
        <f>'[3]Fraksi pengelolaan sampah BaU'!C32</f>
        <v>8.5247487600000014</v>
      </c>
      <c r="D27" s="611">
        <v>1</v>
      </c>
      <c r="E27" s="612">
        <f t="shared" si="6"/>
        <v>0.435</v>
      </c>
      <c r="F27" s="612">
        <f t="shared" si="6"/>
        <v>0.129</v>
      </c>
      <c r="G27" s="612">
        <f t="shared" si="0"/>
        <v>0</v>
      </c>
      <c r="H27" s="612">
        <f t="shared" si="6"/>
        <v>0</v>
      </c>
      <c r="I27" s="612">
        <f t="shared" si="0"/>
        <v>9.9000000000000005E-2</v>
      </c>
      <c r="J27" s="612">
        <f t="shared" si="6"/>
        <v>2.7E-2</v>
      </c>
      <c r="K27" s="612">
        <f t="shared" si="6"/>
        <v>8.9999999999999993E-3</v>
      </c>
      <c r="L27" s="612">
        <f t="shared" si="6"/>
        <v>7.1999999999999995E-2</v>
      </c>
      <c r="M27" s="612">
        <f t="shared" si="6"/>
        <v>3.3000000000000002E-2</v>
      </c>
      <c r="N27" s="612">
        <f t="shared" si="6"/>
        <v>0.04</v>
      </c>
      <c r="O27" s="612">
        <f t="shared" si="6"/>
        <v>0.156</v>
      </c>
      <c r="P27" s="619">
        <f t="shared" si="1"/>
        <v>1</v>
      </c>
      <c r="S27" s="618">
        <f t="shared" si="4"/>
        <v>2014</v>
      </c>
      <c r="T27" s="620">
        <v>0</v>
      </c>
      <c r="U27" s="620">
        <v>5</v>
      </c>
      <c r="V27" s="621">
        <f t="shared" si="5"/>
        <v>0</v>
      </c>
      <c r="W27" s="622">
        <v>1</v>
      </c>
      <c r="X27" s="623">
        <f t="shared" si="2"/>
        <v>0</v>
      </c>
    </row>
    <row r="28" spans="2:24">
      <c r="B28" s="618">
        <f t="shared" si="3"/>
        <v>2015</v>
      </c>
      <c r="C28" s="610">
        <f>'[3]Fraksi pengelolaan sampah BaU'!C33</f>
        <v>8.6433294000000007</v>
      </c>
      <c r="D28" s="611">
        <v>1</v>
      </c>
      <c r="E28" s="612">
        <f t="shared" si="6"/>
        <v>0.435</v>
      </c>
      <c r="F28" s="612">
        <f t="shared" si="6"/>
        <v>0.129</v>
      </c>
      <c r="G28" s="612">
        <f t="shared" si="0"/>
        <v>0</v>
      </c>
      <c r="H28" s="612">
        <f t="shared" si="6"/>
        <v>0</v>
      </c>
      <c r="I28" s="612">
        <f t="shared" si="0"/>
        <v>9.9000000000000005E-2</v>
      </c>
      <c r="J28" s="612">
        <f t="shared" si="6"/>
        <v>2.7E-2</v>
      </c>
      <c r="K28" s="612">
        <f t="shared" si="6"/>
        <v>8.9999999999999993E-3</v>
      </c>
      <c r="L28" s="612">
        <f t="shared" si="6"/>
        <v>7.1999999999999995E-2</v>
      </c>
      <c r="M28" s="612">
        <f t="shared" si="6"/>
        <v>3.3000000000000002E-2</v>
      </c>
      <c r="N28" s="612">
        <f t="shared" si="6"/>
        <v>0.04</v>
      </c>
      <c r="O28" s="612">
        <f t="shared" si="6"/>
        <v>0.156</v>
      </c>
      <c r="P28" s="619">
        <f t="shared" si="1"/>
        <v>1</v>
      </c>
      <c r="S28" s="618">
        <f t="shared" si="4"/>
        <v>2015</v>
      </c>
      <c r="T28" s="620">
        <v>0</v>
      </c>
      <c r="U28" s="620">
        <v>5</v>
      </c>
      <c r="V28" s="621">
        <f t="shared" si="5"/>
        <v>0</v>
      </c>
      <c r="W28" s="622">
        <v>1</v>
      </c>
      <c r="X28" s="623">
        <f t="shared" si="2"/>
        <v>0</v>
      </c>
    </row>
    <row r="29" spans="2:24">
      <c r="B29" s="618">
        <f t="shared" si="3"/>
        <v>2016</v>
      </c>
      <c r="C29" s="610">
        <f>'[3]Fraksi pengelolaan sampah BaU'!C34</f>
        <v>8.7422960400000012</v>
      </c>
      <c r="D29" s="611">
        <v>1</v>
      </c>
      <c r="E29" s="612">
        <f t="shared" si="6"/>
        <v>0.435</v>
      </c>
      <c r="F29" s="612">
        <f t="shared" si="6"/>
        <v>0.129</v>
      </c>
      <c r="G29" s="612">
        <f t="shared" si="6"/>
        <v>0</v>
      </c>
      <c r="H29" s="612">
        <f t="shared" si="6"/>
        <v>0</v>
      </c>
      <c r="I29" s="612">
        <f t="shared" si="6"/>
        <v>9.9000000000000005E-2</v>
      </c>
      <c r="J29" s="612">
        <f t="shared" si="6"/>
        <v>2.7E-2</v>
      </c>
      <c r="K29" s="612">
        <f t="shared" si="6"/>
        <v>8.9999999999999993E-3</v>
      </c>
      <c r="L29" s="612">
        <f t="shared" si="6"/>
        <v>7.1999999999999995E-2</v>
      </c>
      <c r="M29" s="612">
        <f t="shared" si="6"/>
        <v>3.3000000000000002E-2</v>
      </c>
      <c r="N29" s="612">
        <f t="shared" si="6"/>
        <v>0.04</v>
      </c>
      <c r="O29" s="612">
        <f t="shared" si="6"/>
        <v>0.156</v>
      </c>
      <c r="P29" s="619">
        <f t="shared" si="1"/>
        <v>1</v>
      </c>
      <c r="S29" s="618">
        <f t="shared" si="4"/>
        <v>2016</v>
      </c>
      <c r="T29" s="620">
        <v>0</v>
      </c>
      <c r="U29" s="620">
        <v>5</v>
      </c>
      <c r="V29" s="621">
        <f t="shared" si="5"/>
        <v>0</v>
      </c>
      <c r="W29" s="622">
        <v>1</v>
      </c>
      <c r="X29" s="623">
        <f t="shared" si="2"/>
        <v>0</v>
      </c>
    </row>
    <row r="30" spans="2:24">
      <c r="B30" s="618">
        <f t="shared" si="3"/>
        <v>2017</v>
      </c>
      <c r="C30" s="610">
        <f>'[3]Fraksi pengelolaan sampah BaU'!C35</f>
        <v>8.8691082207552014</v>
      </c>
      <c r="D30" s="611">
        <v>1</v>
      </c>
      <c r="E30" s="612">
        <f t="shared" si="6"/>
        <v>0.435</v>
      </c>
      <c r="F30" s="612">
        <f t="shared" si="6"/>
        <v>0.129</v>
      </c>
      <c r="G30" s="612">
        <f t="shared" si="6"/>
        <v>0</v>
      </c>
      <c r="H30" s="612">
        <f t="shared" si="6"/>
        <v>0</v>
      </c>
      <c r="I30" s="612">
        <f t="shared" si="6"/>
        <v>9.9000000000000005E-2</v>
      </c>
      <c r="J30" s="612">
        <f t="shared" si="6"/>
        <v>2.7E-2</v>
      </c>
      <c r="K30" s="612">
        <f t="shared" si="6"/>
        <v>8.9999999999999993E-3</v>
      </c>
      <c r="L30" s="612">
        <f t="shared" si="6"/>
        <v>7.1999999999999995E-2</v>
      </c>
      <c r="M30" s="612">
        <f t="shared" si="6"/>
        <v>3.3000000000000002E-2</v>
      </c>
      <c r="N30" s="612">
        <f t="shared" si="6"/>
        <v>0.04</v>
      </c>
      <c r="O30" s="612">
        <f t="shared" si="6"/>
        <v>0.156</v>
      </c>
      <c r="P30" s="619">
        <f t="shared" si="1"/>
        <v>1</v>
      </c>
      <c r="S30" s="618">
        <f t="shared" si="4"/>
        <v>2017</v>
      </c>
      <c r="T30" s="620">
        <v>0</v>
      </c>
      <c r="U30" s="620">
        <v>5</v>
      </c>
      <c r="V30" s="621">
        <f t="shared" si="5"/>
        <v>0</v>
      </c>
      <c r="W30" s="622">
        <v>1</v>
      </c>
      <c r="X30" s="623">
        <f t="shared" si="2"/>
        <v>0</v>
      </c>
    </row>
    <row r="31" spans="2:24">
      <c r="B31" s="618">
        <f t="shared" si="3"/>
        <v>2018</v>
      </c>
      <c r="C31" s="610">
        <f>'[3]Fraksi pengelolaan sampah BaU'!C36</f>
        <v>8.8420224111771777</v>
      </c>
      <c r="D31" s="611">
        <v>1</v>
      </c>
      <c r="E31" s="612">
        <f t="shared" si="6"/>
        <v>0.435</v>
      </c>
      <c r="F31" s="612">
        <f t="shared" si="6"/>
        <v>0.129</v>
      </c>
      <c r="G31" s="612">
        <f t="shared" si="6"/>
        <v>0</v>
      </c>
      <c r="H31" s="612">
        <f t="shared" si="6"/>
        <v>0</v>
      </c>
      <c r="I31" s="612">
        <f t="shared" si="6"/>
        <v>9.9000000000000005E-2</v>
      </c>
      <c r="J31" s="612">
        <f t="shared" si="6"/>
        <v>2.7E-2</v>
      </c>
      <c r="K31" s="612">
        <f t="shared" si="6"/>
        <v>8.9999999999999993E-3</v>
      </c>
      <c r="L31" s="612">
        <f t="shared" si="6"/>
        <v>7.1999999999999995E-2</v>
      </c>
      <c r="M31" s="612">
        <f t="shared" si="6"/>
        <v>3.3000000000000002E-2</v>
      </c>
      <c r="N31" s="612">
        <f t="shared" si="6"/>
        <v>0.04</v>
      </c>
      <c r="O31" s="612">
        <f t="shared" si="6"/>
        <v>0.156</v>
      </c>
      <c r="P31" s="619">
        <f t="shared" si="1"/>
        <v>1</v>
      </c>
      <c r="S31" s="618">
        <f t="shared" si="4"/>
        <v>2018</v>
      </c>
      <c r="T31" s="620">
        <v>0</v>
      </c>
      <c r="U31" s="620">
        <v>5</v>
      </c>
      <c r="V31" s="621">
        <f t="shared" si="5"/>
        <v>0</v>
      </c>
      <c r="W31" s="622">
        <v>1</v>
      </c>
      <c r="X31" s="623">
        <f t="shared" si="2"/>
        <v>0</v>
      </c>
    </row>
    <row r="32" spans="2:24">
      <c r="B32" s="618">
        <f t="shared" si="3"/>
        <v>2019</v>
      </c>
      <c r="C32" s="610">
        <f>'[3]Fraksi pengelolaan sampah BaU'!C37</f>
        <v>8.811202068474504</v>
      </c>
      <c r="D32" s="611">
        <v>1</v>
      </c>
      <c r="E32" s="612">
        <f t="shared" si="6"/>
        <v>0.435</v>
      </c>
      <c r="F32" s="612">
        <f t="shared" si="6"/>
        <v>0.129</v>
      </c>
      <c r="G32" s="612">
        <f t="shared" si="6"/>
        <v>0</v>
      </c>
      <c r="H32" s="612">
        <f t="shared" si="6"/>
        <v>0</v>
      </c>
      <c r="I32" s="612">
        <f t="shared" si="6"/>
        <v>9.9000000000000005E-2</v>
      </c>
      <c r="J32" s="612">
        <f t="shared" si="6"/>
        <v>2.7E-2</v>
      </c>
      <c r="K32" s="612">
        <f t="shared" si="6"/>
        <v>8.9999999999999993E-3</v>
      </c>
      <c r="L32" s="612">
        <f t="shared" si="6"/>
        <v>7.1999999999999995E-2</v>
      </c>
      <c r="M32" s="612">
        <f t="shared" si="6"/>
        <v>3.3000000000000002E-2</v>
      </c>
      <c r="N32" s="612">
        <f t="shared" si="6"/>
        <v>0.04</v>
      </c>
      <c r="O32" s="612">
        <f t="shared" si="6"/>
        <v>0.156</v>
      </c>
      <c r="P32" s="619">
        <f t="shared" si="1"/>
        <v>1</v>
      </c>
      <c r="S32" s="618">
        <f t="shared" si="4"/>
        <v>2019</v>
      </c>
      <c r="T32" s="620">
        <v>0</v>
      </c>
      <c r="U32" s="620">
        <v>5</v>
      </c>
      <c r="V32" s="621">
        <f t="shared" si="5"/>
        <v>0</v>
      </c>
      <c r="W32" s="622">
        <v>1</v>
      </c>
      <c r="X32" s="623">
        <f t="shared" si="2"/>
        <v>0</v>
      </c>
    </row>
    <row r="33" spans="2:24">
      <c r="B33" s="618">
        <f t="shared" si="3"/>
        <v>2020</v>
      </c>
      <c r="C33" s="610">
        <f>'[3]Fraksi pengelolaan sampah BaU'!C38</f>
        <v>8.7768402989098906</v>
      </c>
      <c r="D33" s="611">
        <v>1</v>
      </c>
      <c r="E33" s="612">
        <f t="shared" ref="E33:O48" si="7">E$8</f>
        <v>0.435</v>
      </c>
      <c r="F33" s="612">
        <f t="shared" si="7"/>
        <v>0.129</v>
      </c>
      <c r="G33" s="612">
        <f t="shared" si="6"/>
        <v>0</v>
      </c>
      <c r="H33" s="612">
        <f t="shared" si="7"/>
        <v>0</v>
      </c>
      <c r="I33" s="612">
        <f t="shared" si="6"/>
        <v>9.9000000000000005E-2</v>
      </c>
      <c r="J33" s="612">
        <f t="shared" si="7"/>
        <v>2.7E-2</v>
      </c>
      <c r="K33" s="612">
        <f t="shared" si="7"/>
        <v>8.9999999999999993E-3</v>
      </c>
      <c r="L33" s="612">
        <f t="shared" si="7"/>
        <v>7.1999999999999995E-2</v>
      </c>
      <c r="M33" s="612">
        <f t="shared" si="7"/>
        <v>3.3000000000000002E-2</v>
      </c>
      <c r="N33" s="612">
        <f t="shared" si="7"/>
        <v>0.04</v>
      </c>
      <c r="O33" s="612">
        <f t="shared" si="7"/>
        <v>0.156</v>
      </c>
      <c r="P33" s="619">
        <f t="shared" si="1"/>
        <v>1</v>
      </c>
      <c r="S33" s="618">
        <f t="shared" si="4"/>
        <v>2020</v>
      </c>
      <c r="T33" s="620">
        <v>0</v>
      </c>
      <c r="U33" s="620">
        <v>5</v>
      </c>
      <c r="V33" s="621">
        <f t="shared" si="5"/>
        <v>0</v>
      </c>
      <c r="W33" s="622">
        <v>1</v>
      </c>
      <c r="X33" s="623">
        <f t="shared" si="2"/>
        <v>0</v>
      </c>
    </row>
    <row r="34" spans="2:24">
      <c r="B34" s="618">
        <f t="shared" si="3"/>
        <v>2021</v>
      </c>
      <c r="C34" s="610">
        <f>'[3]Fraksi pengelolaan sampah BaU'!C39</f>
        <v>8.7391231322768856</v>
      </c>
      <c r="D34" s="611">
        <v>1</v>
      </c>
      <c r="E34" s="612">
        <f t="shared" si="7"/>
        <v>0.435</v>
      </c>
      <c r="F34" s="612">
        <f t="shared" si="7"/>
        <v>0.129</v>
      </c>
      <c r="G34" s="612">
        <f t="shared" si="6"/>
        <v>0</v>
      </c>
      <c r="H34" s="612">
        <f t="shared" si="7"/>
        <v>0</v>
      </c>
      <c r="I34" s="612">
        <f t="shared" si="6"/>
        <v>9.9000000000000005E-2</v>
      </c>
      <c r="J34" s="612">
        <f t="shared" si="7"/>
        <v>2.7E-2</v>
      </c>
      <c r="K34" s="612">
        <f t="shared" si="7"/>
        <v>8.9999999999999993E-3</v>
      </c>
      <c r="L34" s="612">
        <f t="shared" si="7"/>
        <v>7.1999999999999995E-2</v>
      </c>
      <c r="M34" s="612">
        <f t="shared" si="7"/>
        <v>3.3000000000000002E-2</v>
      </c>
      <c r="N34" s="612">
        <f t="shared" si="7"/>
        <v>0.04</v>
      </c>
      <c r="O34" s="612">
        <f t="shared" si="7"/>
        <v>0.156</v>
      </c>
      <c r="P34" s="619">
        <f t="shared" si="1"/>
        <v>1</v>
      </c>
      <c r="S34" s="618">
        <f t="shared" si="4"/>
        <v>2021</v>
      </c>
      <c r="T34" s="620">
        <v>0</v>
      </c>
      <c r="U34" s="620">
        <v>5</v>
      </c>
      <c r="V34" s="621">
        <f t="shared" si="5"/>
        <v>0</v>
      </c>
      <c r="W34" s="622">
        <v>1</v>
      </c>
      <c r="X34" s="623">
        <f t="shared" si="2"/>
        <v>0</v>
      </c>
    </row>
    <row r="35" spans="2:24">
      <c r="B35" s="618">
        <f t="shared" si="3"/>
        <v>2022</v>
      </c>
      <c r="C35" s="610">
        <f>'[3]Fraksi pengelolaan sampah BaU'!C40</f>
        <v>8.6982297493566971</v>
      </c>
      <c r="D35" s="611">
        <v>1</v>
      </c>
      <c r="E35" s="612">
        <f t="shared" si="7"/>
        <v>0.435</v>
      </c>
      <c r="F35" s="612">
        <f t="shared" si="7"/>
        <v>0.129</v>
      </c>
      <c r="G35" s="612">
        <f t="shared" si="6"/>
        <v>0</v>
      </c>
      <c r="H35" s="612">
        <f t="shared" si="7"/>
        <v>0</v>
      </c>
      <c r="I35" s="612">
        <f t="shared" si="6"/>
        <v>9.9000000000000005E-2</v>
      </c>
      <c r="J35" s="612">
        <f t="shared" si="7"/>
        <v>2.7E-2</v>
      </c>
      <c r="K35" s="612">
        <f t="shared" si="7"/>
        <v>8.9999999999999993E-3</v>
      </c>
      <c r="L35" s="612">
        <f t="shared" si="7"/>
        <v>7.1999999999999995E-2</v>
      </c>
      <c r="M35" s="612">
        <f t="shared" si="7"/>
        <v>3.3000000000000002E-2</v>
      </c>
      <c r="N35" s="612">
        <f t="shared" si="7"/>
        <v>0.04</v>
      </c>
      <c r="O35" s="612">
        <f t="shared" si="7"/>
        <v>0.156</v>
      </c>
      <c r="P35" s="619">
        <f t="shared" si="1"/>
        <v>1</v>
      </c>
      <c r="S35" s="618">
        <f t="shared" si="4"/>
        <v>2022</v>
      </c>
      <c r="T35" s="620">
        <v>0</v>
      </c>
      <c r="U35" s="620">
        <v>5</v>
      </c>
      <c r="V35" s="621">
        <f t="shared" si="5"/>
        <v>0</v>
      </c>
      <c r="W35" s="622">
        <v>1</v>
      </c>
      <c r="X35" s="623">
        <f t="shared" si="2"/>
        <v>0</v>
      </c>
    </row>
    <row r="36" spans="2:24">
      <c r="B36" s="618">
        <f t="shared" si="3"/>
        <v>2023</v>
      </c>
      <c r="C36" s="610">
        <f>'[3]Fraksi pengelolaan sampah BaU'!C41</f>
        <v>8.6543327025564611</v>
      </c>
      <c r="D36" s="611">
        <v>1</v>
      </c>
      <c r="E36" s="612">
        <f t="shared" si="7"/>
        <v>0.435</v>
      </c>
      <c r="F36" s="612">
        <f t="shared" si="7"/>
        <v>0.129</v>
      </c>
      <c r="G36" s="612">
        <f t="shared" si="6"/>
        <v>0</v>
      </c>
      <c r="H36" s="612">
        <f t="shared" si="7"/>
        <v>0</v>
      </c>
      <c r="I36" s="612">
        <f t="shared" si="6"/>
        <v>9.9000000000000005E-2</v>
      </c>
      <c r="J36" s="612">
        <f t="shared" si="7"/>
        <v>2.7E-2</v>
      </c>
      <c r="K36" s="612">
        <f t="shared" si="7"/>
        <v>8.9999999999999993E-3</v>
      </c>
      <c r="L36" s="612">
        <f t="shared" si="7"/>
        <v>7.1999999999999995E-2</v>
      </c>
      <c r="M36" s="612">
        <f t="shared" si="7"/>
        <v>3.3000000000000002E-2</v>
      </c>
      <c r="N36" s="612">
        <f t="shared" si="7"/>
        <v>0.04</v>
      </c>
      <c r="O36" s="612">
        <f t="shared" si="7"/>
        <v>0.156</v>
      </c>
      <c r="P36" s="619">
        <f t="shared" si="1"/>
        <v>1</v>
      </c>
      <c r="S36" s="618">
        <f t="shared" si="4"/>
        <v>2023</v>
      </c>
      <c r="T36" s="620">
        <v>0</v>
      </c>
      <c r="U36" s="620">
        <v>5</v>
      </c>
      <c r="V36" s="621">
        <f t="shared" si="5"/>
        <v>0</v>
      </c>
      <c r="W36" s="622">
        <v>1</v>
      </c>
      <c r="X36" s="623">
        <f t="shared" si="2"/>
        <v>0</v>
      </c>
    </row>
    <row r="37" spans="2:24">
      <c r="B37" s="618">
        <f t="shared" si="3"/>
        <v>2024</v>
      </c>
      <c r="C37" s="610">
        <f>'[3]Fraksi pengelolaan sampah BaU'!C42</f>
        <v>8.6075981299246944</v>
      </c>
      <c r="D37" s="611">
        <v>1</v>
      </c>
      <c r="E37" s="612">
        <f t="shared" si="7"/>
        <v>0.435</v>
      </c>
      <c r="F37" s="612">
        <f t="shared" si="7"/>
        <v>0.129</v>
      </c>
      <c r="G37" s="612">
        <f t="shared" si="6"/>
        <v>0</v>
      </c>
      <c r="H37" s="612">
        <f t="shared" si="7"/>
        <v>0</v>
      </c>
      <c r="I37" s="612">
        <f t="shared" si="6"/>
        <v>9.9000000000000005E-2</v>
      </c>
      <c r="J37" s="612">
        <f t="shared" si="7"/>
        <v>2.7E-2</v>
      </c>
      <c r="K37" s="612">
        <f t="shared" si="7"/>
        <v>8.9999999999999993E-3</v>
      </c>
      <c r="L37" s="612">
        <f t="shared" si="7"/>
        <v>7.1999999999999995E-2</v>
      </c>
      <c r="M37" s="612">
        <f t="shared" si="7"/>
        <v>3.3000000000000002E-2</v>
      </c>
      <c r="N37" s="612">
        <f t="shared" si="7"/>
        <v>0.04</v>
      </c>
      <c r="O37" s="612">
        <f t="shared" si="7"/>
        <v>0.156</v>
      </c>
      <c r="P37" s="619">
        <f t="shared" si="1"/>
        <v>1</v>
      </c>
      <c r="S37" s="618">
        <f t="shared" si="4"/>
        <v>2024</v>
      </c>
      <c r="T37" s="620">
        <v>0</v>
      </c>
      <c r="U37" s="620">
        <v>5</v>
      </c>
      <c r="V37" s="621">
        <f t="shared" si="5"/>
        <v>0</v>
      </c>
      <c r="W37" s="622">
        <v>1</v>
      </c>
      <c r="X37" s="623">
        <f t="shared" si="2"/>
        <v>0</v>
      </c>
    </row>
    <row r="38" spans="2:24">
      <c r="B38" s="618">
        <f t="shared" si="3"/>
        <v>2025</v>
      </c>
      <c r="C38" s="610">
        <f>'[3]Fraksi pengelolaan sampah BaU'!C43</f>
        <v>8.5581859627341608</v>
      </c>
      <c r="D38" s="611">
        <v>1</v>
      </c>
      <c r="E38" s="612">
        <f t="shared" si="7"/>
        <v>0.435</v>
      </c>
      <c r="F38" s="612">
        <f t="shared" si="7"/>
        <v>0.129</v>
      </c>
      <c r="G38" s="612">
        <f t="shared" si="6"/>
        <v>0</v>
      </c>
      <c r="H38" s="612">
        <f t="shared" si="7"/>
        <v>0</v>
      </c>
      <c r="I38" s="612">
        <f t="shared" si="6"/>
        <v>9.9000000000000005E-2</v>
      </c>
      <c r="J38" s="612">
        <f t="shared" si="7"/>
        <v>2.7E-2</v>
      </c>
      <c r="K38" s="612">
        <f t="shared" si="7"/>
        <v>8.9999999999999993E-3</v>
      </c>
      <c r="L38" s="612">
        <f t="shared" si="7"/>
        <v>7.1999999999999995E-2</v>
      </c>
      <c r="M38" s="612">
        <f t="shared" si="7"/>
        <v>3.3000000000000002E-2</v>
      </c>
      <c r="N38" s="612">
        <f t="shared" si="7"/>
        <v>0.04</v>
      </c>
      <c r="O38" s="612">
        <f t="shared" si="7"/>
        <v>0.156</v>
      </c>
      <c r="P38" s="619">
        <f t="shared" si="1"/>
        <v>1</v>
      </c>
      <c r="S38" s="618">
        <f t="shared" si="4"/>
        <v>2025</v>
      </c>
      <c r="T38" s="620">
        <v>0</v>
      </c>
      <c r="U38" s="620">
        <v>5</v>
      </c>
      <c r="V38" s="621">
        <f t="shared" si="5"/>
        <v>0</v>
      </c>
      <c r="W38" s="622">
        <v>1</v>
      </c>
      <c r="X38" s="623">
        <f t="shared" si="2"/>
        <v>0</v>
      </c>
    </row>
    <row r="39" spans="2:24">
      <c r="B39" s="618">
        <f t="shared" si="3"/>
        <v>2026</v>
      </c>
      <c r="C39" s="610">
        <f>'[3]Fraksi pengelolaan sampah BaU'!C44</f>
        <v>8.506250126817184</v>
      </c>
      <c r="D39" s="611">
        <v>1</v>
      </c>
      <c r="E39" s="612">
        <f t="shared" si="7"/>
        <v>0.435</v>
      </c>
      <c r="F39" s="612">
        <f t="shared" si="7"/>
        <v>0.129</v>
      </c>
      <c r="G39" s="612">
        <f t="shared" si="7"/>
        <v>0</v>
      </c>
      <c r="H39" s="612">
        <f t="shared" si="7"/>
        <v>0</v>
      </c>
      <c r="I39" s="612">
        <f t="shared" si="7"/>
        <v>9.9000000000000005E-2</v>
      </c>
      <c r="J39" s="612">
        <f t="shared" si="7"/>
        <v>2.7E-2</v>
      </c>
      <c r="K39" s="612">
        <f t="shared" si="7"/>
        <v>8.9999999999999993E-3</v>
      </c>
      <c r="L39" s="612">
        <f t="shared" si="7"/>
        <v>7.1999999999999995E-2</v>
      </c>
      <c r="M39" s="612">
        <f t="shared" si="7"/>
        <v>3.3000000000000002E-2</v>
      </c>
      <c r="N39" s="612">
        <f t="shared" si="7"/>
        <v>0.04</v>
      </c>
      <c r="O39" s="612">
        <f t="shared" si="7"/>
        <v>0.156</v>
      </c>
      <c r="P39" s="619">
        <f t="shared" si="1"/>
        <v>1</v>
      </c>
      <c r="S39" s="618">
        <f t="shared" si="4"/>
        <v>2026</v>
      </c>
      <c r="T39" s="620">
        <v>0</v>
      </c>
      <c r="U39" s="620">
        <v>5</v>
      </c>
      <c r="V39" s="621">
        <f t="shared" si="5"/>
        <v>0</v>
      </c>
      <c r="W39" s="622">
        <v>1</v>
      </c>
      <c r="X39" s="623">
        <f t="shared" si="2"/>
        <v>0</v>
      </c>
    </row>
    <row r="40" spans="2:24">
      <c r="B40" s="618">
        <f t="shared" si="3"/>
        <v>2027</v>
      </c>
      <c r="C40" s="610">
        <f>'[3]Fraksi pengelolaan sampah BaU'!C45</f>
        <v>8.4519387378331228</v>
      </c>
      <c r="D40" s="611">
        <v>1</v>
      </c>
      <c r="E40" s="612">
        <f t="shared" si="7"/>
        <v>0.435</v>
      </c>
      <c r="F40" s="612">
        <f t="shared" si="7"/>
        <v>0.129</v>
      </c>
      <c r="G40" s="612">
        <f t="shared" si="7"/>
        <v>0</v>
      </c>
      <c r="H40" s="612">
        <f t="shared" si="7"/>
        <v>0</v>
      </c>
      <c r="I40" s="612">
        <f t="shared" si="7"/>
        <v>9.9000000000000005E-2</v>
      </c>
      <c r="J40" s="612">
        <f t="shared" si="7"/>
        <v>2.7E-2</v>
      </c>
      <c r="K40" s="612">
        <f t="shared" si="7"/>
        <v>8.9999999999999993E-3</v>
      </c>
      <c r="L40" s="612">
        <f t="shared" si="7"/>
        <v>7.1999999999999995E-2</v>
      </c>
      <c r="M40" s="612">
        <f t="shared" si="7"/>
        <v>3.3000000000000002E-2</v>
      </c>
      <c r="N40" s="612">
        <f t="shared" si="7"/>
        <v>0.04</v>
      </c>
      <c r="O40" s="612">
        <f t="shared" si="7"/>
        <v>0.156</v>
      </c>
      <c r="P40" s="619">
        <f t="shared" si="1"/>
        <v>1</v>
      </c>
      <c r="S40" s="618">
        <f t="shared" si="4"/>
        <v>2027</v>
      </c>
      <c r="T40" s="620">
        <v>0</v>
      </c>
      <c r="U40" s="620">
        <v>5</v>
      </c>
      <c r="V40" s="621">
        <f t="shared" si="5"/>
        <v>0</v>
      </c>
      <c r="W40" s="622">
        <v>1</v>
      </c>
      <c r="X40" s="623">
        <f t="shared" si="2"/>
        <v>0</v>
      </c>
    </row>
    <row r="41" spans="2:24">
      <c r="B41" s="618">
        <f t="shared" si="3"/>
        <v>2028</v>
      </c>
      <c r="C41" s="610">
        <f>'[3]Fraksi pengelolaan sampah BaU'!C46</f>
        <v>8.3953942906428676</v>
      </c>
      <c r="D41" s="611">
        <v>1</v>
      </c>
      <c r="E41" s="612">
        <f t="shared" si="7"/>
        <v>0.435</v>
      </c>
      <c r="F41" s="612">
        <f t="shared" si="7"/>
        <v>0.129</v>
      </c>
      <c r="G41" s="612">
        <f t="shared" si="7"/>
        <v>0</v>
      </c>
      <c r="H41" s="612">
        <f t="shared" si="7"/>
        <v>0</v>
      </c>
      <c r="I41" s="612">
        <f t="shared" si="7"/>
        <v>9.9000000000000005E-2</v>
      </c>
      <c r="J41" s="612">
        <f t="shared" si="7"/>
        <v>2.7E-2</v>
      </c>
      <c r="K41" s="612">
        <f t="shared" si="7"/>
        <v>8.9999999999999993E-3</v>
      </c>
      <c r="L41" s="612">
        <f t="shared" si="7"/>
        <v>7.1999999999999995E-2</v>
      </c>
      <c r="M41" s="612">
        <f t="shared" si="7"/>
        <v>3.3000000000000002E-2</v>
      </c>
      <c r="N41" s="612">
        <f t="shared" si="7"/>
        <v>0.04</v>
      </c>
      <c r="O41" s="612">
        <f t="shared" si="7"/>
        <v>0.156</v>
      </c>
      <c r="P41" s="619">
        <f t="shared" si="1"/>
        <v>1</v>
      </c>
      <c r="S41" s="618">
        <f t="shared" si="4"/>
        <v>2028</v>
      </c>
      <c r="T41" s="620">
        <v>0</v>
      </c>
      <c r="U41" s="620">
        <v>5</v>
      </c>
      <c r="V41" s="621">
        <f t="shared" si="5"/>
        <v>0</v>
      </c>
      <c r="W41" s="622">
        <v>1</v>
      </c>
      <c r="X41" s="623">
        <f t="shared" si="2"/>
        <v>0</v>
      </c>
    </row>
    <row r="42" spans="2:24">
      <c r="B42" s="618">
        <f t="shared" si="3"/>
        <v>2029</v>
      </c>
      <c r="C42" s="610">
        <f>'[3]Fraksi pengelolaan sampah BaU'!C47</f>
        <v>8.3367538429602117</v>
      </c>
      <c r="D42" s="611">
        <v>1</v>
      </c>
      <c r="E42" s="612">
        <f t="shared" si="7"/>
        <v>0.435</v>
      </c>
      <c r="F42" s="612">
        <f t="shared" si="7"/>
        <v>0.129</v>
      </c>
      <c r="G42" s="612">
        <f t="shared" si="7"/>
        <v>0</v>
      </c>
      <c r="H42" s="612">
        <f t="shared" si="7"/>
        <v>0</v>
      </c>
      <c r="I42" s="612">
        <f t="shared" si="7"/>
        <v>9.9000000000000005E-2</v>
      </c>
      <c r="J42" s="612">
        <f t="shared" si="7"/>
        <v>2.7E-2</v>
      </c>
      <c r="K42" s="612">
        <f t="shared" si="7"/>
        <v>8.9999999999999993E-3</v>
      </c>
      <c r="L42" s="612">
        <f t="shared" si="7"/>
        <v>7.1999999999999995E-2</v>
      </c>
      <c r="M42" s="612">
        <f t="shared" si="7"/>
        <v>3.3000000000000002E-2</v>
      </c>
      <c r="N42" s="612">
        <f t="shared" si="7"/>
        <v>0.04</v>
      </c>
      <c r="O42" s="612">
        <f t="shared" si="7"/>
        <v>0.156</v>
      </c>
      <c r="P42" s="619">
        <f t="shared" si="1"/>
        <v>1</v>
      </c>
      <c r="S42" s="618">
        <f t="shared" si="4"/>
        <v>2029</v>
      </c>
      <c r="T42" s="620">
        <v>0</v>
      </c>
      <c r="U42" s="620">
        <v>5</v>
      </c>
      <c r="V42" s="621">
        <f t="shared" si="5"/>
        <v>0</v>
      </c>
      <c r="W42" s="622">
        <v>1</v>
      </c>
      <c r="X42" s="623">
        <f t="shared" si="2"/>
        <v>0</v>
      </c>
    </row>
    <row r="43" spans="2:24">
      <c r="B43" s="618">
        <f t="shared" si="3"/>
        <v>2030</v>
      </c>
      <c r="C43" s="610">
        <f>'[3]Fraksi pengelolaan sampah BaU'!C48</f>
        <v>8.276504000000001</v>
      </c>
      <c r="D43" s="611">
        <v>1</v>
      </c>
      <c r="E43" s="612">
        <f t="shared" ref="E43:O58" si="8">E$8</f>
        <v>0.435</v>
      </c>
      <c r="F43" s="612">
        <f t="shared" si="8"/>
        <v>0.129</v>
      </c>
      <c r="G43" s="612">
        <f t="shared" si="7"/>
        <v>0</v>
      </c>
      <c r="H43" s="612">
        <f t="shared" si="8"/>
        <v>0</v>
      </c>
      <c r="I43" s="612">
        <f t="shared" si="7"/>
        <v>9.9000000000000005E-2</v>
      </c>
      <c r="J43" s="612">
        <f t="shared" si="8"/>
        <v>2.7E-2</v>
      </c>
      <c r="K43" s="612">
        <f t="shared" si="8"/>
        <v>8.9999999999999993E-3</v>
      </c>
      <c r="L43" s="612">
        <f t="shared" si="8"/>
        <v>7.1999999999999995E-2</v>
      </c>
      <c r="M43" s="612">
        <f t="shared" si="8"/>
        <v>3.3000000000000002E-2</v>
      </c>
      <c r="N43" s="612">
        <f t="shared" si="8"/>
        <v>0.04</v>
      </c>
      <c r="O43" s="612">
        <f t="shared" si="8"/>
        <v>0.156</v>
      </c>
      <c r="P43" s="619">
        <f t="shared" si="1"/>
        <v>1</v>
      </c>
      <c r="S43" s="618">
        <f t="shared" si="4"/>
        <v>2030</v>
      </c>
      <c r="T43" s="620">
        <v>0</v>
      </c>
      <c r="U43" s="620">
        <v>5</v>
      </c>
      <c r="V43" s="621">
        <f t="shared" si="5"/>
        <v>0</v>
      </c>
      <c r="W43" s="622">
        <v>1</v>
      </c>
      <c r="X43" s="623">
        <f t="shared" si="2"/>
        <v>0</v>
      </c>
    </row>
    <row r="44" spans="2:24">
      <c r="B44" s="618">
        <f t="shared" si="3"/>
        <v>2031</v>
      </c>
      <c r="C44" s="624"/>
      <c r="D44" s="611">
        <v>1</v>
      </c>
      <c r="E44" s="612">
        <f t="shared" si="8"/>
        <v>0.435</v>
      </c>
      <c r="F44" s="612">
        <f t="shared" si="8"/>
        <v>0.129</v>
      </c>
      <c r="G44" s="612">
        <f t="shared" si="7"/>
        <v>0</v>
      </c>
      <c r="H44" s="612">
        <f t="shared" si="8"/>
        <v>0</v>
      </c>
      <c r="I44" s="612">
        <f t="shared" si="7"/>
        <v>9.9000000000000005E-2</v>
      </c>
      <c r="J44" s="612">
        <f t="shared" si="8"/>
        <v>2.7E-2</v>
      </c>
      <c r="K44" s="612">
        <f t="shared" si="8"/>
        <v>8.9999999999999993E-3</v>
      </c>
      <c r="L44" s="612">
        <f t="shared" si="8"/>
        <v>7.1999999999999995E-2</v>
      </c>
      <c r="M44" s="612">
        <f t="shared" si="8"/>
        <v>3.3000000000000002E-2</v>
      </c>
      <c r="N44" s="612">
        <f t="shared" si="8"/>
        <v>0.04</v>
      </c>
      <c r="O44" s="612">
        <f t="shared" si="8"/>
        <v>0.156</v>
      </c>
      <c r="P44" s="619">
        <f t="shared" si="1"/>
        <v>1</v>
      </c>
      <c r="S44" s="618">
        <f t="shared" si="4"/>
        <v>2031</v>
      </c>
      <c r="T44" s="620">
        <v>0</v>
      </c>
      <c r="U44" s="620">
        <v>5</v>
      </c>
      <c r="V44" s="621">
        <f t="shared" si="5"/>
        <v>0</v>
      </c>
      <c r="W44" s="622">
        <v>1</v>
      </c>
      <c r="X44" s="623">
        <f t="shared" si="2"/>
        <v>0</v>
      </c>
    </row>
    <row r="45" spans="2:24">
      <c r="B45" s="618">
        <f t="shared" si="3"/>
        <v>2032</v>
      </c>
      <c r="C45" s="624"/>
      <c r="D45" s="611">
        <v>1</v>
      </c>
      <c r="E45" s="612">
        <f t="shared" si="8"/>
        <v>0.435</v>
      </c>
      <c r="F45" s="612">
        <f t="shared" si="8"/>
        <v>0.129</v>
      </c>
      <c r="G45" s="612">
        <f t="shared" si="7"/>
        <v>0</v>
      </c>
      <c r="H45" s="612">
        <f t="shared" si="8"/>
        <v>0</v>
      </c>
      <c r="I45" s="612">
        <f t="shared" si="7"/>
        <v>9.9000000000000005E-2</v>
      </c>
      <c r="J45" s="612">
        <f t="shared" si="8"/>
        <v>2.7E-2</v>
      </c>
      <c r="K45" s="612">
        <f t="shared" si="8"/>
        <v>8.9999999999999993E-3</v>
      </c>
      <c r="L45" s="612">
        <f t="shared" si="8"/>
        <v>7.1999999999999995E-2</v>
      </c>
      <c r="M45" s="612">
        <f t="shared" si="8"/>
        <v>3.3000000000000002E-2</v>
      </c>
      <c r="N45" s="612">
        <f t="shared" si="8"/>
        <v>0.04</v>
      </c>
      <c r="O45" s="612">
        <f t="shared" si="8"/>
        <v>0.156</v>
      </c>
      <c r="P45" s="619">
        <f t="shared" ref="P45:P76" si="9">SUM(E45:O45)</f>
        <v>1</v>
      </c>
      <c r="S45" s="618">
        <f t="shared" si="4"/>
        <v>2032</v>
      </c>
      <c r="T45" s="620">
        <v>0</v>
      </c>
      <c r="U45" s="620">
        <v>5</v>
      </c>
      <c r="V45" s="621">
        <f t="shared" si="5"/>
        <v>0</v>
      </c>
      <c r="W45" s="622">
        <v>1</v>
      </c>
      <c r="X45" s="623">
        <f t="shared" ref="X45:X76" si="10">V45*W45</f>
        <v>0</v>
      </c>
    </row>
    <row r="46" spans="2:24">
      <c r="B46" s="618">
        <f t="shared" ref="B46:B77" si="11">B45+1</f>
        <v>2033</v>
      </c>
      <c r="C46" s="624"/>
      <c r="D46" s="611">
        <v>1</v>
      </c>
      <c r="E46" s="612">
        <f t="shared" si="8"/>
        <v>0.435</v>
      </c>
      <c r="F46" s="612">
        <f t="shared" si="8"/>
        <v>0.129</v>
      </c>
      <c r="G46" s="612">
        <f t="shared" si="7"/>
        <v>0</v>
      </c>
      <c r="H46" s="612">
        <f t="shared" si="8"/>
        <v>0</v>
      </c>
      <c r="I46" s="612">
        <f t="shared" si="7"/>
        <v>9.9000000000000005E-2</v>
      </c>
      <c r="J46" s="612">
        <f t="shared" si="8"/>
        <v>2.7E-2</v>
      </c>
      <c r="K46" s="612">
        <f t="shared" si="8"/>
        <v>8.9999999999999993E-3</v>
      </c>
      <c r="L46" s="612">
        <f t="shared" si="8"/>
        <v>7.1999999999999995E-2</v>
      </c>
      <c r="M46" s="612">
        <f t="shared" si="8"/>
        <v>3.3000000000000002E-2</v>
      </c>
      <c r="N46" s="612">
        <f t="shared" si="8"/>
        <v>0.04</v>
      </c>
      <c r="O46" s="612">
        <f t="shared" si="8"/>
        <v>0.156</v>
      </c>
      <c r="P46" s="619">
        <f t="shared" si="9"/>
        <v>1</v>
      </c>
      <c r="S46" s="618">
        <f t="shared" si="4"/>
        <v>2033</v>
      </c>
      <c r="T46" s="620">
        <v>0</v>
      </c>
      <c r="U46" s="620">
        <v>5</v>
      </c>
      <c r="V46" s="621">
        <f t="shared" si="5"/>
        <v>0</v>
      </c>
      <c r="W46" s="622">
        <v>1</v>
      </c>
      <c r="X46" s="623">
        <f t="shared" si="10"/>
        <v>0</v>
      </c>
    </row>
    <row r="47" spans="2:24">
      <c r="B47" s="618">
        <f t="shared" si="11"/>
        <v>2034</v>
      </c>
      <c r="C47" s="624"/>
      <c r="D47" s="611">
        <v>1</v>
      </c>
      <c r="E47" s="612">
        <f t="shared" si="8"/>
        <v>0.435</v>
      </c>
      <c r="F47" s="612">
        <f t="shared" si="8"/>
        <v>0.129</v>
      </c>
      <c r="G47" s="612">
        <f t="shared" si="7"/>
        <v>0</v>
      </c>
      <c r="H47" s="612">
        <f t="shared" si="8"/>
        <v>0</v>
      </c>
      <c r="I47" s="612">
        <f t="shared" si="7"/>
        <v>9.9000000000000005E-2</v>
      </c>
      <c r="J47" s="612">
        <f t="shared" si="8"/>
        <v>2.7E-2</v>
      </c>
      <c r="K47" s="612">
        <f t="shared" si="8"/>
        <v>8.9999999999999993E-3</v>
      </c>
      <c r="L47" s="612">
        <f t="shared" si="8"/>
        <v>7.1999999999999995E-2</v>
      </c>
      <c r="M47" s="612">
        <f t="shared" si="8"/>
        <v>3.3000000000000002E-2</v>
      </c>
      <c r="N47" s="612">
        <f t="shared" si="8"/>
        <v>0.04</v>
      </c>
      <c r="O47" s="612">
        <f t="shared" si="8"/>
        <v>0.156</v>
      </c>
      <c r="P47" s="619">
        <f t="shared" si="9"/>
        <v>1</v>
      </c>
      <c r="S47" s="618">
        <f t="shared" si="4"/>
        <v>2034</v>
      </c>
      <c r="T47" s="620">
        <v>0</v>
      </c>
      <c r="U47" s="620">
        <v>5</v>
      </c>
      <c r="V47" s="621">
        <f t="shared" si="5"/>
        <v>0</v>
      </c>
      <c r="W47" s="622">
        <v>1</v>
      </c>
      <c r="X47" s="623">
        <f t="shared" si="10"/>
        <v>0</v>
      </c>
    </row>
    <row r="48" spans="2:24">
      <c r="B48" s="618">
        <f t="shared" si="11"/>
        <v>2035</v>
      </c>
      <c r="C48" s="624"/>
      <c r="D48" s="611">
        <v>1</v>
      </c>
      <c r="E48" s="612">
        <f t="shared" si="8"/>
        <v>0.435</v>
      </c>
      <c r="F48" s="612">
        <f t="shared" si="8"/>
        <v>0.129</v>
      </c>
      <c r="G48" s="612">
        <f t="shared" si="7"/>
        <v>0</v>
      </c>
      <c r="H48" s="612">
        <f t="shared" si="8"/>
        <v>0</v>
      </c>
      <c r="I48" s="612">
        <f t="shared" si="7"/>
        <v>9.9000000000000005E-2</v>
      </c>
      <c r="J48" s="612">
        <f t="shared" si="8"/>
        <v>2.7E-2</v>
      </c>
      <c r="K48" s="612">
        <f t="shared" si="8"/>
        <v>8.9999999999999993E-3</v>
      </c>
      <c r="L48" s="612">
        <f t="shared" si="8"/>
        <v>7.1999999999999995E-2</v>
      </c>
      <c r="M48" s="612">
        <f t="shared" si="8"/>
        <v>3.3000000000000002E-2</v>
      </c>
      <c r="N48" s="612">
        <f t="shared" si="8"/>
        <v>0.04</v>
      </c>
      <c r="O48" s="612">
        <f t="shared" si="8"/>
        <v>0.156</v>
      </c>
      <c r="P48" s="619">
        <f t="shared" si="9"/>
        <v>1</v>
      </c>
      <c r="S48" s="618">
        <f t="shared" si="4"/>
        <v>2035</v>
      </c>
      <c r="T48" s="620">
        <v>0</v>
      </c>
      <c r="U48" s="620">
        <v>5</v>
      </c>
      <c r="V48" s="621">
        <f t="shared" si="5"/>
        <v>0</v>
      </c>
      <c r="W48" s="622">
        <v>1</v>
      </c>
      <c r="X48" s="623">
        <f t="shared" si="10"/>
        <v>0</v>
      </c>
    </row>
    <row r="49" spans="2:24">
      <c r="B49" s="618">
        <f t="shared" si="11"/>
        <v>2036</v>
      </c>
      <c r="C49" s="624"/>
      <c r="D49" s="611">
        <v>1</v>
      </c>
      <c r="E49" s="612">
        <f t="shared" si="8"/>
        <v>0.435</v>
      </c>
      <c r="F49" s="612">
        <f t="shared" si="8"/>
        <v>0.129</v>
      </c>
      <c r="G49" s="612">
        <f t="shared" si="8"/>
        <v>0</v>
      </c>
      <c r="H49" s="612">
        <f t="shared" si="8"/>
        <v>0</v>
      </c>
      <c r="I49" s="612">
        <f t="shared" si="8"/>
        <v>9.9000000000000005E-2</v>
      </c>
      <c r="J49" s="612">
        <f t="shared" si="8"/>
        <v>2.7E-2</v>
      </c>
      <c r="K49" s="612">
        <f t="shared" si="8"/>
        <v>8.9999999999999993E-3</v>
      </c>
      <c r="L49" s="612">
        <f t="shared" si="8"/>
        <v>7.1999999999999995E-2</v>
      </c>
      <c r="M49" s="612">
        <f t="shared" si="8"/>
        <v>3.3000000000000002E-2</v>
      </c>
      <c r="N49" s="612">
        <f t="shared" si="8"/>
        <v>0.04</v>
      </c>
      <c r="O49" s="612">
        <f t="shared" si="8"/>
        <v>0.156</v>
      </c>
      <c r="P49" s="619">
        <f t="shared" si="9"/>
        <v>1</v>
      </c>
      <c r="S49" s="618">
        <f t="shared" si="4"/>
        <v>2036</v>
      </c>
      <c r="T49" s="620">
        <v>0</v>
      </c>
      <c r="U49" s="620">
        <v>5</v>
      </c>
      <c r="V49" s="621">
        <f t="shared" si="5"/>
        <v>0</v>
      </c>
      <c r="W49" s="622">
        <v>1</v>
      </c>
      <c r="X49" s="623">
        <f t="shared" si="10"/>
        <v>0</v>
      </c>
    </row>
    <row r="50" spans="2:24">
      <c r="B50" s="618">
        <f t="shared" si="11"/>
        <v>2037</v>
      </c>
      <c r="C50" s="624"/>
      <c r="D50" s="611">
        <v>1</v>
      </c>
      <c r="E50" s="612">
        <f t="shared" si="8"/>
        <v>0.435</v>
      </c>
      <c r="F50" s="612">
        <f t="shared" si="8"/>
        <v>0.129</v>
      </c>
      <c r="G50" s="612">
        <f t="shared" si="8"/>
        <v>0</v>
      </c>
      <c r="H50" s="612">
        <f t="shared" si="8"/>
        <v>0</v>
      </c>
      <c r="I50" s="612">
        <f t="shared" si="8"/>
        <v>9.9000000000000005E-2</v>
      </c>
      <c r="J50" s="612">
        <f t="shared" si="8"/>
        <v>2.7E-2</v>
      </c>
      <c r="K50" s="612">
        <f t="shared" si="8"/>
        <v>8.9999999999999993E-3</v>
      </c>
      <c r="L50" s="612">
        <f t="shared" si="8"/>
        <v>7.1999999999999995E-2</v>
      </c>
      <c r="M50" s="612">
        <f t="shared" si="8"/>
        <v>3.3000000000000002E-2</v>
      </c>
      <c r="N50" s="612">
        <f t="shared" si="8"/>
        <v>0.04</v>
      </c>
      <c r="O50" s="612">
        <f t="shared" si="8"/>
        <v>0.156</v>
      </c>
      <c r="P50" s="619">
        <f t="shared" si="9"/>
        <v>1</v>
      </c>
      <c r="S50" s="618">
        <f t="shared" si="4"/>
        <v>2037</v>
      </c>
      <c r="T50" s="620">
        <v>0</v>
      </c>
      <c r="U50" s="620">
        <v>5</v>
      </c>
      <c r="V50" s="621">
        <f t="shared" si="5"/>
        <v>0</v>
      </c>
      <c r="W50" s="622">
        <v>1</v>
      </c>
      <c r="X50" s="623">
        <f t="shared" si="10"/>
        <v>0</v>
      </c>
    </row>
    <row r="51" spans="2:24">
      <c r="B51" s="618">
        <f t="shared" si="11"/>
        <v>2038</v>
      </c>
      <c r="C51" s="624"/>
      <c r="D51" s="611">
        <v>1</v>
      </c>
      <c r="E51" s="612">
        <f t="shared" si="8"/>
        <v>0.435</v>
      </c>
      <c r="F51" s="612">
        <f t="shared" si="8"/>
        <v>0.129</v>
      </c>
      <c r="G51" s="612">
        <f t="shared" si="8"/>
        <v>0</v>
      </c>
      <c r="H51" s="612">
        <f t="shared" si="8"/>
        <v>0</v>
      </c>
      <c r="I51" s="612">
        <f t="shared" si="8"/>
        <v>9.9000000000000005E-2</v>
      </c>
      <c r="J51" s="612">
        <f t="shared" si="8"/>
        <v>2.7E-2</v>
      </c>
      <c r="K51" s="612">
        <f t="shared" si="8"/>
        <v>8.9999999999999993E-3</v>
      </c>
      <c r="L51" s="612">
        <f t="shared" si="8"/>
        <v>7.1999999999999995E-2</v>
      </c>
      <c r="M51" s="612">
        <f t="shared" si="8"/>
        <v>3.3000000000000002E-2</v>
      </c>
      <c r="N51" s="612">
        <f t="shared" si="8"/>
        <v>0.04</v>
      </c>
      <c r="O51" s="612">
        <f t="shared" si="8"/>
        <v>0.156</v>
      </c>
      <c r="P51" s="619">
        <f t="shared" si="9"/>
        <v>1</v>
      </c>
      <c r="S51" s="618">
        <f t="shared" si="4"/>
        <v>2038</v>
      </c>
      <c r="T51" s="620">
        <v>0</v>
      </c>
      <c r="U51" s="620">
        <v>5</v>
      </c>
      <c r="V51" s="621">
        <f t="shared" si="5"/>
        <v>0</v>
      </c>
      <c r="W51" s="622">
        <v>1</v>
      </c>
      <c r="X51" s="623">
        <f t="shared" si="10"/>
        <v>0</v>
      </c>
    </row>
    <row r="52" spans="2:24">
      <c r="B52" s="618">
        <f t="shared" si="11"/>
        <v>2039</v>
      </c>
      <c r="C52" s="624"/>
      <c r="D52" s="611">
        <v>1</v>
      </c>
      <c r="E52" s="612">
        <f t="shared" si="8"/>
        <v>0.435</v>
      </c>
      <c r="F52" s="612">
        <f t="shared" si="8"/>
        <v>0.129</v>
      </c>
      <c r="G52" s="612">
        <f t="shared" si="8"/>
        <v>0</v>
      </c>
      <c r="H52" s="612">
        <f t="shared" si="8"/>
        <v>0</v>
      </c>
      <c r="I52" s="612">
        <f t="shared" si="8"/>
        <v>9.9000000000000005E-2</v>
      </c>
      <c r="J52" s="612">
        <f t="shared" si="8"/>
        <v>2.7E-2</v>
      </c>
      <c r="K52" s="612">
        <f t="shared" si="8"/>
        <v>8.9999999999999993E-3</v>
      </c>
      <c r="L52" s="612">
        <f t="shared" si="8"/>
        <v>7.1999999999999995E-2</v>
      </c>
      <c r="M52" s="612">
        <f t="shared" si="8"/>
        <v>3.3000000000000002E-2</v>
      </c>
      <c r="N52" s="612">
        <f t="shared" si="8"/>
        <v>0.04</v>
      </c>
      <c r="O52" s="612">
        <f t="shared" si="8"/>
        <v>0.156</v>
      </c>
      <c r="P52" s="619">
        <f t="shared" si="9"/>
        <v>1</v>
      </c>
      <c r="S52" s="618">
        <f t="shared" si="4"/>
        <v>2039</v>
      </c>
      <c r="T52" s="620">
        <v>0</v>
      </c>
      <c r="U52" s="620">
        <v>5</v>
      </c>
      <c r="V52" s="621">
        <f t="shared" si="5"/>
        <v>0</v>
      </c>
      <c r="W52" s="622">
        <v>1</v>
      </c>
      <c r="X52" s="623">
        <f t="shared" si="10"/>
        <v>0</v>
      </c>
    </row>
    <row r="53" spans="2:24">
      <c r="B53" s="618">
        <f t="shared" si="11"/>
        <v>2040</v>
      </c>
      <c r="C53" s="624"/>
      <c r="D53" s="611">
        <v>1</v>
      </c>
      <c r="E53" s="612">
        <f t="shared" ref="E53:O68" si="12">E$8</f>
        <v>0.435</v>
      </c>
      <c r="F53" s="612">
        <f t="shared" si="12"/>
        <v>0.129</v>
      </c>
      <c r="G53" s="612">
        <f t="shared" si="8"/>
        <v>0</v>
      </c>
      <c r="H53" s="612">
        <f t="shared" si="12"/>
        <v>0</v>
      </c>
      <c r="I53" s="612">
        <f t="shared" si="8"/>
        <v>9.9000000000000005E-2</v>
      </c>
      <c r="J53" s="612">
        <f t="shared" si="12"/>
        <v>2.7E-2</v>
      </c>
      <c r="K53" s="612">
        <f t="shared" si="12"/>
        <v>8.9999999999999993E-3</v>
      </c>
      <c r="L53" s="612">
        <f t="shared" si="12"/>
        <v>7.1999999999999995E-2</v>
      </c>
      <c r="M53" s="612">
        <f t="shared" si="12"/>
        <v>3.3000000000000002E-2</v>
      </c>
      <c r="N53" s="612">
        <f t="shared" si="12"/>
        <v>0.04</v>
      </c>
      <c r="O53" s="612">
        <f t="shared" si="12"/>
        <v>0.156</v>
      </c>
      <c r="P53" s="619">
        <f t="shared" si="9"/>
        <v>1</v>
      </c>
      <c r="S53" s="618">
        <f t="shared" si="4"/>
        <v>2040</v>
      </c>
      <c r="T53" s="620">
        <v>0</v>
      </c>
      <c r="U53" s="620">
        <v>5</v>
      </c>
      <c r="V53" s="621">
        <f t="shared" si="5"/>
        <v>0</v>
      </c>
      <c r="W53" s="622">
        <v>1</v>
      </c>
      <c r="X53" s="623">
        <f t="shared" si="10"/>
        <v>0</v>
      </c>
    </row>
    <row r="54" spans="2:24">
      <c r="B54" s="618">
        <f t="shared" si="11"/>
        <v>2041</v>
      </c>
      <c r="C54" s="624"/>
      <c r="D54" s="611">
        <v>1</v>
      </c>
      <c r="E54" s="612">
        <f t="shared" si="12"/>
        <v>0.435</v>
      </c>
      <c r="F54" s="612">
        <f t="shared" si="12"/>
        <v>0.129</v>
      </c>
      <c r="G54" s="612">
        <f t="shared" si="8"/>
        <v>0</v>
      </c>
      <c r="H54" s="612">
        <f t="shared" si="12"/>
        <v>0</v>
      </c>
      <c r="I54" s="612">
        <f t="shared" si="8"/>
        <v>9.9000000000000005E-2</v>
      </c>
      <c r="J54" s="612">
        <f t="shared" si="12"/>
        <v>2.7E-2</v>
      </c>
      <c r="K54" s="612">
        <f t="shared" si="12"/>
        <v>8.9999999999999993E-3</v>
      </c>
      <c r="L54" s="612">
        <f t="shared" si="12"/>
        <v>7.1999999999999995E-2</v>
      </c>
      <c r="M54" s="612">
        <f t="shared" si="12"/>
        <v>3.3000000000000002E-2</v>
      </c>
      <c r="N54" s="612">
        <f t="shared" si="12"/>
        <v>0.04</v>
      </c>
      <c r="O54" s="612">
        <f t="shared" si="12"/>
        <v>0.156</v>
      </c>
      <c r="P54" s="619">
        <f t="shared" si="9"/>
        <v>1</v>
      </c>
      <c r="S54" s="618">
        <f t="shared" si="4"/>
        <v>2041</v>
      </c>
      <c r="T54" s="620">
        <v>0</v>
      </c>
      <c r="U54" s="620">
        <v>5</v>
      </c>
      <c r="V54" s="621">
        <f t="shared" si="5"/>
        <v>0</v>
      </c>
      <c r="W54" s="622">
        <v>1</v>
      </c>
      <c r="X54" s="623">
        <f t="shared" si="10"/>
        <v>0</v>
      </c>
    </row>
    <row r="55" spans="2:24">
      <c r="B55" s="618">
        <f t="shared" si="11"/>
        <v>2042</v>
      </c>
      <c r="C55" s="624"/>
      <c r="D55" s="611">
        <v>1</v>
      </c>
      <c r="E55" s="612">
        <f t="shared" si="12"/>
        <v>0.435</v>
      </c>
      <c r="F55" s="612">
        <f t="shared" si="12"/>
        <v>0.129</v>
      </c>
      <c r="G55" s="612">
        <f t="shared" si="8"/>
        <v>0</v>
      </c>
      <c r="H55" s="612">
        <f t="shared" si="12"/>
        <v>0</v>
      </c>
      <c r="I55" s="612">
        <f t="shared" si="8"/>
        <v>9.9000000000000005E-2</v>
      </c>
      <c r="J55" s="612">
        <f t="shared" si="12"/>
        <v>2.7E-2</v>
      </c>
      <c r="K55" s="612">
        <f t="shared" si="12"/>
        <v>8.9999999999999993E-3</v>
      </c>
      <c r="L55" s="612">
        <f t="shared" si="12"/>
        <v>7.1999999999999995E-2</v>
      </c>
      <c r="M55" s="612">
        <f t="shared" si="12"/>
        <v>3.3000000000000002E-2</v>
      </c>
      <c r="N55" s="612">
        <f t="shared" si="12"/>
        <v>0.04</v>
      </c>
      <c r="O55" s="612">
        <f t="shared" si="12"/>
        <v>0.156</v>
      </c>
      <c r="P55" s="619">
        <f t="shared" si="9"/>
        <v>1</v>
      </c>
      <c r="S55" s="618">
        <f t="shared" si="4"/>
        <v>2042</v>
      </c>
      <c r="T55" s="620">
        <v>0</v>
      </c>
      <c r="U55" s="620">
        <v>5</v>
      </c>
      <c r="V55" s="621">
        <f t="shared" si="5"/>
        <v>0</v>
      </c>
      <c r="W55" s="622">
        <v>1</v>
      </c>
      <c r="X55" s="623">
        <f t="shared" si="10"/>
        <v>0</v>
      </c>
    </row>
    <row r="56" spans="2:24">
      <c r="B56" s="618">
        <f t="shared" si="11"/>
        <v>2043</v>
      </c>
      <c r="C56" s="624"/>
      <c r="D56" s="611">
        <v>1</v>
      </c>
      <c r="E56" s="612">
        <f t="shared" si="12"/>
        <v>0.435</v>
      </c>
      <c r="F56" s="612">
        <f t="shared" si="12"/>
        <v>0.129</v>
      </c>
      <c r="G56" s="612">
        <f t="shared" si="8"/>
        <v>0</v>
      </c>
      <c r="H56" s="612">
        <f t="shared" si="12"/>
        <v>0</v>
      </c>
      <c r="I56" s="612">
        <f t="shared" si="8"/>
        <v>9.9000000000000005E-2</v>
      </c>
      <c r="J56" s="612">
        <f t="shared" si="12"/>
        <v>2.7E-2</v>
      </c>
      <c r="K56" s="612">
        <f t="shared" si="12"/>
        <v>8.9999999999999993E-3</v>
      </c>
      <c r="L56" s="612">
        <f t="shared" si="12"/>
        <v>7.1999999999999995E-2</v>
      </c>
      <c r="M56" s="612">
        <f t="shared" si="12"/>
        <v>3.3000000000000002E-2</v>
      </c>
      <c r="N56" s="612">
        <f t="shared" si="12"/>
        <v>0.04</v>
      </c>
      <c r="O56" s="612">
        <f t="shared" si="12"/>
        <v>0.156</v>
      </c>
      <c r="P56" s="619">
        <f t="shared" si="9"/>
        <v>1</v>
      </c>
      <c r="S56" s="618">
        <f t="shared" si="4"/>
        <v>2043</v>
      </c>
      <c r="T56" s="620">
        <v>0</v>
      </c>
      <c r="U56" s="620">
        <v>5</v>
      </c>
      <c r="V56" s="621">
        <f t="shared" si="5"/>
        <v>0</v>
      </c>
      <c r="W56" s="622">
        <v>1</v>
      </c>
      <c r="X56" s="623">
        <f t="shared" si="10"/>
        <v>0</v>
      </c>
    </row>
    <row r="57" spans="2:24">
      <c r="B57" s="618">
        <f t="shared" si="11"/>
        <v>2044</v>
      </c>
      <c r="C57" s="624"/>
      <c r="D57" s="611">
        <v>1</v>
      </c>
      <c r="E57" s="612">
        <f t="shared" si="12"/>
        <v>0.435</v>
      </c>
      <c r="F57" s="612">
        <f t="shared" si="12"/>
        <v>0.129</v>
      </c>
      <c r="G57" s="612">
        <f t="shared" si="8"/>
        <v>0</v>
      </c>
      <c r="H57" s="612">
        <f t="shared" si="12"/>
        <v>0</v>
      </c>
      <c r="I57" s="612">
        <f t="shared" si="8"/>
        <v>9.9000000000000005E-2</v>
      </c>
      <c r="J57" s="612">
        <f t="shared" si="12"/>
        <v>2.7E-2</v>
      </c>
      <c r="K57" s="612">
        <f t="shared" si="12"/>
        <v>8.9999999999999993E-3</v>
      </c>
      <c r="L57" s="612">
        <f t="shared" si="12"/>
        <v>7.1999999999999995E-2</v>
      </c>
      <c r="M57" s="612">
        <f t="shared" si="12"/>
        <v>3.3000000000000002E-2</v>
      </c>
      <c r="N57" s="612">
        <f t="shared" si="12"/>
        <v>0.04</v>
      </c>
      <c r="O57" s="612">
        <f t="shared" si="12"/>
        <v>0.156</v>
      </c>
      <c r="P57" s="619">
        <f t="shared" si="9"/>
        <v>1</v>
      </c>
      <c r="S57" s="618">
        <f t="shared" si="4"/>
        <v>2044</v>
      </c>
      <c r="T57" s="620">
        <v>0</v>
      </c>
      <c r="U57" s="620">
        <v>5</v>
      </c>
      <c r="V57" s="621">
        <f t="shared" si="5"/>
        <v>0</v>
      </c>
      <c r="W57" s="622">
        <v>1</v>
      </c>
      <c r="X57" s="623">
        <f t="shared" si="10"/>
        <v>0</v>
      </c>
    </row>
    <row r="58" spans="2:24">
      <c r="B58" s="618">
        <f t="shared" si="11"/>
        <v>2045</v>
      </c>
      <c r="C58" s="624"/>
      <c r="D58" s="611">
        <v>1</v>
      </c>
      <c r="E58" s="612">
        <f t="shared" si="12"/>
        <v>0.435</v>
      </c>
      <c r="F58" s="612">
        <f t="shared" si="12"/>
        <v>0.129</v>
      </c>
      <c r="G58" s="612">
        <f t="shared" si="8"/>
        <v>0</v>
      </c>
      <c r="H58" s="612">
        <f t="shared" si="12"/>
        <v>0</v>
      </c>
      <c r="I58" s="612">
        <f t="shared" si="8"/>
        <v>9.9000000000000005E-2</v>
      </c>
      <c r="J58" s="612">
        <f t="shared" si="12"/>
        <v>2.7E-2</v>
      </c>
      <c r="K58" s="612">
        <f t="shared" si="12"/>
        <v>8.9999999999999993E-3</v>
      </c>
      <c r="L58" s="612">
        <f t="shared" si="12"/>
        <v>7.1999999999999995E-2</v>
      </c>
      <c r="M58" s="612">
        <f t="shared" si="12"/>
        <v>3.3000000000000002E-2</v>
      </c>
      <c r="N58" s="612">
        <f t="shared" si="12"/>
        <v>0.04</v>
      </c>
      <c r="O58" s="612">
        <f t="shared" si="12"/>
        <v>0.156</v>
      </c>
      <c r="P58" s="619">
        <f t="shared" si="9"/>
        <v>1</v>
      </c>
      <c r="S58" s="618">
        <f t="shared" si="4"/>
        <v>2045</v>
      </c>
      <c r="T58" s="620">
        <v>0</v>
      </c>
      <c r="U58" s="620">
        <v>5</v>
      </c>
      <c r="V58" s="621">
        <f t="shared" si="5"/>
        <v>0</v>
      </c>
      <c r="W58" s="622">
        <v>1</v>
      </c>
      <c r="X58" s="623">
        <f t="shared" si="10"/>
        <v>0</v>
      </c>
    </row>
    <row r="59" spans="2:24">
      <c r="B59" s="618">
        <f t="shared" si="11"/>
        <v>2046</v>
      </c>
      <c r="C59" s="624"/>
      <c r="D59" s="611">
        <v>1</v>
      </c>
      <c r="E59" s="612">
        <f t="shared" si="12"/>
        <v>0.435</v>
      </c>
      <c r="F59" s="612">
        <f t="shared" si="12"/>
        <v>0.129</v>
      </c>
      <c r="G59" s="612">
        <f t="shared" si="12"/>
        <v>0</v>
      </c>
      <c r="H59" s="612">
        <f t="shared" si="12"/>
        <v>0</v>
      </c>
      <c r="I59" s="612">
        <f t="shared" si="12"/>
        <v>9.9000000000000005E-2</v>
      </c>
      <c r="J59" s="612">
        <f t="shared" si="12"/>
        <v>2.7E-2</v>
      </c>
      <c r="K59" s="612">
        <f t="shared" si="12"/>
        <v>8.9999999999999993E-3</v>
      </c>
      <c r="L59" s="612">
        <f t="shared" si="12"/>
        <v>7.1999999999999995E-2</v>
      </c>
      <c r="M59" s="612">
        <f t="shared" si="12"/>
        <v>3.3000000000000002E-2</v>
      </c>
      <c r="N59" s="612">
        <f t="shared" si="12"/>
        <v>0.04</v>
      </c>
      <c r="O59" s="612">
        <f t="shared" si="12"/>
        <v>0.156</v>
      </c>
      <c r="P59" s="619">
        <f t="shared" si="9"/>
        <v>1</v>
      </c>
      <c r="S59" s="618">
        <f t="shared" si="4"/>
        <v>2046</v>
      </c>
      <c r="T59" s="620">
        <v>0</v>
      </c>
      <c r="U59" s="620">
        <v>5</v>
      </c>
      <c r="V59" s="621">
        <f t="shared" si="5"/>
        <v>0</v>
      </c>
      <c r="W59" s="622">
        <v>1</v>
      </c>
      <c r="X59" s="623">
        <f t="shared" si="10"/>
        <v>0</v>
      </c>
    </row>
    <row r="60" spans="2:24">
      <c r="B60" s="618">
        <f t="shared" si="11"/>
        <v>2047</v>
      </c>
      <c r="C60" s="624"/>
      <c r="D60" s="611">
        <v>1</v>
      </c>
      <c r="E60" s="612">
        <f t="shared" si="12"/>
        <v>0.435</v>
      </c>
      <c r="F60" s="612">
        <f t="shared" si="12"/>
        <v>0.129</v>
      </c>
      <c r="G60" s="612">
        <f t="shared" si="12"/>
        <v>0</v>
      </c>
      <c r="H60" s="612">
        <f t="shared" si="12"/>
        <v>0</v>
      </c>
      <c r="I60" s="612">
        <f t="shared" si="12"/>
        <v>9.9000000000000005E-2</v>
      </c>
      <c r="J60" s="612">
        <f t="shared" si="12"/>
        <v>2.7E-2</v>
      </c>
      <c r="K60" s="612">
        <f t="shared" si="12"/>
        <v>8.9999999999999993E-3</v>
      </c>
      <c r="L60" s="612">
        <f t="shared" si="12"/>
        <v>7.1999999999999995E-2</v>
      </c>
      <c r="M60" s="612">
        <f t="shared" si="12"/>
        <v>3.3000000000000002E-2</v>
      </c>
      <c r="N60" s="612">
        <f t="shared" si="12"/>
        <v>0.04</v>
      </c>
      <c r="O60" s="612">
        <f t="shared" si="12"/>
        <v>0.156</v>
      </c>
      <c r="P60" s="619">
        <f t="shared" si="9"/>
        <v>1</v>
      </c>
      <c r="S60" s="618">
        <f t="shared" si="4"/>
        <v>2047</v>
      </c>
      <c r="T60" s="620">
        <v>0</v>
      </c>
      <c r="U60" s="620">
        <v>5</v>
      </c>
      <c r="V60" s="621">
        <f t="shared" si="5"/>
        <v>0</v>
      </c>
      <c r="W60" s="622">
        <v>1</v>
      </c>
      <c r="X60" s="623">
        <f t="shared" si="10"/>
        <v>0</v>
      </c>
    </row>
    <row r="61" spans="2:24">
      <c r="B61" s="618">
        <f t="shared" si="11"/>
        <v>2048</v>
      </c>
      <c r="C61" s="624"/>
      <c r="D61" s="611">
        <v>1</v>
      </c>
      <c r="E61" s="612">
        <f t="shared" si="12"/>
        <v>0.435</v>
      </c>
      <c r="F61" s="612">
        <f t="shared" si="12"/>
        <v>0.129</v>
      </c>
      <c r="G61" s="612">
        <f t="shared" si="12"/>
        <v>0</v>
      </c>
      <c r="H61" s="612">
        <f t="shared" si="12"/>
        <v>0</v>
      </c>
      <c r="I61" s="612">
        <f t="shared" si="12"/>
        <v>9.9000000000000005E-2</v>
      </c>
      <c r="J61" s="612">
        <f t="shared" si="12"/>
        <v>2.7E-2</v>
      </c>
      <c r="K61" s="612">
        <f t="shared" si="12"/>
        <v>8.9999999999999993E-3</v>
      </c>
      <c r="L61" s="612">
        <f t="shared" si="12"/>
        <v>7.1999999999999995E-2</v>
      </c>
      <c r="M61" s="612">
        <f t="shared" si="12"/>
        <v>3.3000000000000002E-2</v>
      </c>
      <c r="N61" s="612">
        <f t="shared" si="12"/>
        <v>0.04</v>
      </c>
      <c r="O61" s="612">
        <f t="shared" si="12"/>
        <v>0.156</v>
      </c>
      <c r="P61" s="619">
        <f t="shared" si="9"/>
        <v>1</v>
      </c>
      <c r="S61" s="618">
        <f t="shared" si="4"/>
        <v>2048</v>
      </c>
      <c r="T61" s="620">
        <v>0</v>
      </c>
      <c r="U61" s="620">
        <v>5</v>
      </c>
      <c r="V61" s="621">
        <f t="shared" si="5"/>
        <v>0</v>
      </c>
      <c r="W61" s="622">
        <v>1</v>
      </c>
      <c r="X61" s="623">
        <f t="shared" si="10"/>
        <v>0</v>
      </c>
    </row>
    <row r="62" spans="2:24">
      <c r="B62" s="618">
        <f t="shared" si="11"/>
        <v>2049</v>
      </c>
      <c r="C62" s="624"/>
      <c r="D62" s="611">
        <v>1</v>
      </c>
      <c r="E62" s="612">
        <f t="shared" si="12"/>
        <v>0.435</v>
      </c>
      <c r="F62" s="612">
        <f t="shared" si="12"/>
        <v>0.129</v>
      </c>
      <c r="G62" s="612">
        <f t="shared" si="12"/>
        <v>0</v>
      </c>
      <c r="H62" s="612">
        <f t="shared" si="12"/>
        <v>0</v>
      </c>
      <c r="I62" s="612">
        <f t="shared" si="12"/>
        <v>9.9000000000000005E-2</v>
      </c>
      <c r="J62" s="612">
        <f t="shared" si="12"/>
        <v>2.7E-2</v>
      </c>
      <c r="K62" s="612">
        <f t="shared" si="12"/>
        <v>8.9999999999999993E-3</v>
      </c>
      <c r="L62" s="612">
        <f t="shared" si="12"/>
        <v>7.1999999999999995E-2</v>
      </c>
      <c r="M62" s="612">
        <f t="shared" si="12"/>
        <v>3.3000000000000002E-2</v>
      </c>
      <c r="N62" s="612">
        <f t="shared" si="12"/>
        <v>0.04</v>
      </c>
      <c r="O62" s="612">
        <f t="shared" si="12"/>
        <v>0.156</v>
      </c>
      <c r="P62" s="619">
        <f t="shared" si="9"/>
        <v>1</v>
      </c>
      <c r="S62" s="618">
        <f t="shared" si="4"/>
        <v>2049</v>
      </c>
      <c r="T62" s="620">
        <v>0</v>
      </c>
      <c r="U62" s="620">
        <v>5</v>
      </c>
      <c r="V62" s="621">
        <f t="shared" si="5"/>
        <v>0</v>
      </c>
      <c r="W62" s="622">
        <v>1</v>
      </c>
      <c r="X62" s="623">
        <f t="shared" si="10"/>
        <v>0</v>
      </c>
    </row>
    <row r="63" spans="2:24">
      <c r="B63" s="618">
        <f t="shared" si="11"/>
        <v>2050</v>
      </c>
      <c r="C63" s="624"/>
      <c r="D63" s="611">
        <v>1</v>
      </c>
      <c r="E63" s="612">
        <f t="shared" ref="E63:O78" si="13">E$8</f>
        <v>0.435</v>
      </c>
      <c r="F63" s="612">
        <f t="shared" si="13"/>
        <v>0.129</v>
      </c>
      <c r="G63" s="612">
        <f t="shared" si="12"/>
        <v>0</v>
      </c>
      <c r="H63" s="612">
        <f t="shared" si="13"/>
        <v>0</v>
      </c>
      <c r="I63" s="612">
        <f t="shared" si="12"/>
        <v>9.9000000000000005E-2</v>
      </c>
      <c r="J63" s="612">
        <f t="shared" si="13"/>
        <v>2.7E-2</v>
      </c>
      <c r="K63" s="612">
        <f t="shared" si="13"/>
        <v>8.9999999999999993E-3</v>
      </c>
      <c r="L63" s="612">
        <f t="shared" si="13"/>
        <v>7.1999999999999995E-2</v>
      </c>
      <c r="M63" s="612">
        <f t="shared" si="13"/>
        <v>3.3000000000000002E-2</v>
      </c>
      <c r="N63" s="612">
        <f t="shared" si="13"/>
        <v>0.04</v>
      </c>
      <c r="O63" s="612">
        <f t="shared" si="13"/>
        <v>0.156</v>
      </c>
      <c r="P63" s="619">
        <f t="shared" si="9"/>
        <v>1</v>
      </c>
      <c r="S63" s="618">
        <f t="shared" si="4"/>
        <v>2050</v>
      </c>
      <c r="T63" s="620">
        <v>0</v>
      </c>
      <c r="U63" s="620">
        <v>5</v>
      </c>
      <c r="V63" s="621">
        <f t="shared" si="5"/>
        <v>0</v>
      </c>
      <c r="W63" s="622">
        <v>1</v>
      </c>
      <c r="X63" s="623">
        <f t="shared" si="10"/>
        <v>0</v>
      </c>
    </row>
    <row r="64" spans="2:24">
      <c r="B64" s="618">
        <f t="shared" si="11"/>
        <v>2051</v>
      </c>
      <c r="C64" s="624"/>
      <c r="D64" s="611">
        <v>1</v>
      </c>
      <c r="E64" s="612">
        <f t="shared" si="13"/>
        <v>0.435</v>
      </c>
      <c r="F64" s="612">
        <f t="shared" si="13"/>
        <v>0.129</v>
      </c>
      <c r="G64" s="612">
        <f t="shared" si="12"/>
        <v>0</v>
      </c>
      <c r="H64" s="612">
        <f t="shared" si="13"/>
        <v>0</v>
      </c>
      <c r="I64" s="612">
        <f t="shared" si="12"/>
        <v>9.9000000000000005E-2</v>
      </c>
      <c r="J64" s="612">
        <f t="shared" si="13"/>
        <v>2.7E-2</v>
      </c>
      <c r="K64" s="612">
        <f t="shared" si="13"/>
        <v>8.9999999999999993E-3</v>
      </c>
      <c r="L64" s="612">
        <f t="shared" si="13"/>
        <v>7.1999999999999995E-2</v>
      </c>
      <c r="M64" s="612">
        <f t="shared" si="13"/>
        <v>3.3000000000000002E-2</v>
      </c>
      <c r="N64" s="612">
        <f t="shared" si="13"/>
        <v>0.04</v>
      </c>
      <c r="O64" s="612">
        <f t="shared" si="13"/>
        <v>0.156</v>
      </c>
      <c r="P64" s="619">
        <f t="shared" si="9"/>
        <v>1</v>
      </c>
      <c r="S64" s="618">
        <f t="shared" si="4"/>
        <v>2051</v>
      </c>
      <c r="T64" s="620">
        <v>0</v>
      </c>
      <c r="U64" s="620">
        <v>5</v>
      </c>
      <c r="V64" s="621">
        <f t="shared" si="5"/>
        <v>0</v>
      </c>
      <c r="W64" s="622">
        <v>1</v>
      </c>
      <c r="X64" s="623">
        <f t="shared" si="10"/>
        <v>0</v>
      </c>
    </row>
    <row r="65" spans="2:24">
      <c r="B65" s="618">
        <f t="shared" si="11"/>
        <v>2052</v>
      </c>
      <c r="C65" s="624"/>
      <c r="D65" s="611">
        <v>1</v>
      </c>
      <c r="E65" s="612">
        <f t="shared" si="13"/>
        <v>0.435</v>
      </c>
      <c r="F65" s="612">
        <f t="shared" si="13"/>
        <v>0.129</v>
      </c>
      <c r="G65" s="612">
        <f t="shared" si="12"/>
        <v>0</v>
      </c>
      <c r="H65" s="612">
        <f t="shared" si="13"/>
        <v>0</v>
      </c>
      <c r="I65" s="612">
        <f t="shared" si="12"/>
        <v>9.9000000000000005E-2</v>
      </c>
      <c r="J65" s="612">
        <f t="shared" si="13"/>
        <v>2.7E-2</v>
      </c>
      <c r="K65" s="612">
        <f t="shared" si="13"/>
        <v>8.9999999999999993E-3</v>
      </c>
      <c r="L65" s="612">
        <f t="shared" si="13"/>
        <v>7.1999999999999995E-2</v>
      </c>
      <c r="M65" s="612">
        <f t="shared" si="13"/>
        <v>3.3000000000000002E-2</v>
      </c>
      <c r="N65" s="612">
        <f t="shared" si="13"/>
        <v>0.04</v>
      </c>
      <c r="O65" s="612">
        <f t="shared" si="13"/>
        <v>0.156</v>
      </c>
      <c r="P65" s="619">
        <f t="shared" si="9"/>
        <v>1</v>
      </c>
      <c r="S65" s="618">
        <f t="shared" si="4"/>
        <v>2052</v>
      </c>
      <c r="T65" s="620">
        <v>0</v>
      </c>
      <c r="U65" s="620">
        <v>5</v>
      </c>
      <c r="V65" s="621">
        <f t="shared" si="5"/>
        <v>0</v>
      </c>
      <c r="W65" s="622">
        <v>1</v>
      </c>
      <c r="X65" s="623">
        <f t="shared" si="10"/>
        <v>0</v>
      </c>
    </row>
    <row r="66" spans="2:24">
      <c r="B66" s="618">
        <f t="shared" si="11"/>
        <v>2053</v>
      </c>
      <c r="C66" s="624"/>
      <c r="D66" s="611">
        <v>1</v>
      </c>
      <c r="E66" s="612">
        <f t="shared" si="13"/>
        <v>0.435</v>
      </c>
      <c r="F66" s="612">
        <f t="shared" si="13"/>
        <v>0.129</v>
      </c>
      <c r="G66" s="612">
        <f t="shared" si="12"/>
        <v>0</v>
      </c>
      <c r="H66" s="612">
        <f t="shared" si="13"/>
        <v>0</v>
      </c>
      <c r="I66" s="612">
        <f t="shared" si="12"/>
        <v>9.9000000000000005E-2</v>
      </c>
      <c r="J66" s="612">
        <f t="shared" si="13"/>
        <v>2.7E-2</v>
      </c>
      <c r="K66" s="612">
        <f t="shared" si="13"/>
        <v>8.9999999999999993E-3</v>
      </c>
      <c r="L66" s="612">
        <f t="shared" si="13"/>
        <v>7.1999999999999995E-2</v>
      </c>
      <c r="M66" s="612">
        <f t="shared" si="13"/>
        <v>3.3000000000000002E-2</v>
      </c>
      <c r="N66" s="612">
        <f t="shared" si="13"/>
        <v>0.04</v>
      </c>
      <c r="O66" s="612">
        <f t="shared" si="13"/>
        <v>0.156</v>
      </c>
      <c r="P66" s="619">
        <f t="shared" si="9"/>
        <v>1</v>
      </c>
      <c r="S66" s="618">
        <f t="shared" si="4"/>
        <v>2053</v>
      </c>
      <c r="T66" s="620">
        <v>0</v>
      </c>
      <c r="U66" s="620">
        <v>5</v>
      </c>
      <c r="V66" s="621">
        <f t="shared" si="5"/>
        <v>0</v>
      </c>
      <c r="W66" s="622">
        <v>1</v>
      </c>
      <c r="X66" s="623">
        <f t="shared" si="10"/>
        <v>0</v>
      </c>
    </row>
    <row r="67" spans="2:24">
      <c r="B67" s="618">
        <f t="shared" si="11"/>
        <v>2054</v>
      </c>
      <c r="C67" s="624"/>
      <c r="D67" s="611">
        <v>1</v>
      </c>
      <c r="E67" s="612">
        <f t="shared" si="13"/>
        <v>0.435</v>
      </c>
      <c r="F67" s="612">
        <f t="shared" si="13"/>
        <v>0.129</v>
      </c>
      <c r="G67" s="612">
        <f t="shared" si="12"/>
        <v>0</v>
      </c>
      <c r="H67" s="612">
        <f t="shared" si="13"/>
        <v>0</v>
      </c>
      <c r="I67" s="612">
        <f t="shared" si="12"/>
        <v>9.9000000000000005E-2</v>
      </c>
      <c r="J67" s="612">
        <f t="shared" si="13"/>
        <v>2.7E-2</v>
      </c>
      <c r="K67" s="612">
        <f t="shared" si="13"/>
        <v>8.9999999999999993E-3</v>
      </c>
      <c r="L67" s="612">
        <f t="shared" si="13"/>
        <v>7.1999999999999995E-2</v>
      </c>
      <c r="M67" s="612">
        <f t="shared" si="13"/>
        <v>3.3000000000000002E-2</v>
      </c>
      <c r="N67" s="612">
        <f t="shared" si="13"/>
        <v>0.04</v>
      </c>
      <c r="O67" s="612">
        <f t="shared" si="13"/>
        <v>0.156</v>
      </c>
      <c r="P67" s="619">
        <f t="shared" si="9"/>
        <v>1</v>
      </c>
      <c r="S67" s="618">
        <f t="shared" si="4"/>
        <v>2054</v>
      </c>
      <c r="T67" s="620">
        <v>0</v>
      </c>
      <c r="U67" s="620">
        <v>5</v>
      </c>
      <c r="V67" s="621">
        <f t="shared" si="5"/>
        <v>0</v>
      </c>
      <c r="W67" s="622">
        <v>1</v>
      </c>
      <c r="X67" s="623">
        <f t="shared" si="10"/>
        <v>0</v>
      </c>
    </row>
    <row r="68" spans="2:24">
      <c r="B68" s="618">
        <f t="shared" si="11"/>
        <v>2055</v>
      </c>
      <c r="C68" s="624"/>
      <c r="D68" s="611">
        <v>1</v>
      </c>
      <c r="E68" s="612">
        <f t="shared" si="13"/>
        <v>0.435</v>
      </c>
      <c r="F68" s="612">
        <f t="shared" si="13"/>
        <v>0.129</v>
      </c>
      <c r="G68" s="612">
        <f t="shared" si="12"/>
        <v>0</v>
      </c>
      <c r="H68" s="612">
        <f t="shared" si="13"/>
        <v>0</v>
      </c>
      <c r="I68" s="612">
        <f t="shared" si="12"/>
        <v>9.9000000000000005E-2</v>
      </c>
      <c r="J68" s="612">
        <f t="shared" si="13"/>
        <v>2.7E-2</v>
      </c>
      <c r="K68" s="612">
        <f t="shared" si="13"/>
        <v>8.9999999999999993E-3</v>
      </c>
      <c r="L68" s="612">
        <f t="shared" si="13"/>
        <v>7.1999999999999995E-2</v>
      </c>
      <c r="M68" s="612">
        <f t="shared" si="13"/>
        <v>3.3000000000000002E-2</v>
      </c>
      <c r="N68" s="612">
        <f t="shared" si="13"/>
        <v>0.04</v>
      </c>
      <c r="O68" s="612">
        <f t="shared" si="13"/>
        <v>0.156</v>
      </c>
      <c r="P68" s="619">
        <f t="shared" si="9"/>
        <v>1</v>
      </c>
      <c r="S68" s="618">
        <f t="shared" si="4"/>
        <v>2055</v>
      </c>
      <c r="T68" s="620">
        <v>0</v>
      </c>
      <c r="U68" s="620">
        <v>5</v>
      </c>
      <c r="V68" s="621">
        <f t="shared" si="5"/>
        <v>0</v>
      </c>
      <c r="W68" s="622">
        <v>1</v>
      </c>
      <c r="X68" s="623">
        <f t="shared" si="10"/>
        <v>0</v>
      </c>
    </row>
    <row r="69" spans="2:24">
      <c r="B69" s="618">
        <f t="shared" si="11"/>
        <v>2056</v>
      </c>
      <c r="C69" s="624"/>
      <c r="D69" s="611">
        <v>1</v>
      </c>
      <c r="E69" s="612">
        <f t="shared" si="13"/>
        <v>0.435</v>
      </c>
      <c r="F69" s="612">
        <f t="shared" si="13"/>
        <v>0.129</v>
      </c>
      <c r="G69" s="612">
        <f t="shared" si="13"/>
        <v>0</v>
      </c>
      <c r="H69" s="612">
        <f t="shared" si="13"/>
        <v>0</v>
      </c>
      <c r="I69" s="612">
        <f t="shared" si="13"/>
        <v>9.9000000000000005E-2</v>
      </c>
      <c r="J69" s="612">
        <f t="shared" si="13"/>
        <v>2.7E-2</v>
      </c>
      <c r="K69" s="612">
        <f t="shared" si="13"/>
        <v>8.9999999999999993E-3</v>
      </c>
      <c r="L69" s="612">
        <f t="shared" si="13"/>
        <v>7.1999999999999995E-2</v>
      </c>
      <c r="M69" s="612">
        <f t="shared" si="13"/>
        <v>3.3000000000000002E-2</v>
      </c>
      <c r="N69" s="612">
        <f t="shared" si="13"/>
        <v>0.04</v>
      </c>
      <c r="O69" s="612">
        <f t="shared" si="13"/>
        <v>0.156</v>
      </c>
      <c r="P69" s="619">
        <f t="shared" si="9"/>
        <v>1</v>
      </c>
      <c r="S69" s="618">
        <f t="shared" si="4"/>
        <v>2056</v>
      </c>
      <c r="T69" s="620">
        <v>0</v>
      </c>
      <c r="U69" s="620">
        <v>5</v>
      </c>
      <c r="V69" s="621">
        <f t="shared" si="5"/>
        <v>0</v>
      </c>
      <c r="W69" s="622">
        <v>1</v>
      </c>
      <c r="X69" s="623">
        <f t="shared" si="10"/>
        <v>0</v>
      </c>
    </row>
    <row r="70" spans="2:24">
      <c r="B70" s="618">
        <f t="shared" si="11"/>
        <v>2057</v>
      </c>
      <c r="C70" s="624"/>
      <c r="D70" s="611">
        <v>1</v>
      </c>
      <c r="E70" s="612">
        <f t="shared" si="13"/>
        <v>0.435</v>
      </c>
      <c r="F70" s="612">
        <f t="shared" si="13"/>
        <v>0.129</v>
      </c>
      <c r="G70" s="612">
        <f t="shared" si="13"/>
        <v>0</v>
      </c>
      <c r="H70" s="612">
        <f t="shared" si="13"/>
        <v>0</v>
      </c>
      <c r="I70" s="612">
        <f t="shared" si="13"/>
        <v>9.9000000000000005E-2</v>
      </c>
      <c r="J70" s="612">
        <f t="shared" si="13"/>
        <v>2.7E-2</v>
      </c>
      <c r="K70" s="612">
        <f t="shared" si="13"/>
        <v>8.9999999999999993E-3</v>
      </c>
      <c r="L70" s="612">
        <f t="shared" si="13"/>
        <v>7.1999999999999995E-2</v>
      </c>
      <c r="M70" s="612">
        <f t="shared" si="13"/>
        <v>3.3000000000000002E-2</v>
      </c>
      <c r="N70" s="612">
        <f t="shared" si="13"/>
        <v>0.04</v>
      </c>
      <c r="O70" s="612">
        <f t="shared" si="13"/>
        <v>0.156</v>
      </c>
      <c r="P70" s="619">
        <f t="shared" si="9"/>
        <v>1</v>
      </c>
      <c r="S70" s="618">
        <f t="shared" si="4"/>
        <v>2057</v>
      </c>
      <c r="T70" s="620">
        <v>0</v>
      </c>
      <c r="U70" s="620">
        <v>5</v>
      </c>
      <c r="V70" s="621">
        <f t="shared" si="5"/>
        <v>0</v>
      </c>
      <c r="W70" s="622">
        <v>1</v>
      </c>
      <c r="X70" s="623">
        <f t="shared" si="10"/>
        <v>0</v>
      </c>
    </row>
    <row r="71" spans="2:24">
      <c r="B71" s="618">
        <f t="shared" si="11"/>
        <v>2058</v>
      </c>
      <c r="C71" s="624"/>
      <c r="D71" s="611">
        <v>1</v>
      </c>
      <c r="E71" s="612">
        <f t="shared" si="13"/>
        <v>0.435</v>
      </c>
      <c r="F71" s="612">
        <f t="shared" si="13"/>
        <v>0.129</v>
      </c>
      <c r="G71" s="612">
        <f t="shared" si="13"/>
        <v>0</v>
      </c>
      <c r="H71" s="612">
        <f t="shared" si="13"/>
        <v>0</v>
      </c>
      <c r="I71" s="612">
        <f t="shared" si="13"/>
        <v>9.9000000000000005E-2</v>
      </c>
      <c r="J71" s="612">
        <f t="shared" si="13"/>
        <v>2.7E-2</v>
      </c>
      <c r="K71" s="612">
        <f t="shared" si="13"/>
        <v>8.9999999999999993E-3</v>
      </c>
      <c r="L71" s="612">
        <f t="shared" si="13"/>
        <v>7.1999999999999995E-2</v>
      </c>
      <c r="M71" s="612">
        <f t="shared" si="13"/>
        <v>3.3000000000000002E-2</v>
      </c>
      <c r="N71" s="612">
        <f t="shared" si="13"/>
        <v>0.04</v>
      </c>
      <c r="O71" s="612">
        <f t="shared" si="13"/>
        <v>0.156</v>
      </c>
      <c r="P71" s="619">
        <f t="shared" si="9"/>
        <v>1</v>
      </c>
      <c r="S71" s="618">
        <f t="shared" si="4"/>
        <v>2058</v>
      </c>
      <c r="T71" s="620">
        <v>0</v>
      </c>
      <c r="U71" s="620">
        <v>5</v>
      </c>
      <c r="V71" s="621">
        <f t="shared" si="5"/>
        <v>0</v>
      </c>
      <c r="W71" s="622">
        <v>1</v>
      </c>
      <c r="X71" s="623">
        <f t="shared" si="10"/>
        <v>0</v>
      </c>
    </row>
    <row r="72" spans="2:24">
      <c r="B72" s="618">
        <f t="shared" si="11"/>
        <v>2059</v>
      </c>
      <c r="C72" s="624"/>
      <c r="D72" s="611">
        <v>1</v>
      </c>
      <c r="E72" s="612">
        <f t="shared" si="13"/>
        <v>0.435</v>
      </c>
      <c r="F72" s="612">
        <f t="shared" si="13"/>
        <v>0.129</v>
      </c>
      <c r="G72" s="612">
        <f t="shared" si="13"/>
        <v>0</v>
      </c>
      <c r="H72" s="612">
        <f t="shared" si="13"/>
        <v>0</v>
      </c>
      <c r="I72" s="612">
        <f t="shared" si="13"/>
        <v>9.9000000000000005E-2</v>
      </c>
      <c r="J72" s="612">
        <f t="shared" si="13"/>
        <v>2.7E-2</v>
      </c>
      <c r="K72" s="612">
        <f t="shared" si="13"/>
        <v>8.9999999999999993E-3</v>
      </c>
      <c r="L72" s="612">
        <f t="shared" si="13"/>
        <v>7.1999999999999995E-2</v>
      </c>
      <c r="M72" s="612">
        <f t="shared" si="13"/>
        <v>3.3000000000000002E-2</v>
      </c>
      <c r="N72" s="612">
        <f t="shared" si="13"/>
        <v>0.04</v>
      </c>
      <c r="O72" s="612">
        <f t="shared" si="13"/>
        <v>0.156</v>
      </c>
      <c r="P72" s="619">
        <f t="shared" si="9"/>
        <v>1</v>
      </c>
      <c r="S72" s="618">
        <f t="shared" si="4"/>
        <v>2059</v>
      </c>
      <c r="T72" s="620">
        <v>0</v>
      </c>
      <c r="U72" s="620">
        <v>5</v>
      </c>
      <c r="V72" s="621">
        <f t="shared" si="5"/>
        <v>0</v>
      </c>
      <c r="W72" s="622">
        <v>1</v>
      </c>
      <c r="X72" s="623">
        <f t="shared" si="10"/>
        <v>0</v>
      </c>
    </row>
    <row r="73" spans="2:24">
      <c r="B73" s="618">
        <f t="shared" si="11"/>
        <v>2060</v>
      </c>
      <c r="C73" s="624"/>
      <c r="D73" s="611">
        <v>1</v>
      </c>
      <c r="E73" s="612">
        <f t="shared" ref="E73:O88" si="14">E$8</f>
        <v>0.435</v>
      </c>
      <c r="F73" s="612">
        <f t="shared" si="14"/>
        <v>0.129</v>
      </c>
      <c r="G73" s="612">
        <f t="shared" si="13"/>
        <v>0</v>
      </c>
      <c r="H73" s="612">
        <f t="shared" si="14"/>
        <v>0</v>
      </c>
      <c r="I73" s="612">
        <f t="shared" si="13"/>
        <v>9.9000000000000005E-2</v>
      </c>
      <c r="J73" s="612">
        <f t="shared" si="14"/>
        <v>2.7E-2</v>
      </c>
      <c r="K73" s="612">
        <f t="shared" si="14"/>
        <v>8.9999999999999993E-3</v>
      </c>
      <c r="L73" s="612">
        <f t="shared" si="14"/>
        <v>7.1999999999999995E-2</v>
      </c>
      <c r="M73" s="612">
        <f t="shared" si="14"/>
        <v>3.3000000000000002E-2</v>
      </c>
      <c r="N73" s="612">
        <f t="shared" si="14"/>
        <v>0.04</v>
      </c>
      <c r="O73" s="612">
        <f t="shared" si="14"/>
        <v>0.156</v>
      </c>
      <c r="P73" s="619">
        <f t="shared" si="9"/>
        <v>1</v>
      </c>
      <c r="S73" s="618">
        <f t="shared" si="4"/>
        <v>2060</v>
      </c>
      <c r="T73" s="620">
        <v>0</v>
      </c>
      <c r="U73" s="620">
        <v>5</v>
      </c>
      <c r="V73" s="621">
        <f t="shared" si="5"/>
        <v>0</v>
      </c>
      <c r="W73" s="622">
        <v>1</v>
      </c>
      <c r="X73" s="623">
        <f t="shared" si="10"/>
        <v>0</v>
      </c>
    </row>
    <row r="74" spans="2:24">
      <c r="B74" s="618">
        <f t="shared" si="11"/>
        <v>2061</v>
      </c>
      <c r="C74" s="624"/>
      <c r="D74" s="611">
        <v>1</v>
      </c>
      <c r="E74" s="612">
        <f t="shared" si="14"/>
        <v>0.435</v>
      </c>
      <c r="F74" s="612">
        <f t="shared" si="14"/>
        <v>0.129</v>
      </c>
      <c r="G74" s="612">
        <f t="shared" si="13"/>
        <v>0</v>
      </c>
      <c r="H74" s="612">
        <f t="shared" si="14"/>
        <v>0</v>
      </c>
      <c r="I74" s="612">
        <f t="shared" si="13"/>
        <v>9.9000000000000005E-2</v>
      </c>
      <c r="J74" s="612">
        <f t="shared" si="14"/>
        <v>2.7E-2</v>
      </c>
      <c r="K74" s="612">
        <f t="shared" si="14"/>
        <v>8.9999999999999993E-3</v>
      </c>
      <c r="L74" s="612">
        <f t="shared" si="14"/>
        <v>7.1999999999999995E-2</v>
      </c>
      <c r="M74" s="612">
        <f t="shared" si="14"/>
        <v>3.3000000000000002E-2</v>
      </c>
      <c r="N74" s="612">
        <f t="shared" si="14"/>
        <v>0.04</v>
      </c>
      <c r="O74" s="612">
        <f t="shared" si="14"/>
        <v>0.156</v>
      </c>
      <c r="P74" s="619">
        <f t="shared" si="9"/>
        <v>1</v>
      </c>
      <c r="S74" s="618">
        <f t="shared" si="4"/>
        <v>2061</v>
      </c>
      <c r="T74" s="620">
        <v>0</v>
      </c>
      <c r="U74" s="620">
        <v>5</v>
      </c>
      <c r="V74" s="621">
        <f t="shared" si="5"/>
        <v>0</v>
      </c>
      <c r="W74" s="622">
        <v>1</v>
      </c>
      <c r="X74" s="623">
        <f t="shared" si="10"/>
        <v>0</v>
      </c>
    </row>
    <row r="75" spans="2:24">
      <c r="B75" s="618">
        <f t="shared" si="11"/>
        <v>2062</v>
      </c>
      <c r="C75" s="624"/>
      <c r="D75" s="611">
        <v>1</v>
      </c>
      <c r="E75" s="612">
        <f t="shared" si="14"/>
        <v>0.435</v>
      </c>
      <c r="F75" s="612">
        <f t="shared" si="14"/>
        <v>0.129</v>
      </c>
      <c r="G75" s="612">
        <f t="shared" si="13"/>
        <v>0</v>
      </c>
      <c r="H75" s="612">
        <f t="shared" si="14"/>
        <v>0</v>
      </c>
      <c r="I75" s="612">
        <f t="shared" si="13"/>
        <v>9.9000000000000005E-2</v>
      </c>
      <c r="J75" s="612">
        <f t="shared" si="14"/>
        <v>2.7E-2</v>
      </c>
      <c r="K75" s="612">
        <f t="shared" si="14"/>
        <v>8.9999999999999993E-3</v>
      </c>
      <c r="L75" s="612">
        <f t="shared" si="14"/>
        <v>7.1999999999999995E-2</v>
      </c>
      <c r="M75" s="612">
        <f t="shared" si="14"/>
        <v>3.3000000000000002E-2</v>
      </c>
      <c r="N75" s="612">
        <f t="shared" si="14"/>
        <v>0.04</v>
      </c>
      <c r="O75" s="612">
        <f t="shared" si="14"/>
        <v>0.156</v>
      </c>
      <c r="P75" s="619">
        <f t="shared" si="9"/>
        <v>1</v>
      </c>
      <c r="S75" s="618">
        <f t="shared" si="4"/>
        <v>2062</v>
      </c>
      <c r="T75" s="620">
        <v>0</v>
      </c>
      <c r="U75" s="620">
        <v>5</v>
      </c>
      <c r="V75" s="621">
        <f t="shared" si="5"/>
        <v>0</v>
      </c>
      <c r="W75" s="622">
        <v>1</v>
      </c>
      <c r="X75" s="623">
        <f t="shared" si="10"/>
        <v>0</v>
      </c>
    </row>
    <row r="76" spans="2:24">
      <c r="B76" s="618">
        <f t="shared" si="11"/>
        <v>2063</v>
      </c>
      <c r="C76" s="624"/>
      <c r="D76" s="611">
        <v>1</v>
      </c>
      <c r="E76" s="612">
        <f t="shared" si="14"/>
        <v>0.435</v>
      </c>
      <c r="F76" s="612">
        <f t="shared" si="14"/>
        <v>0.129</v>
      </c>
      <c r="G76" s="612">
        <f t="shared" si="13"/>
        <v>0</v>
      </c>
      <c r="H76" s="612">
        <f t="shared" si="14"/>
        <v>0</v>
      </c>
      <c r="I76" s="612">
        <f t="shared" si="13"/>
        <v>9.9000000000000005E-2</v>
      </c>
      <c r="J76" s="612">
        <f t="shared" si="14"/>
        <v>2.7E-2</v>
      </c>
      <c r="K76" s="612">
        <f t="shared" si="14"/>
        <v>8.9999999999999993E-3</v>
      </c>
      <c r="L76" s="612">
        <f t="shared" si="14"/>
        <v>7.1999999999999995E-2</v>
      </c>
      <c r="M76" s="612">
        <f t="shared" si="14"/>
        <v>3.3000000000000002E-2</v>
      </c>
      <c r="N76" s="612">
        <f t="shared" si="14"/>
        <v>0.04</v>
      </c>
      <c r="O76" s="612">
        <f t="shared" si="14"/>
        <v>0.156</v>
      </c>
      <c r="P76" s="619">
        <f t="shared" si="9"/>
        <v>1</v>
      </c>
      <c r="S76" s="618">
        <f t="shared" si="4"/>
        <v>2063</v>
      </c>
      <c r="T76" s="620">
        <v>0</v>
      </c>
      <c r="U76" s="620">
        <v>5</v>
      </c>
      <c r="V76" s="621">
        <f t="shared" si="5"/>
        <v>0</v>
      </c>
      <c r="W76" s="622">
        <v>1</v>
      </c>
      <c r="X76" s="623">
        <f t="shared" si="10"/>
        <v>0</v>
      </c>
    </row>
    <row r="77" spans="2:24">
      <c r="B77" s="618">
        <f t="shared" si="11"/>
        <v>2064</v>
      </c>
      <c r="C77" s="624"/>
      <c r="D77" s="611">
        <v>1</v>
      </c>
      <c r="E77" s="612">
        <f t="shared" si="14"/>
        <v>0.435</v>
      </c>
      <c r="F77" s="612">
        <f t="shared" si="14"/>
        <v>0.129</v>
      </c>
      <c r="G77" s="612">
        <f t="shared" si="13"/>
        <v>0</v>
      </c>
      <c r="H77" s="612">
        <f t="shared" si="14"/>
        <v>0</v>
      </c>
      <c r="I77" s="612">
        <f t="shared" si="13"/>
        <v>9.9000000000000005E-2</v>
      </c>
      <c r="J77" s="612">
        <f t="shared" si="14"/>
        <v>2.7E-2</v>
      </c>
      <c r="K77" s="612">
        <f t="shared" si="14"/>
        <v>8.9999999999999993E-3</v>
      </c>
      <c r="L77" s="612">
        <f t="shared" si="14"/>
        <v>7.1999999999999995E-2</v>
      </c>
      <c r="M77" s="612">
        <f t="shared" si="14"/>
        <v>3.3000000000000002E-2</v>
      </c>
      <c r="N77" s="612">
        <f t="shared" si="14"/>
        <v>0.04</v>
      </c>
      <c r="O77" s="612">
        <f t="shared" si="14"/>
        <v>0.156</v>
      </c>
      <c r="P77" s="619">
        <f t="shared" ref="P77:P93" si="15">SUM(E77:O77)</f>
        <v>1</v>
      </c>
      <c r="S77" s="618">
        <f t="shared" si="4"/>
        <v>2064</v>
      </c>
      <c r="T77" s="620">
        <v>0</v>
      </c>
      <c r="U77" s="620">
        <v>5</v>
      </c>
      <c r="V77" s="621">
        <f t="shared" si="5"/>
        <v>0</v>
      </c>
      <c r="W77" s="622">
        <v>1</v>
      </c>
      <c r="X77" s="623">
        <f t="shared" ref="X77:X93" si="16">V77*W77</f>
        <v>0</v>
      </c>
    </row>
    <row r="78" spans="2:24">
      <c r="B78" s="618">
        <f t="shared" ref="B78:B93" si="17">B77+1</f>
        <v>2065</v>
      </c>
      <c r="C78" s="624"/>
      <c r="D78" s="611">
        <v>1</v>
      </c>
      <c r="E78" s="612">
        <f t="shared" si="14"/>
        <v>0.435</v>
      </c>
      <c r="F78" s="612">
        <f t="shared" si="14"/>
        <v>0.129</v>
      </c>
      <c r="G78" s="612">
        <f t="shared" si="13"/>
        <v>0</v>
      </c>
      <c r="H78" s="612">
        <f t="shared" si="14"/>
        <v>0</v>
      </c>
      <c r="I78" s="612">
        <f t="shared" si="13"/>
        <v>9.9000000000000005E-2</v>
      </c>
      <c r="J78" s="612">
        <f t="shared" si="14"/>
        <v>2.7E-2</v>
      </c>
      <c r="K78" s="612">
        <f t="shared" si="14"/>
        <v>8.9999999999999993E-3</v>
      </c>
      <c r="L78" s="612">
        <f t="shared" si="14"/>
        <v>7.1999999999999995E-2</v>
      </c>
      <c r="M78" s="612">
        <f t="shared" si="14"/>
        <v>3.3000000000000002E-2</v>
      </c>
      <c r="N78" s="612">
        <f t="shared" si="14"/>
        <v>0.04</v>
      </c>
      <c r="O78" s="612">
        <f t="shared" si="14"/>
        <v>0.156</v>
      </c>
      <c r="P78" s="619">
        <f t="shared" si="15"/>
        <v>1</v>
      </c>
      <c r="S78" s="618">
        <f t="shared" ref="S78:S93" si="18">S77+1</f>
        <v>2065</v>
      </c>
      <c r="T78" s="620">
        <v>0</v>
      </c>
      <c r="U78" s="620">
        <v>5</v>
      </c>
      <c r="V78" s="621">
        <f t="shared" si="5"/>
        <v>0</v>
      </c>
      <c r="W78" s="622">
        <v>1</v>
      </c>
      <c r="X78" s="623">
        <f t="shared" si="16"/>
        <v>0</v>
      </c>
    </row>
    <row r="79" spans="2:24">
      <c r="B79" s="618">
        <f t="shared" si="17"/>
        <v>2066</v>
      </c>
      <c r="C79" s="624"/>
      <c r="D79" s="611">
        <v>1</v>
      </c>
      <c r="E79" s="612">
        <f t="shared" si="14"/>
        <v>0.435</v>
      </c>
      <c r="F79" s="612">
        <f t="shared" si="14"/>
        <v>0.129</v>
      </c>
      <c r="G79" s="612">
        <f t="shared" si="14"/>
        <v>0</v>
      </c>
      <c r="H79" s="612">
        <f t="shared" si="14"/>
        <v>0</v>
      </c>
      <c r="I79" s="612">
        <f t="shared" si="14"/>
        <v>9.9000000000000005E-2</v>
      </c>
      <c r="J79" s="612">
        <f t="shared" si="14"/>
        <v>2.7E-2</v>
      </c>
      <c r="K79" s="612">
        <f t="shared" si="14"/>
        <v>8.9999999999999993E-3</v>
      </c>
      <c r="L79" s="612">
        <f t="shared" si="14"/>
        <v>7.1999999999999995E-2</v>
      </c>
      <c r="M79" s="612">
        <f t="shared" si="14"/>
        <v>3.3000000000000002E-2</v>
      </c>
      <c r="N79" s="612">
        <f t="shared" si="14"/>
        <v>0.04</v>
      </c>
      <c r="O79" s="612">
        <f t="shared" si="14"/>
        <v>0.156</v>
      </c>
      <c r="P79" s="619">
        <f t="shared" si="15"/>
        <v>1</v>
      </c>
      <c r="S79" s="618">
        <f t="shared" si="18"/>
        <v>2066</v>
      </c>
      <c r="T79" s="620">
        <v>0</v>
      </c>
      <c r="U79" s="620">
        <v>5</v>
      </c>
      <c r="V79" s="621">
        <f t="shared" ref="V79:V93" si="19">T79*U79</f>
        <v>0</v>
      </c>
      <c r="W79" s="622">
        <v>1</v>
      </c>
      <c r="X79" s="623">
        <f t="shared" si="16"/>
        <v>0</v>
      </c>
    </row>
    <row r="80" spans="2:24">
      <c r="B80" s="618">
        <f t="shared" si="17"/>
        <v>2067</v>
      </c>
      <c r="C80" s="624"/>
      <c r="D80" s="611">
        <v>1</v>
      </c>
      <c r="E80" s="612">
        <f t="shared" si="14"/>
        <v>0.435</v>
      </c>
      <c r="F80" s="612">
        <f t="shared" si="14"/>
        <v>0.129</v>
      </c>
      <c r="G80" s="612">
        <f t="shared" si="14"/>
        <v>0</v>
      </c>
      <c r="H80" s="612">
        <f t="shared" si="14"/>
        <v>0</v>
      </c>
      <c r="I80" s="612">
        <f t="shared" si="14"/>
        <v>9.9000000000000005E-2</v>
      </c>
      <c r="J80" s="612">
        <f t="shared" si="14"/>
        <v>2.7E-2</v>
      </c>
      <c r="K80" s="612">
        <f t="shared" si="14"/>
        <v>8.9999999999999993E-3</v>
      </c>
      <c r="L80" s="612">
        <f t="shared" si="14"/>
        <v>7.1999999999999995E-2</v>
      </c>
      <c r="M80" s="612">
        <f t="shared" si="14"/>
        <v>3.3000000000000002E-2</v>
      </c>
      <c r="N80" s="612">
        <f t="shared" si="14"/>
        <v>0.04</v>
      </c>
      <c r="O80" s="612">
        <f t="shared" si="14"/>
        <v>0.156</v>
      </c>
      <c r="P80" s="619">
        <f t="shared" si="15"/>
        <v>1</v>
      </c>
      <c r="S80" s="618">
        <f t="shared" si="18"/>
        <v>2067</v>
      </c>
      <c r="T80" s="620">
        <v>0</v>
      </c>
      <c r="U80" s="620">
        <v>5</v>
      </c>
      <c r="V80" s="621">
        <f t="shared" si="19"/>
        <v>0</v>
      </c>
      <c r="W80" s="622">
        <v>1</v>
      </c>
      <c r="X80" s="623">
        <f t="shared" si="16"/>
        <v>0</v>
      </c>
    </row>
    <row r="81" spans="2:24">
      <c r="B81" s="618">
        <f t="shared" si="17"/>
        <v>2068</v>
      </c>
      <c r="C81" s="624"/>
      <c r="D81" s="611">
        <v>1</v>
      </c>
      <c r="E81" s="612">
        <f t="shared" si="14"/>
        <v>0.435</v>
      </c>
      <c r="F81" s="612">
        <f t="shared" si="14"/>
        <v>0.129</v>
      </c>
      <c r="G81" s="612">
        <f t="shared" si="14"/>
        <v>0</v>
      </c>
      <c r="H81" s="612">
        <f t="shared" si="14"/>
        <v>0</v>
      </c>
      <c r="I81" s="612">
        <f t="shared" si="14"/>
        <v>9.9000000000000005E-2</v>
      </c>
      <c r="J81" s="612">
        <f t="shared" si="14"/>
        <v>2.7E-2</v>
      </c>
      <c r="K81" s="612">
        <f t="shared" si="14"/>
        <v>8.9999999999999993E-3</v>
      </c>
      <c r="L81" s="612">
        <f t="shared" si="14"/>
        <v>7.1999999999999995E-2</v>
      </c>
      <c r="M81" s="612">
        <f t="shared" si="14"/>
        <v>3.3000000000000002E-2</v>
      </c>
      <c r="N81" s="612">
        <f t="shared" si="14"/>
        <v>0.04</v>
      </c>
      <c r="O81" s="612">
        <f t="shared" si="14"/>
        <v>0.156</v>
      </c>
      <c r="P81" s="619">
        <f t="shared" si="15"/>
        <v>1</v>
      </c>
      <c r="S81" s="618">
        <f t="shared" si="18"/>
        <v>2068</v>
      </c>
      <c r="T81" s="620">
        <v>0</v>
      </c>
      <c r="U81" s="620">
        <v>5</v>
      </c>
      <c r="V81" s="621">
        <f t="shared" si="19"/>
        <v>0</v>
      </c>
      <c r="W81" s="622">
        <v>1</v>
      </c>
      <c r="X81" s="623">
        <f t="shared" si="16"/>
        <v>0</v>
      </c>
    </row>
    <row r="82" spans="2:24">
      <c r="B82" s="618">
        <f t="shared" si="17"/>
        <v>2069</v>
      </c>
      <c r="C82" s="624"/>
      <c r="D82" s="611">
        <v>1</v>
      </c>
      <c r="E82" s="612">
        <f t="shared" si="14"/>
        <v>0.435</v>
      </c>
      <c r="F82" s="612">
        <f t="shared" si="14"/>
        <v>0.129</v>
      </c>
      <c r="G82" s="612">
        <f t="shared" si="14"/>
        <v>0</v>
      </c>
      <c r="H82" s="612">
        <f t="shared" si="14"/>
        <v>0</v>
      </c>
      <c r="I82" s="612">
        <f t="shared" si="14"/>
        <v>9.9000000000000005E-2</v>
      </c>
      <c r="J82" s="612">
        <f t="shared" si="14"/>
        <v>2.7E-2</v>
      </c>
      <c r="K82" s="612">
        <f t="shared" si="14"/>
        <v>8.9999999999999993E-3</v>
      </c>
      <c r="L82" s="612">
        <f t="shared" si="14"/>
        <v>7.1999999999999995E-2</v>
      </c>
      <c r="M82" s="612">
        <f t="shared" si="14"/>
        <v>3.3000000000000002E-2</v>
      </c>
      <c r="N82" s="612">
        <f t="shared" si="14"/>
        <v>0.04</v>
      </c>
      <c r="O82" s="612">
        <f t="shared" si="14"/>
        <v>0.156</v>
      </c>
      <c r="P82" s="619">
        <f t="shared" si="15"/>
        <v>1</v>
      </c>
      <c r="S82" s="618">
        <f t="shared" si="18"/>
        <v>2069</v>
      </c>
      <c r="T82" s="620">
        <v>0</v>
      </c>
      <c r="U82" s="620">
        <v>5</v>
      </c>
      <c r="V82" s="621">
        <f t="shared" si="19"/>
        <v>0</v>
      </c>
      <c r="W82" s="622">
        <v>1</v>
      </c>
      <c r="X82" s="623">
        <f t="shared" si="16"/>
        <v>0</v>
      </c>
    </row>
    <row r="83" spans="2:24">
      <c r="B83" s="618">
        <f t="shared" si="17"/>
        <v>2070</v>
      </c>
      <c r="C83" s="624"/>
      <c r="D83" s="611">
        <v>1</v>
      </c>
      <c r="E83" s="612">
        <f t="shared" ref="E83:O93" si="20">E$8</f>
        <v>0.435</v>
      </c>
      <c r="F83" s="612">
        <f t="shared" si="20"/>
        <v>0.129</v>
      </c>
      <c r="G83" s="612">
        <f t="shared" si="14"/>
        <v>0</v>
      </c>
      <c r="H83" s="612">
        <f t="shared" si="20"/>
        <v>0</v>
      </c>
      <c r="I83" s="612">
        <f t="shared" si="14"/>
        <v>9.9000000000000005E-2</v>
      </c>
      <c r="J83" s="612">
        <f t="shared" si="20"/>
        <v>2.7E-2</v>
      </c>
      <c r="K83" s="612">
        <f t="shared" si="20"/>
        <v>8.9999999999999993E-3</v>
      </c>
      <c r="L83" s="612">
        <f t="shared" si="20"/>
        <v>7.1999999999999995E-2</v>
      </c>
      <c r="M83" s="612">
        <f t="shared" si="20"/>
        <v>3.3000000000000002E-2</v>
      </c>
      <c r="N83" s="612">
        <f t="shared" si="20"/>
        <v>0.04</v>
      </c>
      <c r="O83" s="612">
        <f t="shared" si="20"/>
        <v>0.156</v>
      </c>
      <c r="P83" s="619">
        <f t="shared" si="15"/>
        <v>1</v>
      </c>
      <c r="S83" s="618">
        <f t="shared" si="18"/>
        <v>2070</v>
      </c>
      <c r="T83" s="620">
        <v>0</v>
      </c>
      <c r="U83" s="620">
        <v>5</v>
      </c>
      <c r="V83" s="621">
        <f t="shared" si="19"/>
        <v>0</v>
      </c>
      <c r="W83" s="622">
        <v>1</v>
      </c>
      <c r="X83" s="623">
        <f t="shared" si="16"/>
        <v>0</v>
      </c>
    </row>
    <row r="84" spans="2:24">
      <c r="B84" s="618">
        <f t="shared" si="17"/>
        <v>2071</v>
      </c>
      <c r="C84" s="624"/>
      <c r="D84" s="611">
        <v>1</v>
      </c>
      <c r="E84" s="612">
        <f t="shared" si="20"/>
        <v>0.435</v>
      </c>
      <c r="F84" s="612">
        <f t="shared" si="20"/>
        <v>0.129</v>
      </c>
      <c r="G84" s="612">
        <f t="shared" si="14"/>
        <v>0</v>
      </c>
      <c r="H84" s="612">
        <f t="shared" si="20"/>
        <v>0</v>
      </c>
      <c r="I84" s="612">
        <f t="shared" si="14"/>
        <v>9.9000000000000005E-2</v>
      </c>
      <c r="J84" s="612">
        <f t="shared" si="20"/>
        <v>2.7E-2</v>
      </c>
      <c r="K84" s="612">
        <f t="shared" si="20"/>
        <v>8.9999999999999993E-3</v>
      </c>
      <c r="L84" s="612">
        <f t="shared" si="20"/>
        <v>7.1999999999999995E-2</v>
      </c>
      <c r="M84" s="612">
        <f t="shared" si="20"/>
        <v>3.3000000000000002E-2</v>
      </c>
      <c r="N84" s="612">
        <f t="shared" si="20"/>
        <v>0.04</v>
      </c>
      <c r="O84" s="612">
        <f t="shared" si="20"/>
        <v>0.156</v>
      </c>
      <c r="P84" s="619">
        <f t="shared" si="15"/>
        <v>1</v>
      </c>
      <c r="S84" s="618">
        <f t="shared" si="18"/>
        <v>2071</v>
      </c>
      <c r="T84" s="620">
        <v>0</v>
      </c>
      <c r="U84" s="620">
        <v>5</v>
      </c>
      <c r="V84" s="621">
        <f t="shared" si="19"/>
        <v>0</v>
      </c>
      <c r="W84" s="622">
        <v>1</v>
      </c>
      <c r="X84" s="623">
        <f t="shared" si="16"/>
        <v>0</v>
      </c>
    </row>
    <row r="85" spans="2:24">
      <c r="B85" s="618">
        <f t="shared" si="17"/>
        <v>2072</v>
      </c>
      <c r="C85" s="624"/>
      <c r="D85" s="611">
        <v>1</v>
      </c>
      <c r="E85" s="612">
        <f t="shared" si="20"/>
        <v>0.435</v>
      </c>
      <c r="F85" s="612">
        <f t="shared" si="20"/>
        <v>0.129</v>
      </c>
      <c r="G85" s="612">
        <f t="shared" si="14"/>
        <v>0</v>
      </c>
      <c r="H85" s="612">
        <f t="shared" si="20"/>
        <v>0</v>
      </c>
      <c r="I85" s="612">
        <f t="shared" si="14"/>
        <v>9.9000000000000005E-2</v>
      </c>
      <c r="J85" s="612">
        <f t="shared" si="20"/>
        <v>2.7E-2</v>
      </c>
      <c r="K85" s="612">
        <f t="shared" si="20"/>
        <v>8.9999999999999993E-3</v>
      </c>
      <c r="L85" s="612">
        <f t="shared" si="20"/>
        <v>7.1999999999999995E-2</v>
      </c>
      <c r="M85" s="612">
        <f t="shared" si="20"/>
        <v>3.3000000000000002E-2</v>
      </c>
      <c r="N85" s="612">
        <f t="shared" si="20"/>
        <v>0.04</v>
      </c>
      <c r="O85" s="612">
        <f t="shared" si="20"/>
        <v>0.156</v>
      </c>
      <c r="P85" s="619">
        <f t="shared" si="15"/>
        <v>1</v>
      </c>
      <c r="S85" s="618">
        <f t="shared" si="18"/>
        <v>2072</v>
      </c>
      <c r="T85" s="620">
        <v>0</v>
      </c>
      <c r="U85" s="620">
        <v>5</v>
      </c>
      <c r="V85" s="621">
        <f t="shared" si="19"/>
        <v>0</v>
      </c>
      <c r="W85" s="622">
        <v>1</v>
      </c>
      <c r="X85" s="623">
        <f t="shared" si="16"/>
        <v>0</v>
      </c>
    </row>
    <row r="86" spans="2:24">
      <c r="B86" s="618">
        <f t="shared" si="17"/>
        <v>2073</v>
      </c>
      <c r="C86" s="624"/>
      <c r="D86" s="611">
        <v>1</v>
      </c>
      <c r="E86" s="612">
        <f t="shared" si="20"/>
        <v>0.435</v>
      </c>
      <c r="F86" s="612">
        <f t="shared" si="20"/>
        <v>0.129</v>
      </c>
      <c r="G86" s="612">
        <f t="shared" si="14"/>
        <v>0</v>
      </c>
      <c r="H86" s="612">
        <f t="shared" si="20"/>
        <v>0</v>
      </c>
      <c r="I86" s="612">
        <f t="shared" si="14"/>
        <v>9.9000000000000005E-2</v>
      </c>
      <c r="J86" s="612">
        <f t="shared" si="20"/>
        <v>2.7E-2</v>
      </c>
      <c r="K86" s="612">
        <f t="shared" si="20"/>
        <v>8.9999999999999993E-3</v>
      </c>
      <c r="L86" s="612">
        <f t="shared" si="20"/>
        <v>7.1999999999999995E-2</v>
      </c>
      <c r="M86" s="612">
        <f t="shared" si="20"/>
        <v>3.3000000000000002E-2</v>
      </c>
      <c r="N86" s="612">
        <f t="shared" si="20"/>
        <v>0.04</v>
      </c>
      <c r="O86" s="612">
        <f t="shared" si="20"/>
        <v>0.156</v>
      </c>
      <c r="P86" s="619">
        <f t="shared" si="15"/>
        <v>1</v>
      </c>
      <c r="S86" s="618">
        <f t="shared" si="18"/>
        <v>2073</v>
      </c>
      <c r="T86" s="620">
        <v>0</v>
      </c>
      <c r="U86" s="620">
        <v>5</v>
      </c>
      <c r="V86" s="621">
        <f t="shared" si="19"/>
        <v>0</v>
      </c>
      <c r="W86" s="622">
        <v>1</v>
      </c>
      <c r="X86" s="623">
        <f t="shared" si="16"/>
        <v>0</v>
      </c>
    </row>
    <row r="87" spans="2:24">
      <c r="B87" s="618">
        <f t="shared" si="17"/>
        <v>2074</v>
      </c>
      <c r="C87" s="624"/>
      <c r="D87" s="611">
        <v>1</v>
      </c>
      <c r="E87" s="612">
        <f t="shared" si="20"/>
        <v>0.435</v>
      </c>
      <c r="F87" s="612">
        <f t="shared" si="20"/>
        <v>0.129</v>
      </c>
      <c r="G87" s="612">
        <f t="shared" si="14"/>
        <v>0</v>
      </c>
      <c r="H87" s="612">
        <f t="shared" si="20"/>
        <v>0</v>
      </c>
      <c r="I87" s="612">
        <f t="shared" si="14"/>
        <v>9.9000000000000005E-2</v>
      </c>
      <c r="J87" s="612">
        <f t="shared" si="20"/>
        <v>2.7E-2</v>
      </c>
      <c r="K87" s="612">
        <f t="shared" si="20"/>
        <v>8.9999999999999993E-3</v>
      </c>
      <c r="L87" s="612">
        <f t="shared" si="20"/>
        <v>7.1999999999999995E-2</v>
      </c>
      <c r="M87" s="612">
        <f t="shared" si="20"/>
        <v>3.3000000000000002E-2</v>
      </c>
      <c r="N87" s="612">
        <f t="shared" si="20"/>
        <v>0.04</v>
      </c>
      <c r="O87" s="612">
        <f t="shared" si="20"/>
        <v>0.156</v>
      </c>
      <c r="P87" s="619">
        <f t="shared" si="15"/>
        <v>1</v>
      </c>
      <c r="S87" s="618">
        <f t="shared" si="18"/>
        <v>2074</v>
      </c>
      <c r="T87" s="620">
        <v>0</v>
      </c>
      <c r="U87" s="620">
        <v>5</v>
      </c>
      <c r="V87" s="621">
        <f t="shared" si="19"/>
        <v>0</v>
      </c>
      <c r="W87" s="622">
        <v>1</v>
      </c>
      <c r="X87" s="623">
        <f t="shared" si="16"/>
        <v>0</v>
      </c>
    </row>
    <row r="88" spans="2:24">
      <c r="B88" s="618">
        <f t="shared" si="17"/>
        <v>2075</v>
      </c>
      <c r="C88" s="624"/>
      <c r="D88" s="611">
        <v>1</v>
      </c>
      <c r="E88" s="612">
        <f t="shared" si="20"/>
        <v>0.435</v>
      </c>
      <c r="F88" s="612">
        <f t="shared" si="20"/>
        <v>0.129</v>
      </c>
      <c r="G88" s="612">
        <f t="shared" si="14"/>
        <v>0</v>
      </c>
      <c r="H88" s="612">
        <f t="shared" si="20"/>
        <v>0</v>
      </c>
      <c r="I88" s="612">
        <f t="shared" si="14"/>
        <v>9.9000000000000005E-2</v>
      </c>
      <c r="J88" s="612">
        <f t="shared" si="20"/>
        <v>2.7E-2</v>
      </c>
      <c r="K88" s="612">
        <f t="shared" si="20"/>
        <v>8.9999999999999993E-3</v>
      </c>
      <c r="L88" s="612">
        <f t="shared" si="20"/>
        <v>7.1999999999999995E-2</v>
      </c>
      <c r="M88" s="612">
        <f t="shared" si="20"/>
        <v>3.3000000000000002E-2</v>
      </c>
      <c r="N88" s="612">
        <f t="shared" si="20"/>
        <v>0.04</v>
      </c>
      <c r="O88" s="612">
        <f t="shared" si="20"/>
        <v>0.156</v>
      </c>
      <c r="P88" s="619">
        <f t="shared" si="15"/>
        <v>1</v>
      </c>
      <c r="S88" s="618">
        <f t="shared" si="18"/>
        <v>2075</v>
      </c>
      <c r="T88" s="620">
        <v>0</v>
      </c>
      <c r="U88" s="620">
        <v>5</v>
      </c>
      <c r="V88" s="621">
        <f t="shared" si="19"/>
        <v>0</v>
      </c>
      <c r="W88" s="622">
        <v>1</v>
      </c>
      <c r="X88" s="623">
        <f t="shared" si="16"/>
        <v>0</v>
      </c>
    </row>
    <row r="89" spans="2:24">
      <c r="B89" s="618">
        <f t="shared" si="17"/>
        <v>2076</v>
      </c>
      <c r="C89" s="624"/>
      <c r="D89" s="611">
        <v>1</v>
      </c>
      <c r="E89" s="612">
        <f t="shared" si="20"/>
        <v>0.435</v>
      </c>
      <c r="F89" s="612">
        <f t="shared" si="20"/>
        <v>0.129</v>
      </c>
      <c r="G89" s="612">
        <f t="shared" si="20"/>
        <v>0</v>
      </c>
      <c r="H89" s="612">
        <f t="shared" si="20"/>
        <v>0</v>
      </c>
      <c r="I89" s="612">
        <f t="shared" si="20"/>
        <v>9.9000000000000005E-2</v>
      </c>
      <c r="J89" s="612">
        <f t="shared" si="20"/>
        <v>2.7E-2</v>
      </c>
      <c r="K89" s="612">
        <f t="shared" si="20"/>
        <v>8.9999999999999993E-3</v>
      </c>
      <c r="L89" s="612">
        <f t="shared" si="20"/>
        <v>7.1999999999999995E-2</v>
      </c>
      <c r="M89" s="612">
        <f t="shared" si="20"/>
        <v>3.3000000000000002E-2</v>
      </c>
      <c r="N89" s="612">
        <f t="shared" si="20"/>
        <v>0.04</v>
      </c>
      <c r="O89" s="612">
        <f t="shared" si="20"/>
        <v>0.156</v>
      </c>
      <c r="P89" s="619">
        <f t="shared" si="15"/>
        <v>1</v>
      </c>
      <c r="S89" s="618">
        <f t="shared" si="18"/>
        <v>2076</v>
      </c>
      <c r="T89" s="620">
        <v>0</v>
      </c>
      <c r="U89" s="620">
        <v>5</v>
      </c>
      <c r="V89" s="621">
        <f t="shared" si="19"/>
        <v>0</v>
      </c>
      <c r="W89" s="622">
        <v>1</v>
      </c>
      <c r="X89" s="623">
        <f t="shared" si="16"/>
        <v>0</v>
      </c>
    </row>
    <row r="90" spans="2:24">
      <c r="B90" s="618">
        <f t="shared" si="17"/>
        <v>2077</v>
      </c>
      <c r="C90" s="624"/>
      <c r="D90" s="611">
        <v>1</v>
      </c>
      <c r="E90" s="612">
        <f t="shared" si="20"/>
        <v>0.435</v>
      </c>
      <c r="F90" s="612">
        <f t="shared" si="20"/>
        <v>0.129</v>
      </c>
      <c r="G90" s="612">
        <f t="shared" si="20"/>
        <v>0</v>
      </c>
      <c r="H90" s="612">
        <f t="shared" si="20"/>
        <v>0</v>
      </c>
      <c r="I90" s="612">
        <f t="shared" si="20"/>
        <v>9.9000000000000005E-2</v>
      </c>
      <c r="J90" s="612">
        <f t="shared" si="20"/>
        <v>2.7E-2</v>
      </c>
      <c r="K90" s="612">
        <f t="shared" si="20"/>
        <v>8.9999999999999993E-3</v>
      </c>
      <c r="L90" s="612">
        <f t="shared" si="20"/>
        <v>7.1999999999999995E-2</v>
      </c>
      <c r="M90" s="612">
        <f t="shared" si="20"/>
        <v>3.3000000000000002E-2</v>
      </c>
      <c r="N90" s="612">
        <f t="shared" si="20"/>
        <v>0.04</v>
      </c>
      <c r="O90" s="612">
        <f t="shared" si="20"/>
        <v>0.156</v>
      </c>
      <c r="P90" s="619">
        <f t="shared" si="15"/>
        <v>1</v>
      </c>
      <c r="S90" s="618">
        <f t="shared" si="18"/>
        <v>2077</v>
      </c>
      <c r="T90" s="620">
        <v>0</v>
      </c>
      <c r="U90" s="620">
        <v>5</v>
      </c>
      <c r="V90" s="621">
        <f t="shared" si="19"/>
        <v>0</v>
      </c>
      <c r="W90" s="622">
        <v>1</v>
      </c>
      <c r="X90" s="623">
        <f t="shared" si="16"/>
        <v>0</v>
      </c>
    </row>
    <row r="91" spans="2:24">
      <c r="B91" s="618">
        <f t="shared" si="17"/>
        <v>2078</v>
      </c>
      <c r="C91" s="624"/>
      <c r="D91" s="611">
        <v>1</v>
      </c>
      <c r="E91" s="612">
        <f t="shared" si="20"/>
        <v>0.435</v>
      </c>
      <c r="F91" s="612">
        <f t="shared" si="20"/>
        <v>0.129</v>
      </c>
      <c r="G91" s="612">
        <f t="shared" si="20"/>
        <v>0</v>
      </c>
      <c r="H91" s="612">
        <f t="shared" si="20"/>
        <v>0</v>
      </c>
      <c r="I91" s="612">
        <f t="shared" si="20"/>
        <v>9.9000000000000005E-2</v>
      </c>
      <c r="J91" s="612">
        <f t="shared" si="20"/>
        <v>2.7E-2</v>
      </c>
      <c r="K91" s="612">
        <f t="shared" si="20"/>
        <v>8.9999999999999993E-3</v>
      </c>
      <c r="L91" s="612">
        <f t="shared" si="20"/>
        <v>7.1999999999999995E-2</v>
      </c>
      <c r="M91" s="612">
        <f t="shared" si="20"/>
        <v>3.3000000000000002E-2</v>
      </c>
      <c r="N91" s="612">
        <f t="shared" si="20"/>
        <v>0.04</v>
      </c>
      <c r="O91" s="612">
        <f t="shared" si="20"/>
        <v>0.156</v>
      </c>
      <c r="P91" s="619">
        <f t="shared" si="15"/>
        <v>1</v>
      </c>
      <c r="S91" s="618">
        <f t="shared" si="18"/>
        <v>2078</v>
      </c>
      <c r="T91" s="620">
        <v>0</v>
      </c>
      <c r="U91" s="620">
        <v>5</v>
      </c>
      <c r="V91" s="621">
        <f t="shared" si="19"/>
        <v>0</v>
      </c>
      <c r="W91" s="622">
        <v>1</v>
      </c>
      <c r="X91" s="623">
        <f t="shared" si="16"/>
        <v>0</v>
      </c>
    </row>
    <row r="92" spans="2:24">
      <c r="B92" s="618">
        <f t="shared" si="17"/>
        <v>2079</v>
      </c>
      <c r="C92" s="624"/>
      <c r="D92" s="611">
        <v>1</v>
      </c>
      <c r="E92" s="612">
        <f t="shared" si="20"/>
        <v>0.435</v>
      </c>
      <c r="F92" s="612">
        <f t="shared" si="20"/>
        <v>0.129</v>
      </c>
      <c r="G92" s="612">
        <f t="shared" si="20"/>
        <v>0</v>
      </c>
      <c r="H92" s="612">
        <f t="shared" si="20"/>
        <v>0</v>
      </c>
      <c r="I92" s="612">
        <f t="shared" si="20"/>
        <v>9.9000000000000005E-2</v>
      </c>
      <c r="J92" s="612">
        <f t="shared" si="20"/>
        <v>2.7E-2</v>
      </c>
      <c r="K92" s="612">
        <f t="shared" si="20"/>
        <v>8.9999999999999993E-3</v>
      </c>
      <c r="L92" s="612">
        <f t="shared" si="20"/>
        <v>7.1999999999999995E-2</v>
      </c>
      <c r="M92" s="612">
        <f t="shared" si="20"/>
        <v>3.3000000000000002E-2</v>
      </c>
      <c r="N92" s="612">
        <f t="shared" si="20"/>
        <v>0.04</v>
      </c>
      <c r="O92" s="612">
        <f t="shared" si="20"/>
        <v>0.156</v>
      </c>
      <c r="P92" s="619">
        <f t="shared" si="15"/>
        <v>1</v>
      </c>
      <c r="S92" s="618">
        <f t="shared" si="18"/>
        <v>2079</v>
      </c>
      <c r="T92" s="620">
        <v>0</v>
      </c>
      <c r="U92" s="620">
        <v>5</v>
      </c>
      <c r="V92" s="621">
        <f t="shared" si="19"/>
        <v>0</v>
      </c>
      <c r="W92" s="622">
        <v>1</v>
      </c>
      <c r="X92" s="623">
        <f t="shared" si="16"/>
        <v>0</v>
      </c>
    </row>
    <row r="93" spans="2:24" ht="13.5" thickBot="1">
      <c r="B93" s="625">
        <f t="shared" si="17"/>
        <v>2080</v>
      </c>
      <c r="C93" s="626"/>
      <c r="D93" s="611">
        <v>1</v>
      </c>
      <c r="E93" s="627">
        <f t="shared" si="20"/>
        <v>0.435</v>
      </c>
      <c r="F93" s="627">
        <f t="shared" si="20"/>
        <v>0.129</v>
      </c>
      <c r="G93" s="627">
        <f t="shared" si="20"/>
        <v>0</v>
      </c>
      <c r="H93" s="627">
        <f t="shared" si="20"/>
        <v>0</v>
      </c>
      <c r="I93" s="627">
        <f t="shared" si="20"/>
        <v>9.9000000000000005E-2</v>
      </c>
      <c r="J93" s="627">
        <f t="shared" si="20"/>
        <v>2.7E-2</v>
      </c>
      <c r="K93" s="627">
        <f t="shared" si="20"/>
        <v>8.9999999999999993E-3</v>
      </c>
      <c r="L93" s="627">
        <f t="shared" si="20"/>
        <v>7.1999999999999995E-2</v>
      </c>
      <c r="M93" s="627">
        <f t="shared" si="20"/>
        <v>3.3000000000000002E-2</v>
      </c>
      <c r="N93" s="627">
        <f t="shared" si="20"/>
        <v>0.04</v>
      </c>
      <c r="O93" s="628">
        <f t="shared" si="20"/>
        <v>0.156</v>
      </c>
      <c r="P93" s="629">
        <f t="shared" si="15"/>
        <v>1</v>
      </c>
      <c r="S93" s="625">
        <f t="shared" si="18"/>
        <v>2080</v>
      </c>
      <c r="T93" s="630">
        <v>0</v>
      </c>
      <c r="U93" s="631">
        <v>5</v>
      </c>
      <c r="V93" s="632">
        <f t="shared" si="19"/>
        <v>0</v>
      </c>
      <c r="W93" s="633">
        <v>1</v>
      </c>
      <c r="X93" s="634">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G15" sqref="G15"/>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N14" sqref="N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22" t="str">
        <f>city</f>
        <v>Penajam Paser Utara</v>
      </c>
      <c r="J2" s="823"/>
      <c r="K2" s="823"/>
      <c r="L2" s="823"/>
      <c r="M2" s="823"/>
      <c r="N2" s="823"/>
      <c r="O2" s="823"/>
    </row>
    <row r="3" spans="2:16" ht="16.5" thickBot="1">
      <c r="C3" s="4"/>
      <c r="H3" s="5" t="s">
        <v>276</v>
      </c>
      <c r="I3" s="822" t="str">
        <f>province</f>
        <v>Kalimantan Timur</v>
      </c>
      <c r="J3" s="823"/>
      <c r="K3" s="823"/>
      <c r="L3" s="823"/>
      <c r="M3" s="823"/>
      <c r="N3" s="823"/>
      <c r="O3" s="823"/>
    </row>
    <row r="4" spans="2:16" ht="16.5" thickBot="1">
      <c r="D4" s="4"/>
      <c r="E4" s="4"/>
      <c r="H4" s="5" t="s">
        <v>30</v>
      </c>
      <c r="I4" s="822" t="str">
        <f>country</f>
        <v>Indonesia</v>
      </c>
      <c r="J4" s="823"/>
      <c r="K4" s="823"/>
      <c r="L4" s="823"/>
      <c r="M4" s="823"/>
      <c r="N4" s="823"/>
      <c r="O4" s="823"/>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828" t="s">
        <v>32</v>
      </c>
      <c r="D10" s="829"/>
      <c r="E10" s="829"/>
      <c r="F10" s="829"/>
      <c r="G10" s="829"/>
      <c r="H10" s="829"/>
      <c r="I10" s="829"/>
      <c r="J10" s="829"/>
      <c r="K10" s="829"/>
      <c r="L10" s="829"/>
      <c r="M10" s="829"/>
      <c r="N10" s="829"/>
      <c r="O10" s="829"/>
      <c r="P10" s="830"/>
    </row>
    <row r="11" spans="2:16" ht="13.5" customHeight="1" thickBot="1">
      <c r="C11" s="811" t="s">
        <v>228</v>
      </c>
      <c r="D11" s="811" t="s">
        <v>262</v>
      </c>
      <c r="E11" s="811" t="s">
        <v>267</v>
      </c>
      <c r="F11" s="811" t="s">
        <v>261</v>
      </c>
      <c r="G11" s="811" t="s">
        <v>2</v>
      </c>
      <c r="H11" s="811" t="s">
        <v>16</v>
      </c>
      <c r="I11" s="811" t="s">
        <v>229</v>
      </c>
      <c r="J11" s="824" t="s">
        <v>273</v>
      </c>
      <c r="K11" s="825"/>
      <c r="L11" s="825"/>
      <c r="M11" s="826"/>
      <c r="N11" s="811" t="s">
        <v>146</v>
      </c>
      <c r="O11" s="811" t="s">
        <v>210</v>
      </c>
      <c r="P11" s="810" t="s">
        <v>308</v>
      </c>
    </row>
    <row r="12" spans="2:16" s="1" customFormat="1">
      <c r="B12" s="365" t="s">
        <v>1</v>
      </c>
      <c r="C12" s="827"/>
      <c r="D12" s="827"/>
      <c r="E12" s="827"/>
      <c r="F12" s="827"/>
      <c r="G12" s="827"/>
      <c r="H12" s="827"/>
      <c r="I12" s="827"/>
      <c r="J12" s="369" t="s">
        <v>230</v>
      </c>
      <c r="K12" s="369" t="s">
        <v>231</v>
      </c>
      <c r="L12" s="369" t="s">
        <v>232</v>
      </c>
      <c r="M12" s="365" t="s">
        <v>233</v>
      </c>
      <c r="N12" s="827"/>
      <c r="O12" s="827"/>
      <c r="P12" s="827"/>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548">
        <f>Activity!$C13*Activity!$D13*Activity!E13</f>
        <v>0</v>
      </c>
      <c r="D14" s="549">
        <f>Activity!$C13*Activity!$D13*Activity!F13</f>
        <v>0</v>
      </c>
      <c r="E14" s="549">
        <f>Activity!$C13*Activity!$D13*Activity!G13</f>
        <v>0</v>
      </c>
      <c r="F14" s="549">
        <f>Activity!$C13*Activity!$D13*Activity!H13</f>
        <v>0</v>
      </c>
      <c r="G14" s="549">
        <f>Activity!$C13*Activity!$D13*Activity!I13</f>
        <v>0</v>
      </c>
      <c r="H14" s="549">
        <f>Activity!$C13*Activity!$D13*Activity!J13</f>
        <v>0</v>
      </c>
      <c r="I14" s="549">
        <f>Activity!$C13*Activity!$D13*Activity!K13</f>
        <v>0</v>
      </c>
      <c r="J14" s="549">
        <f>Activity!$C13*Activity!$D13*Activity!L13</f>
        <v>0</v>
      </c>
      <c r="K14" s="550">
        <f>Activity!$C13*Activity!$D13*Activity!M13</f>
        <v>0</v>
      </c>
      <c r="L14" s="550">
        <f>Activity!$C13*Activity!$D13*Activity!N13</f>
        <v>0</v>
      </c>
      <c r="M14" s="549">
        <f>Activity!$C13*Activity!$D13*Activity!O13</f>
        <v>0</v>
      </c>
      <c r="N14" s="412">
        <v>0</v>
      </c>
      <c r="O14" s="557">
        <f>Activity!C13*Activity!D13</f>
        <v>0</v>
      </c>
      <c r="P14" s="558">
        <f>Activity!X13</f>
        <v>0</v>
      </c>
    </row>
    <row r="15" spans="2:16">
      <c r="B15" s="34">
        <f>B14+1</f>
        <v>2001</v>
      </c>
      <c r="C15" s="551">
        <f>Activity!$C14*Activity!$D14*Activity!E14</f>
        <v>0</v>
      </c>
      <c r="D15" s="552">
        <f>Activity!$C14*Activity!$D14*Activity!F14</f>
        <v>0</v>
      </c>
      <c r="E15" s="550">
        <f>Activity!$C14*Activity!$D14*Activity!G14</f>
        <v>0</v>
      </c>
      <c r="F15" s="552">
        <f>Activity!$C14*Activity!$D14*Activity!H14</f>
        <v>0</v>
      </c>
      <c r="G15" s="552">
        <f>Activity!$C14*Activity!$D14*Activity!I14</f>
        <v>0</v>
      </c>
      <c r="H15" s="552">
        <f>Activity!$C14*Activity!$D14*Activity!J14</f>
        <v>0</v>
      </c>
      <c r="I15" s="552">
        <f>Activity!$C14*Activity!$D14*Activity!K14</f>
        <v>0</v>
      </c>
      <c r="J15" s="553">
        <f>Activity!$C14*Activity!$D14*Activity!L14</f>
        <v>0</v>
      </c>
      <c r="K15" s="552">
        <f>Activity!$C14*Activity!$D14*Activity!M14</f>
        <v>0</v>
      </c>
      <c r="L15" s="552">
        <f>Activity!$C14*Activity!$D14*Activity!N14</f>
        <v>0</v>
      </c>
      <c r="M15" s="550">
        <f>Activity!$C14*Activity!$D14*Activity!O14</f>
        <v>0</v>
      </c>
      <c r="N15" s="413">
        <v>0</v>
      </c>
      <c r="O15" s="552">
        <f>Activity!C14*Activity!D14</f>
        <v>0</v>
      </c>
      <c r="P15" s="559">
        <f>Activity!X14</f>
        <v>0</v>
      </c>
    </row>
    <row r="16" spans="2:16">
      <c r="B16" s="7">
        <f t="shared" ref="B16:B21" si="0">B15+1</f>
        <v>2002</v>
      </c>
      <c r="C16" s="551">
        <f>Activity!$C15*Activity!$D15*Activity!E15</f>
        <v>2.9964041890199997</v>
      </c>
      <c r="D16" s="552">
        <f>Activity!$C15*Activity!$D15*Activity!F15</f>
        <v>0.88858882846800002</v>
      </c>
      <c r="E16" s="550">
        <f>Activity!$C15*Activity!$D15*Activity!G15</f>
        <v>0</v>
      </c>
      <c r="F16" s="552">
        <f>Activity!$C15*Activity!$D15*Activity!H15</f>
        <v>0</v>
      </c>
      <c r="G16" s="552">
        <f>Activity!$C15*Activity!$D15*Activity!I15</f>
        <v>0.68194026370799998</v>
      </c>
      <c r="H16" s="552">
        <f>Activity!$C15*Activity!$D15*Activity!J15</f>
        <v>0.18598370828399999</v>
      </c>
      <c r="I16" s="552">
        <f>Activity!$C15*Activity!$D15*Activity!K15</f>
        <v>6.1994569427999989E-2</v>
      </c>
      <c r="J16" s="553">
        <f>Activity!$C15*Activity!$D15*Activity!L15</f>
        <v>0.49595655542399991</v>
      </c>
      <c r="K16" s="552">
        <f>Activity!$C15*Activity!$D15*Activity!M15</f>
        <v>0.22731342123599999</v>
      </c>
      <c r="L16" s="552">
        <f>Activity!$C15*Activity!$D15*Activity!N15</f>
        <v>0.27553141968</v>
      </c>
      <c r="M16" s="550">
        <f>Activity!$C15*Activity!$D15*Activity!O15</f>
        <v>1.074572536752</v>
      </c>
      <c r="N16" s="413">
        <v>0</v>
      </c>
      <c r="O16" s="552">
        <f>Activity!C15*Activity!D15</f>
        <v>6.8882854919999996</v>
      </c>
      <c r="P16" s="559">
        <f>Activity!X15</f>
        <v>0</v>
      </c>
    </row>
    <row r="17" spans="2:16">
      <c r="B17" s="7">
        <f t="shared" si="0"/>
        <v>2003</v>
      </c>
      <c r="C17" s="551">
        <f>Activity!$C16*Activity!$D16*Activity!E16</f>
        <v>3.04778199726</v>
      </c>
      <c r="D17" s="552">
        <f>Activity!$C16*Activity!$D16*Activity!F16</f>
        <v>0.90382500608400007</v>
      </c>
      <c r="E17" s="550">
        <f>Activity!$C16*Activity!$D16*Activity!G16</f>
        <v>0</v>
      </c>
      <c r="F17" s="552">
        <f>Activity!$C16*Activity!$D16*Activity!H16</f>
        <v>0</v>
      </c>
      <c r="G17" s="552">
        <f>Activity!$C16*Activity!$D16*Activity!I16</f>
        <v>0.69363314420400002</v>
      </c>
      <c r="H17" s="552">
        <f>Activity!$C16*Activity!$D16*Activity!J16</f>
        <v>0.189172675692</v>
      </c>
      <c r="I17" s="552">
        <f>Activity!$C16*Activity!$D16*Activity!K16</f>
        <v>6.3057558563999999E-2</v>
      </c>
      <c r="J17" s="553">
        <f>Activity!$C16*Activity!$D16*Activity!L16</f>
        <v>0.50446046851199999</v>
      </c>
      <c r="K17" s="552">
        <f>Activity!$C16*Activity!$D16*Activity!M16</f>
        <v>0.23121104806800002</v>
      </c>
      <c r="L17" s="552">
        <f>Activity!$C16*Activity!$D16*Activity!N16</f>
        <v>0.28025581584000003</v>
      </c>
      <c r="M17" s="550">
        <f>Activity!$C16*Activity!$D16*Activity!O16</f>
        <v>1.0929976817760001</v>
      </c>
      <c r="N17" s="413">
        <v>0</v>
      </c>
      <c r="O17" s="552">
        <f>Activity!C16*Activity!D16</f>
        <v>7.0063953960000003</v>
      </c>
      <c r="P17" s="559">
        <f>Activity!X16</f>
        <v>0</v>
      </c>
    </row>
    <row r="18" spans="2:16">
      <c r="B18" s="7">
        <f t="shared" si="0"/>
        <v>2004</v>
      </c>
      <c r="C18" s="551">
        <f>Activity!$C17*Activity!$D17*Activity!E17</f>
        <v>3.17005903566</v>
      </c>
      <c r="D18" s="552">
        <f>Activity!$C17*Activity!$D17*Activity!F17</f>
        <v>0.94008647264400003</v>
      </c>
      <c r="E18" s="550">
        <f>Activity!$C17*Activity!$D17*Activity!G17</f>
        <v>0</v>
      </c>
      <c r="F18" s="552">
        <f>Activity!$C17*Activity!$D17*Activity!H17</f>
        <v>0</v>
      </c>
      <c r="G18" s="552">
        <f>Activity!$C17*Activity!$D17*Activity!I17</f>
        <v>0.72146171156399996</v>
      </c>
      <c r="H18" s="552">
        <f>Activity!$C17*Activity!$D17*Activity!J17</f>
        <v>0.19676228497199999</v>
      </c>
      <c r="I18" s="552">
        <f>Activity!$C17*Activity!$D17*Activity!K17</f>
        <v>6.5587428323999997E-2</v>
      </c>
      <c r="J18" s="553">
        <f>Activity!$C17*Activity!$D17*Activity!L17</f>
        <v>0.52469942659199997</v>
      </c>
      <c r="K18" s="552">
        <f>Activity!$C17*Activity!$D17*Activity!M17</f>
        <v>0.240487237188</v>
      </c>
      <c r="L18" s="552">
        <f>Activity!$C17*Activity!$D17*Activity!N17</f>
        <v>0.29149968143999999</v>
      </c>
      <c r="M18" s="550">
        <f>Activity!$C17*Activity!$D17*Activity!O17</f>
        <v>1.136848757616</v>
      </c>
      <c r="N18" s="413">
        <v>0</v>
      </c>
      <c r="O18" s="552">
        <f>Activity!C17*Activity!D17</f>
        <v>7.2874920359999997</v>
      </c>
      <c r="P18" s="559">
        <f>Activity!X17</f>
        <v>0</v>
      </c>
    </row>
    <row r="19" spans="2:16">
      <c r="B19" s="7">
        <f t="shared" si="0"/>
        <v>2005</v>
      </c>
      <c r="C19" s="551">
        <f>Activity!$C18*Activity!$D18*Activity!E18</f>
        <v>3.2840233806600003</v>
      </c>
      <c r="D19" s="552">
        <f>Activity!$C18*Activity!$D18*Activity!F18</f>
        <v>0.97388279564400015</v>
      </c>
      <c r="E19" s="550">
        <f>Activity!$C18*Activity!$D18*Activity!G18</f>
        <v>0</v>
      </c>
      <c r="F19" s="552">
        <f>Activity!$C18*Activity!$D18*Activity!H18</f>
        <v>0</v>
      </c>
      <c r="G19" s="552">
        <f>Activity!$C18*Activity!$D18*Activity!I18</f>
        <v>0.74739842456400019</v>
      </c>
      <c r="H19" s="552">
        <f>Activity!$C18*Activity!$D18*Activity!J18</f>
        <v>0.20383593397200003</v>
      </c>
      <c r="I19" s="552">
        <f>Activity!$C18*Activity!$D18*Activity!K18</f>
        <v>6.7945311324000002E-2</v>
      </c>
      <c r="J19" s="553">
        <f>Activity!$C18*Activity!$D18*Activity!L18</f>
        <v>0.54356249059200001</v>
      </c>
      <c r="K19" s="552">
        <f>Activity!$C18*Activity!$D18*Activity!M18</f>
        <v>0.24913280818800004</v>
      </c>
      <c r="L19" s="552">
        <f>Activity!$C18*Activity!$D18*Activity!N18</f>
        <v>0.30197916144000003</v>
      </c>
      <c r="M19" s="550">
        <f>Activity!$C18*Activity!$D18*Activity!O18</f>
        <v>1.1777187296160001</v>
      </c>
      <c r="N19" s="413">
        <v>0</v>
      </c>
      <c r="O19" s="552">
        <f>Activity!C18*Activity!D18</f>
        <v>7.549479036000001</v>
      </c>
      <c r="P19" s="559">
        <f>Activity!X18</f>
        <v>0</v>
      </c>
    </row>
    <row r="20" spans="2:16">
      <c r="B20" s="7">
        <f t="shared" si="0"/>
        <v>2006</v>
      </c>
      <c r="C20" s="551">
        <f>Activity!$C19*Activity!$D19*Activity!E19</f>
        <v>3.3199020379799999</v>
      </c>
      <c r="D20" s="552">
        <f>Activity!$C19*Activity!$D19*Activity!F19</f>
        <v>0.98452267333200005</v>
      </c>
      <c r="E20" s="550">
        <f>Activity!$C19*Activity!$D19*Activity!G19</f>
        <v>0</v>
      </c>
      <c r="F20" s="552">
        <f>Activity!$C19*Activity!$D19*Activity!H19</f>
        <v>0</v>
      </c>
      <c r="G20" s="552">
        <f>Activity!$C19*Activity!$D19*Activity!I19</f>
        <v>0.75556391209200002</v>
      </c>
      <c r="H20" s="552">
        <f>Activity!$C19*Activity!$D19*Activity!J19</f>
        <v>0.20606288511599999</v>
      </c>
      <c r="I20" s="552">
        <f>Activity!$C19*Activity!$D19*Activity!K19</f>
        <v>6.8687628372000001E-2</v>
      </c>
      <c r="J20" s="553">
        <f>Activity!$C19*Activity!$D19*Activity!L19</f>
        <v>0.54950102697600001</v>
      </c>
      <c r="K20" s="552">
        <f>Activity!$C19*Activity!$D19*Activity!M19</f>
        <v>0.25185463736399999</v>
      </c>
      <c r="L20" s="552">
        <f>Activity!$C19*Activity!$D19*Activity!N19</f>
        <v>0.30527834832</v>
      </c>
      <c r="M20" s="550">
        <f>Activity!$C19*Activity!$D19*Activity!O19</f>
        <v>1.1905855584480001</v>
      </c>
      <c r="N20" s="413">
        <v>0</v>
      </c>
      <c r="O20" s="552">
        <f>Activity!C19*Activity!D19</f>
        <v>7.631958708</v>
      </c>
      <c r="P20" s="559">
        <f>Activity!X19</f>
        <v>0</v>
      </c>
    </row>
    <row r="21" spans="2:16">
      <c r="B21" s="7">
        <f t="shared" si="0"/>
        <v>2007</v>
      </c>
      <c r="C21" s="551">
        <f>Activity!$C20*Activity!$D20*Activity!E20</f>
        <v>3.3547349048399999</v>
      </c>
      <c r="D21" s="552">
        <f>Activity!$C20*Activity!$D20*Activity!F20</f>
        <v>0.99485242005599994</v>
      </c>
      <c r="E21" s="550">
        <f>Activity!$C20*Activity!$D20*Activity!G20</f>
        <v>0</v>
      </c>
      <c r="F21" s="552">
        <f>Activity!$C20*Activity!$D20*Activity!H20</f>
        <v>0</v>
      </c>
      <c r="G21" s="552">
        <f>Activity!$C20*Activity!$D20*Activity!I20</f>
        <v>0.76349139213600004</v>
      </c>
      <c r="H21" s="552">
        <f>Activity!$C20*Activity!$D20*Activity!J20</f>
        <v>0.20822492512799998</v>
      </c>
      <c r="I21" s="552">
        <f>Activity!$C20*Activity!$D20*Activity!K20</f>
        <v>6.9408308375999997E-2</v>
      </c>
      <c r="J21" s="553">
        <f>Activity!$C20*Activity!$D20*Activity!L20</f>
        <v>0.55526646700799998</v>
      </c>
      <c r="K21" s="552">
        <f>Activity!$C20*Activity!$D20*Activity!M20</f>
        <v>0.25449713071199997</v>
      </c>
      <c r="L21" s="552">
        <f>Activity!$C20*Activity!$D20*Activity!N20</f>
        <v>0.30848137055999997</v>
      </c>
      <c r="M21" s="550">
        <f>Activity!$C20*Activity!$D20*Activity!O20</f>
        <v>1.203077345184</v>
      </c>
      <c r="N21" s="413">
        <v>0</v>
      </c>
      <c r="O21" s="552">
        <f>Activity!C20*Activity!D20</f>
        <v>7.7120342639999997</v>
      </c>
      <c r="P21" s="559">
        <f>Activity!X20</f>
        <v>0</v>
      </c>
    </row>
    <row r="22" spans="2:16">
      <c r="B22" s="7">
        <f t="shared" ref="B22:B85" si="1">B21+1</f>
        <v>2008</v>
      </c>
      <c r="C22" s="551">
        <f>Activity!$C21*Activity!$D21*Activity!E21</f>
        <v>3.38820019956</v>
      </c>
      <c r="D22" s="552">
        <f>Activity!$C21*Activity!$D21*Activity!F21</f>
        <v>1.0047766109039999</v>
      </c>
      <c r="E22" s="550">
        <f>Activity!$C21*Activity!$D21*Activity!G21</f>
        <v>0</v>
      </c>
      <c r="F22" s="552">
        <f>Activity!$C21*Activity!$D21*Activity!H21</f>
        <v>0</v>
      </c>
      <c r="G22" s="552">
        <f>Activity!$C21*Activity!$D21*Activity!I21</f>
        <v>0.77110763162400009</v>
      </c>
      <c r="H22" s="552">
        <f>Activity!$C21*Activity!$D21*Activity!J21</f>
        <v>0.21030208135199999</v>
      </c>
      <c r="I22" s="552">
        <f>Activity!$C21*Activity!$D21*Activity!K21</f>
        <v>7.0100693783999996E-2</v>
      </c>
      <c r="J22" s="553">
        <f>Activity!$C21*Activity!$D21*Activity!L21</f>
        <v>0.56080555027199996</v>
      </c>
      <c r="K22" s="552">
        <f>Activity!$C21*Activity!$D21*Activity!M21</f>
        <v>0.25703587720800003</v>
      </c>
      <c r="L22" s="552">
        <f>Activity!$C21*Activity!$D21*Activity!N21</f>
        <v>0.31155863904000003</v>
      </c>
      <c r="M22" s="550">
        <f>Activity!$C21*Activity!$D21*Activity!O21</f>
        <v>1.215078692256</v>
      </c>
      <c r="N22" s="413">
        <v>0</v>
      </c>
      <c r="O22" s="552">
        <f>Activity!C21*Activity!D21</f>
        <v>7.7889659760000001</v>
      </c>
      <c r="P22" s="559">
        <f>Activity!X21</f>
        <v>0</v>
      </c>
    </row>
    <row r="23" spans="2:16">
      <c r="B23" s="7">
        <f t="shared" si="1"/>
        <v>2009</v>
      </c>
      <c r="C23" s="551">
        <f>Activity!$C22*Activity!$D22*Activity!E22</f>
        <v>3.41978843448</v>
      </c>
      <c r="D23" s="552">
        <f>Activity!$C22*Activity!$D22*Activity!F22</f>
        <v>1.014144156432</v>
      </c>
      <c r="E23" s="550">
        <f>Activity!$C22*Activity!$D22*Activity!G22</f>
        <v>0</v>
      </c>
      <c r="F23" s="552">
        <f>Activity!$C22*Activity!$D22*Activity!H22</f>
        <v>0</v>
      </c>
      <c r="G23" s="552">
        <f>Activity!$C22*Activity!$D22*Activity!I22</f>
        <v>0.77829667819199999</v>
      </c>
      <c r="H23" s="552">
        <f>Activity!$C22*Activity!$D22*Activity!J22</f>
        <v>0.212262730416</v>
      </c>
      <c r="I23" s="552">
        <f>Activity!$C22*Activity!$D22*Activity!K22</f>
        <v>7.0754243471999989E-2</v>
      </c>
      <c r="J23" s="553">
        <f>Activity!$C22*Activity!$D22*Activity!L22</f>
        <v>0.56603394777599991</v>
      </c>
      <c r="K23" s="552">
        <f>Activity!$C22*Activity!$D22*Activity!M22</f>
        <v>0.25943222606400002</v>
      </c>
      <c r="L23" s="552">
        <f>Activity!$C22*Activity!$D22*Activity!N22</f>
        <v>0.31446330432000003</v>
      </c>
      <c r="M23" s="550">
        <f>Activity!$C22*Activity!$D22*Activity!O22</f>
        <v>1.226406886848</v>
      </c>
      <c r="N23" s="413">
        <v>0</v>
      </c>
      <c r="O23" s="552">
        <f>Activity!C22*Activity!D22</f>
        <v>7.861582608</v>
      </c>
      <c r="P23" s="559">
        <f>Activity!X22</f>
        <v>0</v>
      </c>
    </row>
    <row r="24" spans="2:16">
      <c r="B24" s="7">
        <f t="shared" si="1"/>
        <v>2010</v>
      </c>
      <c r="C24" s="551">
        <f>Activity!$C23*Activity!$D23*Activity!E23</f>
        <v>3.8324734390799997</v>
      </c>
      <c r="D24" s="552">
        <f>Activity!$C23*Activity!$D23*Activity!F23</f>
        <v>1.1365266060720001</v>
      </c>
      <c r="E24" s="550">
        <f>Activity!$C23*Activity!$D23*Activity!G23</f>
        <v>0</v>
      </c>
      <c r="F24" s="552">
        <f>Activity!$C23*Activity!$D23*Activity!H23</f>
        <v>0</v>
      </c>
      <c r="G24" s="552">
        <f>Activity!$C23*Activity!$D23*Activity!I23</f>
        <v>0.87221809303200004</v>
      </c>
      <c r="H24" s="552">
        <f>Activity!$C23*Activity!$D23*Activity!J23</f>
        <v>0.237877661736</v>
      </c>
      <c r="I24" s="552">
        <f>Activity!$C23*Activity!$D23*Activity!K23</f>
        <v>7.9292553911999991E-2</v>
      </c>
      <c r="J24" s="553">
        <f>Activity!$C23*Activity!$D23*Activity!L23</f>
        <v>0.63434043129599993</v>
      </c>
      <c r="K24" s="552">
        <f>Activity!$C23*Activity!$D23*Activity!M23</f>
        <v>0.290739364344</v>
      </c>
      <c r="L24" s="552">
        <f>Activity!$C23*Activity!$D23*Activity!N23</f>
        <v>0.35241135072000002</v>
      </c>
      <c r="M24" s="550">
        <f>Activity!$C23*Activity!$D23*Activity!O23</f>
        <v>1.374404267808</v>
      </c>
      <c r="N24" s="413">
        <v>0</v>
      </c>
      <c r="O24" s="552">
        <f>Activity!C23*Activity!D23</f>
        <v>8.8102837679999997</v>
      </c>
      <c r="P24" s="559">
        <f>Activity!X23</f>
        <v>0</v>
      </c>
    </row>
    <row r="25" spans="2:16">
      <c r="B25" s="7">
        <f t="shared" si="1"/>
        <v>2011</v>
      </c>
      <c r="C25" s="551">
        <f>Activity!$C24*Activity!$D24*Activity!E24</f>
        <v>3.5585640972000006</v>
      </c>
      <c r="D25" s="552">
        <f>Activity!$C24*Activity!$D24*Activity!F24</f>
        <v>1.0552983184800002</v>
      </c>
      <c r="E25" s="550">
        <f>Activity!$C24*Activity!$D24*Activity!G24</f>
        <v>0</v>
      </c>
      <c r="F25" s="552">
        <f>Activity!$C24*Activity!$D24*Activity!H24</f>
        <v>0</v>
      </c>
      <c r="G25" s="552">
        <f>Activity!$C24*Activity!$D24*Activity!I24</f>
        <v>0.80988010488000017</v>
      </c>
      <c r="H25" s="552">
        <f>Activity!$C24*Activity!$D24*Activity!J24</f>
        <v>0.22087639224000002</v>
      </c>
      <c r="I25" s="552">
        <f>Activity!$C24*Activity!$D24*Activity!K24</f>
        <v>7.3625464080000008E-2</v>
      </c>
      <c r="J25" s="553">
        <f>Activity!$C24*Activity!$D24*Activity!L24</f>
        <v>0.58900371264000007</v>
      </c>
      <c r="K25" s="552">
        <f>Activity!$C24*Activity!$D24*Activity!M24</f>
        <v>0.26996003496000004</v>
      </c>
      <c r="L25" s="552">
        <f>Activity!$C24*Activity!$D24*Activity!N24</f>
        <v>0.32722428480000004</v>
      </c>
      <c r="M25" s="550">
        <f>Activity!$C24*Activity!$D24*Activity!O24</f>
        <v>1.2761747107200001</v>
      </c>
      <c r="N25" s="413">
        <v>0</v>
      </c>
      <c r="O25" s="552">
        <f>Activity!C24*Activity!D24</f>
        <v>8.1806071200000012</v>
      </c>
      <c r="P25" s="559">
        <f>Activity!X24</f>
        <v>0</v>
      </c>
    </row>
    <row r="26" spans="2:16">
      <c r="B26" s="7">
        <f t="shared" si="1"/>
        <v>2012</v>
      </c>
      <c r="C26" s="551">
        <f>Activity!$C25*Activity!$D25*Activity!E25</f>
        <v>3.6086840316000002</v>
      </c>
      <c r="D26" s="552">
        <f>Activity!$C25*Activity!$D25*Activity!F25</f>
        <v>1.0701614714400001</v>
      </c>
      <c r="E26" s="550">
        <f>Activity!$C25*Activity!$D25*Activity!G25</f>
        <v>0</v>
      </c>
      <c r="F26" s="552">
        <f>Activity!$C25*Activity!$D25*Activity!H25</f>
        <v>0</v>
      </c>
      <c r="G26" s="552">
        <f>Activity!$C25*Activity!$D25*Activity!I25</f>
        <v>0.82128671064000003</v>
      </c>
      <c r="H26" s="552">
        <f>Activity!$C25*Activity!$D25*Activity!J25</f>
        <v>0.22398728472000001</v>
      </c>
      <c r="I26" s="552">
        <f>Activity!$C25*Activity!$D25*Activity!K25</f>
        <v>7.4662428239999995E-2</v>
      </c>
      <c r="J26" s="553">
        <f>Activity!$C25*Activity!$D25*Activity!L25</f>
        <v>0.59729942591999996</v>
      </c>
      <c r="K26" s="552">
        <f>Activity!$C25*Activity!$D25*Activity!M25</f>
        <v>0.27376223688000001</v>
      </c>
      <c r="L26" s="552">
        <f>Activity!$C25*Activity!$D25*Activity!N25</f>
        <v>0.33183301440000001</v>
      </c>
      <c r="M26" s="550">
        <f>Activity!$C25*Activity!$D25*Activity!O25</f>
        <v>1.29414875616</v>
      </c>
      <c r="N26" s="413">
        <v>0</v>
      </c>
      <c r="O26" s="552">
        <f>Activity!C25*Activity!D25</f>
        <v>8.2958253600000003</v>
      </c>
      <c r="P26" s="559">
        <f>Activity!X25</f>
        <v>0</v>
      </c>
    </row>
    <row r="27" spans="2:16">
      <c r="B27" s="7">
        <f t="shared" si="1"/>
        <v>2013</v>
      </c>
      <c r="C27" s="551">
        <f>Activity!$C26*Activity!$D26*Activity!E26</f>
        <v>3.6616073670000007</v>
      </c>
      <c r="D27" s="552">
        <f>Activity!$C26*Activity!$D26*Activity!F26</f>
        <v>1.0858559778000001</v>
      </c>
      <c r="E27" s="550">
        <f>Activity!$C26*Activity!$D26*Activity!G26</f>
        <v>0</v>
      </c>
      <c r="F27" s="552">
        <f>Activity!$C26*Activity!$D26*Activity!H26</f>
        <v>0</v>
      </c>
      <c r="G27" s="552">
        <f>Activity!$C26*Activity!$D26*Activity!I26</f>
        <v>0.83333133180000019</v>
      </c>
      <c r="H27" s="552">
        <f>Activity!$C26*Activity!$D26*Activity!J26</f>
        <v>0.22727218140000002</v>
      </c>
      <c r="I27" s="552">
        <f>Activity!$C26*Activity!$D26*Activity!K26</f>
        <v>7.5757393800000003E-2</v>
      </c>
      <c r="J27" s="553">
        <f>Activity!$C26*Activity!$D26*Activity!L26</f>
        <v>0.60605915040000002</v>
      </c>
      <c r="K27" s="552">
        <f>Activity!$C26*Activity!$D26*Activity!M26</f>
        <v>0.27777711060000004</v>
      </c>
      <c r="L27" s="552">
        <f>Activity!$C26*Activity!$D26*Activity!N26</f>
        <v>0.33669952800000003</v>
      </c>
      <c r="M27" s="550">
        <f>Activity!$C26*Activity!$D26*Activity!O26</f>
        <v>1.3131281592000001</v>
      </c>
      <c r="N27" s="413">
        <v>0</v>
      </c>
      <c r="O27" s="552">
        <f>Activity!C26*Activity!D26</f>
        <v>8.4174882000000011</v>
      </c>
      <c r="P27" s="559">
        <f>Activity!X26</f>
        <v>0</v>
      </c>
    </row>
    <row r="28" spans="2:16">
      <c r="B28" s="7">
        <f t="shared" si="1"/>
        <v>2014</v>
      </c>
      <c r="C28" s="551">
        <f>Activity!$C27*Activity!$D27*Activity!E27</f>
        <v>3.7082657106000005</v>
      </c>
      <c r="D28" s="552">
        <f>Activity!$C27*Activity!$D27*Activity!F27</f>
        <v>1.0996925900400003</v>
      </c>
      <c r="E28" s="550">
        <f>Activity!$C27*Activity!$D27*Activity!G27</f>
        <v>0</v>
      </c>
      <c r="F28" s="552">
        <f>Activity!$C27*Activity!$D27*Activity!H27</f>
        <v>0</v>
      </c>
      <c r="G28" s="552">
        <f>Activity!$C27*Activity!$D27*Activity!I27</f>
        <v>0.84395012724000018</v>
      </c>
      <c r="H28" s="552">
        <f>Activity!$C27*Activity!$D27*Activity!J27</f>
        <v>0.23016821652000002</v>
      </c>
      <c r="I28" s="552">
        <f>Activity!$C27*Activity!$D27*Activity!K27</f>
        <v>7.6722738840000013E-2</v>
      </c>
      <c r="J28" s="553">
        <f>Activity!$C27*Activity!$D27*Activity!L27</f>
        <v>0.6137819107200001</v>
      </c>
      <c r="K28" s="552">
        <f>Activity!$C27*Activity!$D27*Activity!M27</f>
        <v>0.28131670908000006</v>
      </c>
      <c r="L28" s="552">
        <f>Activity!$C27*Activity!$D27*Activity!N27</f>
        <v>0.34098995040000007</v>
      </c>
      <c r="M28" s="550">
        <f>Activity!$C27*Activity!$D27*Activity!O27</f>
        <v>1.3298608065600002</v>
      </c>
      <c r="N28" s="413">
        <v>0</v>
      </c>
      <c r="O28" s="552">
        <f>Activity!C27*Activity!D27</f>
        <v>8.5247487600000014</v>
      </c>
      <c r="P28" s="559">
        <f>Activity!X27</f>
        <v>0</v>
      </c>
    </row>
    <row r="29" spans="2:16">
      <c r="B29" s="7">
        <f t="shared" si="1"/>
        <v>2015</v>
      </c>
      <c r="C29" s="551">
        <f>Activity!$C28*Activity!$D28*Activity!E28</f>
        <v>3.7598482890000002</v>
      </c>
      <c r="D29" s="552">
        <f>Activity!$C28*Activity!$D28*Activity!F28</f>
        <v>1.1149894926000001</v>
      </c>
      <c r="E29" s="550">
        <f>Activity!$C28*Activity!$D28*Activity!G28</f>
        <v>0</v>
      </c>
      <c r="F29" s="552">
        <f>Activity!$C28*Activity!$D28*Activity!H28</f>
        <v>0</v>
      </c>
      <c r="G29" s="552">
        <f>Activity!$C28*Activity!$D28*Activity!I28</f>
        <v>0.85568961060000015</v>
      </c>
      <c r="H29" s="552">
        <f>Activity!$C28*Activity!$D28*Activity!J28</f>
        <v>0.23336989380000001</v>
      </c>
      <c r="I29" s="552">
        <f>Activity!$C28*Activity!$D28*Activity!K28</f>
        <v>7.7789964599999997E-2</v>
      </c>
      <c r="J29" s="553">
        <f>Activity!$C28*Activity!$D28*Activity!L28</f>
        <v>0.62231971679999998</v>
      </c>
      <c r="K29" s="552">
        <f>Activity!$C28*Activity!$D28*Activity!M28</f>
        <v>0.28522987020000001</v>
      </c>
      <c r="L29" s="552">
        <f>Activity!$C28*Activity!$D28*Activity!N28</f>
        <v>0.34573317600000003</v>
      </c>
      <c r="M29" s="550">
        <f>Activity!$C28*Activity!$D28*Activity!O28</f>
        <v>1.3483593864000001</v>
      </c>
      <c r="N29" s="413">
        <v>0</v>
      </c>
      <c r="O29" s="552">
        <f>Activity!C28*Activity!D28</f>
        <v>8.6433294000000007</v>
      </c>
      <c r="P29" s="559">
        <f>Activity!X28</f>
        <v>0</v>
      </c>
    </row>
    <row r="30" spans="2:16">
      <c r="B30" s="7">
        <f t="shared" si="1"/>
        <v>2016</v>
      </c>
      <c r="C30" s="551">
        <f>Activity!$C29*Activity!$D29*Activity!E29</f>
        <v>3.8028987774000003</v>
      </c>
      <c r="D30" s="552">
        <f>Activity!$C29*Activity!$D29*Activity!F29</f>
        <v>1.1277561891600001</v>
      </c>
      <c r="E30" s="550">
        <f>Activity!$C29*Activity!$D29*Activity!G29</f>
        <v>0</v>
      </c>
      <c r="F30" s="552">
        <f>Activity!$C29*Activity!$D29*Activity!H29</f>
        <v>0</v>
      </c>
      <c r="G30" s="552">
        <f>Activity!$C29*Activity!$D29*Activity!I29</f>
        <v>0.86548730796000017</v>
      </c>
      <c r="H30" s="552">
        <f>Activity!$C29*Activity!$D29*Activity!J29</f>
        <v>0.23604199308000004</v>
      </c>
      <c r="I30" s="552">
        <f>Activity!$C29*Activity!$D29*Activity!K29</f>
        <v>7.8680664359999999E-2</v>
      </c>
      <c r="J30" s="553">
        <f>Activity!$C29*Activity!$D29*Activity!L29</f>
        <v>0.62944531488</v>
      </c>
      <c r="K30" s="552">
        <f>Activity!$C29*Activity!$D29*Activity!M29</f>
        <v>0.28849576932000004</v>
      </c>
      <c r="L30" s="552">
        <f>Activity!$C29*Activity!$D29*Activity!N29</f>
        <v>0.34969184160000005</v>
      </c>
      <c r="M30" s="550">
        <f>Activity!$C29*Activity!$D29*Activity!O29</f>
        <v>1.3637981822400003</v>
      </c>
      <c r="N30" s="413">
        <v>0</v>
      </c>
      <c r="O30" s="552">
        <f>Activity!C29*Activity!D29</f>
        <v>8.7422960400000012</v>
      </c>
      <c r="P30" s="559">
        <f>Activity!X29</f>
        <v>0</v>
      </c>
    </row>
    <row r="31" spans="2:16">
      <c r="B31" s="7">
        <f t="shared" si="1"/>
        <v>2017</v>
      </c>
      <c r="C31" s="551">
        <f>Activity!$C30*Activity!$D30*Activity!E30</f>
        <v>3.8580620760285127</v>
      </c>
      <c r="D31" s="552">
        <f>Activity!$C30*Activity!$D30*Activity!F30</f>
        <v>1.144114960477421</v>
      </c>
      <c r="E31" s="550">
        <f>Activity!$C30*Activity!$D30*Activity!G30</f>
        <v>0</v>
      </c>
      <c r="F31" s="552">
        <f>Activity!$C30*Activity!$D30*Activity!H30</f>
        <v>0</v>
      </c>
      <c r="G31" s="552">
        <f>Activity!$C30*Activity!$D30*Activity!I30</f>
        <v>0.87804171385476504</v>
      </c>
      <c r="H31" s="552">
        <f>Activity!$C30*Activity!$D30*Activity!J30</f>
        <v>0.23946592196039043</v>
      </c>
      <c r="I31" s="552">
        <f>Activity!$C30*Activity!$D30*Activity!K30</f>
        <v>7.9821973986796801E-2</v>
      </c>
      <c r="J31" s="553">
        <f>Activity!$C30*Activity!$D30*Activity!L30</f>
        <v>0.63857579189437441</v>
      </c>
      <c r="K31" s="552">
        <f>Activity!$C30*Activity!$D30*Activity!M30</f>
        <v>0.29268057128492164</v>
      </c>
      <c r="L31" s="552">
        <f>Activity!$C30*Activity!$D30*Activity!N30</f>
        <v>0.35476432883020809</v>
      </c>
      <c r="M31" s="550">
        <f>Activity!$C30*Activity!$D30*Activity!O30</f>
        <v>1.3835808824378115</v>
      </c>
      <c r="N31" s="413">
        <v>0</v>
      </c>
      <c r="O31" s="552">
        <f>Activity!C30*Activity!D30</f>
        <v>8.8691082207552014</v>
      </c>
      <c r="P31" s="559">
        <f>Activity!X30</f>
        <v>0</v>
      </c>
    </row>
    <row r="32" spans="2:16">
      <c r="B32" s="7">
        <f t="shared" si="1"/>
        <v>2018</v>
      </c>
      <c r="C32" s="551">
        <f>Activity!$C31*Activity!$D31*Activity!E31</f>
        <v>3.8462797488620724</v>
      </c>
      <c r="D32" s="552">
        <f>Activity!$C31*Activity!$D31*Activity!F31</f>
        <v>1.140620891041856</v>
      </c>
      <c r="E32" s="550">
        <f>Activity!$C31*Activity!$D31*Activity!G31</f>
        <v>0</v>
      </c>
      <c r="F32" s="552">
        <f>Activity!$C31*Activity!$D31*Activity!H31</f>
        <v>0</v>
      </c>
      <c r="G32" s="552">
        <f>Activity!$C31*Activity!$D31*Activity!I31</f>
        <v>0.87536021870654068</v>
      </c>
      <c r="H32" s="552">
        <f>Activity!$C31*Activity!$D31*Activity!J31</f>
        <v>0.23873460510178379</v>
      </c>
      <c r="I32" s="552">
        <f>Activity!$C31*Activity!$D31*Activity!K31</f>
        <v>7.9578201700594597E-2</v>
      </c>
      <c r="J32" s="553">
        <f>Activity!$C31*Activity!$D31*Activity!L31</f>
        <v>0.63662561360475678</v>
      </c>
      <c r="K32" s="552">
        <f>Activity!$C31*Activity!$D31*Activity!M31</f>
        <v>0.29178673956884688</v>
      </c>
      <c r="L32" s="552">
        <f>Activity!$C31*Activity!$D31*Activity!N31</f>
        <v>0.35368089644708711</v>
      </c>
      <c r="M32" s="550">
        <f>Activity!$C31*Activity!$D31*Activity!O31</f>
        <v>1.3793554961436396</v>
      </c>
      <c r="N32" s="413">
        <v>0</v>
      </c>
      <c r="O32" s="552">
        <f>Activity!C31*Activity!D31</f>
        <v>8.8420224111771777</v>
      </c>
      <c r="P32" s="559">
        <f>Activity!X31</f>
        <v>0</v>
      </c>
    </row>
    <row r="33" spans="2:16">
      <c r="B33" s="7">
        <f t="shared" si="1"/>
        <v>2019</v>
      </c>
      <c r="C33" s="551">
        <f>Activity!$C32*Activity!$D32*Activity!E32</f>
        <v>3.8328728997864094</v>
      </c>
      <c r="D33" s="552">
        <f>Activity!$C32*Activity!$D32*Activity!F32</f>
        <v>1.1366450668332111</v>
      </c>
      <c r="E33" s="550">
        <f>Activity!$C32*Activity!$D32*Activity!G32</f>
        <v>0</v>
      </c>
      <c r="F33" s="552">
        <f>Activity!$C32*Activity!$D32*Activity!H32</f>
        <v>0</v>
      </c>
      <c r="G33" s="552">
        <f>Activity!$C32*Activity!$D32*Activity!I32</f>
        <v>0.87230900477897599</v>
      </c>
      <c r="H33" s="552">
        <f>Activity!$C32*Activity!$D32*Activity!J32</f>
        <v>0.23790245584881162</v>
      </c>
      <c r="I33" s="552">
        <f>Activity!$C32*Activity!$D32*Activity!K32</f>
        <v>7.930081861627053E-2</v>
      </c>
      <c r="J33" s="553">
        <f>Activity!$C32*Activity!$D32*Activity!L32</f>
        <v>0.63440654893016424</v>
      </c>
      <c r="K33" s="552">
        <f>Activity!$C32*Activity!$D32*Activity!M32</f>
        <v>0.29076966825965866</v>
      </c>
      <c r="L33" s="552">
        <f>Activity!$C32*Activity!$D32*Activity!N32</f>
        <v>0.35244808273898015</v>
      </c>
      <c r="M33" s="550">
        <f>Activity!$C32*Activity!$D32*Activity!O32</f>
        <v>1.3745475226820227</v>
      </c>
      <c r="N33" s="413">
        <v>0</v>
      </c>
      <c r="O33" s="552">
        <f>Activity!C32*Activity!D32</f>
        <v>8.811202068474504</v>
      </c>
      <c r="P33" s="559">
        <f>Activity!X32</f>
        <v>0</v>
      </c>
    </row>
    <row r="34" spans="2:16">
      <c r="B34" s="7">
        <f t="shared" si="1"/>
        <v>2020</v>
      </c>
      <c r="C34" s="551">
        <f>Activity!$C33*Activity!$D33*Activity!E33</f>
        <v>3.8179255300258026</v>
      </c>
      <c r="D34" s="552">
        <f>Activity!$C33*Activity!$D33*Activity!F33</f>
        <v>1.1322123985593759</v>
      </c>
      <c r="E34" s="550">
        <f>Activity!$C33*Activity!$D33*Activity!G33</f>
        <v>0</v>
      </c>
      <c r="F34" s="552">
        <f>Activity!$C33*Activity!$D33*Activity!H33</f>
        <v>0</v>
      </c>
      <c r="G34" s="552">
        <f>Activity!$C33*Activity!$D33*Activity!I33</f>
        <v>0.86890718959207924</v>
      </c>
      <c r="H34" s="552">
        <f>Activity!$C33*Activity!$D33*Activity!J33</f>
        <v>0.23697468807056704</v>
      </c>
      <c r="I34" s="552">
        <f>Activity!$C33*Activity!$D33*Activity!K33</f>
        <v>7.8991562690189004E-2</v>
      </c>
      <c r="J34" s="553">
        <f>Activity!$C33*Activity!$D33*Activity!L33</f>
        <v>0.63193250152151204</v>
      </c>
      <c r="K34" s="552">
        <f>Activity!$C33*Activity!$D33*Activity!M33</f>
        <v>0.28963572986402641</v>
      </c>
      <c r="L34" s="552">
        <f>Activity!$C33*Activity!$D33*Activity!N33</f>
        <v>0.35107361195639564</v>
      </c>
      <c r="M34" s="550">
        <f>Activity!$C33*Activity!$D33*Activity!O33</f>
        <v>1.3691870866299429</v>
      </c>
      <c r="N34" s="413">
        <v>0</v>
      </c>
      <c r="O34" s="552">
        <f>Activity!C33*Activity!D33</f>
        <v>8.7768402989098906</v>
      </c>
      <c r="P34" s="559">
        <f>Activity!X33</f>
        <v>0</v>
      </c>
    </row>
    <row r="35" spans="2:16">
      <c r="B35" s="7">
        <f t="shared" si="1"/>
        <v>2021</v>
      </c>
      <c r="C35" s="551">
        <f>Activity!$C34*Activity!$D34*Activity!E34</f>
        <v>3.8015185625404451</v>
      </c>
      <c r="D35" s="552">
        <f>Activity!$C34*Activity!$D34*Activity!F34</f>
        <v>1.1273468840637182</v>
      </c>
      <c r="E35" s="550">
        <f>Activity!$C34*Activity!$D34*Activity!G34</f>
        <v>0</v>
      </c>
      <c r="F35" s="552">
        <f>Activity!$C34*Activity!$D34*Activity!H34</f>
        <v>0</v>
      </c>
      <c r="G35" s="552">
        <f>Activity!$C34*Activity!$D34*Activity!I34</f>
        <v>0.86517319009541171</v>
      </c>
      <c r="H35" s="552">
        <f>Activity!$C34*Activity!$D34*Activity!J34</f>
        <v>0.23595632457147592</v>
      </c>
      <c r="I35" s="552">
        <f>Activity!$C34*Activity!$D34*Activity!K34</f>
        <v>7.8652108190491968E-2</v>
      </c>
      <c r="J35" s="553">
        <f>Activity!$C34*Activity!$D34*Activity!L34</f>
        <v>0.62921686552393574</v>
      </c>
      <c r="K35" s="552">
        <f>Activity!$C34*Activity!$D34*Activity!M34</f>
        <v>0.28839106336513726</v>
      </c>
      <c r="L35" s="552">
        <f>Activity!$C34*Activity!$D34*Activity!N34</f>
        <v>0.34956492529107541</v>
      </c>
      <c r="M35" s="550">
        <f>Activity!$C34*Activity!$D34*Activity!O34</f>
        <v>1.3633032086351942</v>
      </c>
      <c r="N35" s="413">
        <v>0</v>
      </c>
      <c r="O35" s="552">
        <f>Activity!C34*Activity!D34</f>
        <v>8.7391231322768856</v>
      </c>
      <c r="P35" s="559">
        <f>Activity!X34</f>
        <v>0</v>
      </c>
    </row>
    <row r="36" spans="2:16">
      <c r="B36" s="7">
        <f t="shared" si="1"/>
        <v>2022</v>
      </c>
      <c r="C36" s="551">
        <f>Activity!$C35*Activity!$D35*Activity!E35</f>
        <v>3.7837299409701632</v>
      </c>
      <c r="D36" s="552">
        <f>Activity!$C35*Activity!$D35*Activity!F35</f>
        <v>1.1220716376670139</v>
      </c>
      <c r="E36" s="550">
        <f>Activity!$C35*Activity!$D35*Activity!G35</f>
        <v>0</v>
      </c>
      <c r="F36" s="552">
        <f>Activity!$C35*Activity!$D35*Activity!H35</f>
        <v>0</v>
      </c>
      <c r="G36" s="552">
        <f>Activity!$C35*Activity!$D35*Activity!I35</f>
        <v>0.8611247451863131</v>
      </c>
      <c r="H36" s="552">
        <f>Activity!$C35*Activity!$D35*Activity!J35</f>
        <v>0.23485220323263081</v>
      </c>
      <c r="I36" s="552">
        <f>Activity!$C35*Activity!$D35*Activity!K35</f>
        <v>7.8284067744210262E-2</v>
      </c>
      <c r="J36" s="553">
        <f>Activity!$C35*Activity!$D35*Activity!L35</f>
        <v>0.62627254195368209</v>
      </c>
      <c r="K36" s="552">
        <f>Activity!$C35*Activity!$D35*Activity!M35</f>
        <v>0.28704158172877103</v>
      </c>
      <c r="L36" s="552">
        <f>Activity!$C35*Activity!$D35*Activity!N35</f>
        <v>0.34792918997426792</v>
      </c>
      <c r="M36" s="550">
        <f>Activity!$C35*Activity!$D35*Activity!O35</f>
        <v>1.3569238408996447</v>
      </c>
      <c r="N36" s="413">
        <v>0</v>
      </c>
      <c r="O36" s="552">
        <f>Activity!C35*Activity!D35</f>
        <v>8.6982297493566971</v>
      </c>
      <c r="P36" s="559">
        <f>Activity!X35</f>
        <v>0</v>
      </c>
    </row>
    <row r="37" spans="2:16">
      <c r="B37" s="7">
        <f t="shared" si="1"/>
        <v>2023</v>
      </c>
      <c r="C37" s="551">
        <f>Activity!$C36*Activity!$D36*Activity!E36</f>
        <v>3.7646347256120607</v>
      </c>
      <c r="D37" s="552">
        <f>Activity!$C36*Activity!$D36*Activity!F36</f>
        <v>1.1164089186297834</v>
      </c>
      <c r="E37" s="550">
        <f>Activity!$C36*Activity!$D36*Activity!G36</f>
        <v>0</v>
      </c>
      <c r="F37" s="552">
        <f>Activity!$C36*Activity!$D36*Activity!H36</f>
        <v>0</v>
      </c>
      <c r="G37" s="552">
        <f>Activity!$C36*Activity!$D36*Activity!I36</f>
        <v>0.85677893755308965</v>
      </c>
      <c r="H37" s="552">
        <f>Activity!$C36*Activity!$D36*Activity!J36</f>
        <v>0.23366698296902444</v>
      </c>
      <c r="I37" s="552">
        <f>Activity!$C36*Activity!$D36*Activity!K36</f>
        <v>7.7888994323008151E-2</v>
      </c>
      <c r="J37" s="553">
        <f>Activity!$C36*Activity!$D36*Activity!L36</f>
        <v>0.62311195458406521</v>
      </c>
      <c r="K37" s="552">
        <f>Activity!$C36*Activity!$D36*Activity!M36</f>
        <v>0.28559297918436322</v>
      </c>
      <c r="L37" s="552">
        <f>Activity!$C36*Activity!$D36*Activity!N36</f>
        <v>0.34617330810225844</v>
      </c>
      <c r="M37" s="550">
        <f>Activity!$C36*Activity!$D36*Activity!O36</f>
        <v>1.350075901598808</v>
      </c>
      <c r="N37" s="413">
        <v>0</v>
      </c>
      <c r="O37" s="552">
        <f>Activity!C36*Activity!D36</f>
        <v>8.6543327025564611</v>
      </c>
      <c r="P37" s="559">
        <f>Activity!X36</f>
        <v>0</v>
      </c>
    </row>
    <row r="38" spans="2:16">
      <c r="B38" s="7">
        <f t="shared" si="1"/>
        <v>2024</v>
      </c>
      <c r="C38" s="551">
        <f>Activity!$C37*Activity!$D37*Activity!E37</f>
        <v>3.7443051865172419</v>
      </c>
      <c r="D38" s="552">
        <f>Activity!$C37*Activity!$D37*Activity!F37</f>
        <v>1.1103801587602855</v>
      </c>
      <c r="E38" s="550">
        <f>Activity!$C37*Activity!$D37*Activity!G37</f>
        <v>0</v>
      </c>
      <c r="F38" s="552">
        <f>Activity!$C37*Activity!$D37*Activity!H37</f>
        <v>0</v>
      </c>
      <c r="G38" s="552">
        <f>Activity!$C37*Activity!$D37*Activity!I37</f>
        <v>0.85215221486254478</v>
      </c>
      <c r="H38" s="552">
        <f>Activity!$C37*Activity!$D37*Activity!J37</f>
        <v>0.23240514950796676</v>
      </c>
      <c r="I38" s="552">
        <f>Activity!$C37*Activity!$D37*Activity!K37</f>
        <v>7.7468383169322239E-2</v>
      </c>
      <c r="J38" s="553">
        <f>Activity!$C37*Activity!$D37*Activity!L37</f>
        <v>0.61974706535457791</v>
      </c>
      <c r="K38" s="552">
        <f>Activity!$C37*Activity!$D37*Activity!M37</f>
        <v>0.28405073828751493</v>
      </c>
      <c r="L38" s="552">
        <f>Activity!$C37*Activity!$D37*Activity!N37</f>
        <v>0.34430392519698777</v>
      </c>
      <c r="M38" s="550">
        <f>Activity!$C37*Activity!$D37*Activity!O37</f>
        <v>1.3427853082682524</v>
      </c>
      <c r="N38" s="413">
        <v>0</v>
      </c>
      <c r="O38" s="552">
        <f>Activity!C37*Activity!D37</f>
        <v>8.6075981299246944</v>
      </c>
      <c r="P38" s="559">
        <f>Activity!X37</f>
        <v>0</v>
      </c>
    </row>
    <row r="39" spans="2:16">
      <c r="B39" s="7">
        <f t="shared" si="1"/>
        <v>2025</v>
      </c>
      <c r="C39" s="551">
        <f>Activity!$C38*Activity!$D38*Activity!E38</f>
        <v>3.7228108937893598</v>
      </c>
      <c r="D39" s="552">
        <f>Activity!$C38*Activity!$D38*Activity!F38</f>
        <v>1.1040059891927068</v>
      </c>
      <c r="E39" s="550">
        <f>Activity!$C38*Activity!$D38*Activity!G38</f>
        <v>0</v>
      </c>
      <c r="F39" s="552">
        <f>Activity!$C38*Activity!$D38*Activity!H38</f>
        <v>0</v>
      </c>
      <c r="G39" s="552">
        <f>Activity!$C38*Activity!$D38*Activity!I38</f>
        <v>0.847260410310682</v>
      </c>
      <c r="H39" s="552">
        <f>Activity!$C38*Activity!$D38*Activity!J38</f>
        <v>0.23107102099382235</v>
      </c>
      <c r="I39" s="552">
        <f>Activity!$C38*Activity!$D38*Activity!K38</f>
        <v>7.7023673664607439E-2</v>
      </c>
      <c r="J39" s="553">
        <f>Activity!$C38*Activity!$D38*Activity!L38</f>
        <v>0.61618938931685951</v>
      </c>
      <c r="K39" s="552">
        <f>Activity!$C38*Activity!$D38*Activity!M38</f>
        <v>0.28242013677022731</v>
      </c>
      <c r="L39" s="552">
        <f>Activity!$C38*Activity!$D38*Activity!N38</f>
        <v>0.34232743850936642</v>
      </c>
      <c r="M39" s="550">
        <f>Activity!$C38*Activity!$D38*Activity!O38</f>
        <v>1.335077010186529</v>
      </c>
      <c r="N39" s="413">
        <v>0</v>
      </c>
      <c r="O39" s="552">
        <f>Activity!C38*Activity!D38</f>
        <v>8.5581859627341608</v>
      </c>
      <c r="P39" s="559">
        <f>Activity!X38</f>
        <v>0</v>
      </c>
    </row>
    <row r="40" spans="2:16">
      <c r="B40" s="7">
        <f t="shared" si="1"/>
        <v>2026</v>
      </c>
      <c r="C40" s="551">
        <f>Activity!$C39*Activity!$D39*Activity!E39</f>
        <v>3.7002188051654752</v>
      </c>
      <c r="D40" s="552">
        <f>Activity!$C39*Activity!$D39*Activity!F39</f>
        <v>1.0973062663594169</v>
      </c>
      <c r="E40" s="550">
        <f>Activity!$C39*Activity!$D39*Activity!G39</f>
        <v>0</v>
      </c>
      <c r="F40" s="552">
        <f>Activity!$C39*Activity!$D39*Activity!H39</f>
        <v>0</v>
      </c>
      <c r="G40" s="552">
        <f>Activity!$C39*Activity!$D39*Activity!I39</f>
        <v>0.84211876255490126</v>
      </c>
      <c r="H40" s="552">
        <f>Activity!$C39*Activity!$D39*Activity!J39</f>
        <v>0.22966875342406395</v>
      </c>
      <c r="I40" s="552">
        <f>Activity!$C39*Activity!$D39*Activity!K39</f>
        <v>7.6556251141354656E-2</v>
      </c>
      <c r="J40" s="553">
        <f>Activity!$C39*Activity!$D39*Activity!L39</f>
        <v>0.61245000913083725</v>
      </c>
      <c r="K40" s="552">
        <f>Activity!$C39*Activity!$D39*Activity!M39</f>
        <v>0.28070625418496709</v>
      </c>
      <c r="L40" s="552">
        <f>Activity!$C39*Activity!$D39*Activity!N39</f>
        <v>0.34025000507268738</v>
      </c>
      <c r="M40" s="550">
        <f>Activity!$C39*Activity!$D39*Activity!O39</f>
        <v>1.3269750197834806</v>
      </c>
      <c r="N40" s="413">
        <v>0</v>
      </c>
      <c r="O40" s="552">
        <f>Activity!C39*Activity!D39</f>
        <v>8.506250126817184</v>
      </c>
      <c r="P40" s="559">
        <f>Activity!X39</f>
        <v>0</v>
      </c>
    </row>
    <row r="41" spans="2:16">
      <c r="B41" s="7">
        <f t="shared" si="1"/>
        <v>2027</v>
      </c>
      <c r="C41" s="551">
        <f>Activity!$C40*Activity!$D40*Activity!E40</f>
        <v>3.6765933509574085</v>
      </c>
      <c r="D41" s="552">
        <f>Activity!$C40*Activity!$D40*Activity!F40</f>
        <v>1.0903000971804728</v>
      </c>
      <c r="E41" s="550">
        <f>Activity!$C40*Activity!$D40*Activity!G40</f>
        <v>0</v>
      </c>
      <c r="F41" s="552">
        <f>Activity!$C40*Activity!$D40*Activity!H40</f>
        <v>0</v>
      </c>
      <c r="G41" s="552">
        <f>Activity!$C40*Activity!$D40*Activity!I40</f>
        <v>0.83674193504547922</v>
      </c>
      <c r="H41" s="552">
        <f>Activity!$C40*Activity!$D40*Activity!J40</f>
        <v>0.2282023459214943</v>
      </c>
      <c r="I41" s="552">
        <f>Activity!$C40*Activity!$D40*Activity!K40</f>
        <v>7.6067448640498095E-2</v>
      </c>
      <c r="J41" s="553">
        <f>Activity!$C40*Activity!$D40*Activity!L40</f>
        <v>0.60853958912398476</v>
      </c>
      <c r="K41" s="552">
        <f>Activity!$C40*Activity!$D40*Activity!M40</f>
        <v>0.27891397834849307</v>
      </c>
      <c r="L41" s="552">
        <f>Activity!$C40*Activity!$D40*Activity!N40</f>
        <v>0.33807754951332492</v>
      </c>
      <c r="M41" s="550">
        <f>Activity!$C40*Activity!$D40*Activity!O40</f>
        <v>1.3185024431019672</v>
      </c>
      <c r="N41" s="413">
        <v>0</v>
      </c>
      <c r="O41" s="552">
        <f>Activity!C40*Activity!D40</f>
        <v>8.4519387378331228</v>
      </c>
      <c r="P41" s="559">
        <f>Activity!X40</f>
        <v>0</v>
      </c>
    </row>
    <row r="42" spans="2:16">
      <c r="B42" s="7">
        <f t="shared" si="1"/>
        <v>2028</v>
      </c>
      <c r="C42" s="551">
        <f>Activity!$C41*Activity!$D41*Activity!E41</f>
        <v>3.6519965164296475</v>
      </c>
      <c r="D42" s="552">
        <f>Activity!$C41*Activity!$D41*Activity!F41</f>
        <v>1.08300586349293</v>
      </c>
      <c r="E42" s="550">
        <f>Activity!$C41*Activity!$D41*Activity!G41</f>
        <v>0</v>
      </c>
      <c r="F42" s="552">
        <f>Activity!$C41*Activity!$D41*Activity!H41</f>
        <v>0</v>
      </c>
      <c r="G42" s="552">
        <f>Activity!$C41*Activity!$D41*Activity!I41</f>
        <v>0.83114403477364396</v>
      </c>
      <c r="H42" s="552">
        <f>Activity!$C41*Activity!$D41*Activity!J41</f>
        <v>0.22667564584735742</v>
      </c>
      <c r="I42" s="552">
        <f>Activity!$C41*Activity!$D41*Activity!K41</f>
        <v>7.5558548615785801E-2</v>
      </c>
      <c r="J42" s="553">
        <f>Activity!$C41*Activity!$D41*Activity!L41</f>
        <v>0.6044683889262864</v>
      </c>
      <c r="K42" s="552">
        <f>Activity!$C41*Activity!$D41*Activity!M41</f>
        <v>0.27704801159121462</v>
      </c>
      <c r="L42" s="552">
        <f>Activity!$C41*Activity!$D41*Activity!N41</f>
        <v>0.33581577162571469</v>
      </c>
      <c r="M42" s="550">
        <f>Activity!$C41*Activity!$D41*Activity!O41</f>
        <v>1.3096815093402874</v>
      </c>
      <c r="N42" s="413">
        <v>0</v>
      </c>
      <c r="O42" s="552">
        <f>Activity!C41*Activity!D41</f>
        <v>8.3953942906428676</v>
      </c>
      <c r="P42" s="559">
        <f>Activity!X41</f>
        <v>0</v>
      </c>
    </row>
    <row r="43" spans="2:16">
      <c r="B43" s="7">
        <f t="shared" si="1"/>
        <v>2029</v>
      </c>
      <c r="C43" s="551">
        <f>Activity!$C42*Activity!$D42*Activity!E42</f>
        <v>3.626487921687692</v>
      </c>
      <c r="D43" s="552">
        <f>Activity!$C42*Activity!$D42*Activity!F42</f>
        <v>1.0754412457418674</v>
      </c>
      <c r="E43" s="550">
        <f>Activity!$C42*Activity!$D42*Activity!G42</f>
        <v>0</v>
      </c>
      <c r="F43" s="552">
        <f>Activity!$C42*Activity!$D42*Activity!H42</f>
        <v>0</v>
      </c>
      <c r="G43" s="552">
        <f>Activity!$C42*Activity!$D42*Activity!I42</f>
        <v>0.825338630453061</v>
      </c>
      <c r="H43" s="552">
        <f>Activity!$C42*Activity!$D42*Activity!J42</f>
        <v>0.2250923537599257</v>
      </c>
      <c r="I43" s="552">
        <f>Activity!$C42*Activity!$D42*Activity!K42</f>
        <v>7.5030784586641905E-2</v>
      </c>
      <c r="J43" s="553">
        <f>Activity!$C42*Activity!$D42*Activity!L42</f>
        <v>0.60024627669313524</v>
      </c>
      <c r="K43" s="552">
        <f>Activity!$C42*Activity!$D42*Activity!M42</f>
        <v>0.27511287681768698</v>
      </c>
      <c r="L43" s="552">
        <f>Activity!$C42*Activity!$D42*Activity!N42</f>
        <v>0.33347015371840849</v>
      </c>
      <c r="M43" s="550">
        <f>Activity!$C42*Activity!$D42*Activity!O42</f>
        <v>1.300533599501793</v>
      </c>
      <c r="N43" s="413">
        <v>0</v>
      </c>
      <c r="O43" s="552">
        <f>Activity!C42*Activity!D42</f>
        <v>8.3367538429602117</v>
      </c>
      <c r="P43" s="559">
        <f>Activity!X42</f>
        <v>0</v>
      </c>
    </row>
    <row r="44" spans="2:16">
      <c r="B44" s="7">
        <f t="shared" si="1"/>
        <v>2030</v>
      </c>
      <c r="C44" s="551">
        <f>Activity!$C43*Activity!$D43*Activity!E43</f>
        <v>3.6002792400000003</v>
      </c>
      <c r="D44" s="552">
        <f>Activity!$C43*Activity!$D43*Activity!F43</f>
        <v>1.0676690160000002</v>
      </c>
      <c r="E44" s="550">
        <f>Activity!$C43*Activity!$D43*Activity!G43</f>
        <v>0</v>
      </c>
      <c r="F44" s="552">
        <f>Activity!$C43*Activity!$D43*Activity!H43</f>
        <v>0</v>
      </c>
      <c r="G44" s="552">
        <f>Activity!$C43*Activity!$D43*Activity!I43</f>
        <v>0.8193738960000001</v>
      </c>
      <c r="H44" s="552">
        <f>Activity!$C43*Activity!$D43*Activity!J43</f>
        <v>0.22346560800000001</v>
      </c>
      <c r="I44" s="552">
        <f>Activity!$C43*Activity!$D43*Activity!K43</f>
        <v>7.4488536000000008E-2</v>
      </c>
      <c r="J44" s="553">
        <f>Activity!$C43*Activity!$D43*Activity!L43</f>
        <v>0.59590828800000006</v>
      </c>
      <c r="K44" s="552">
        <f>Activity!$C43*Activity!$D43*Activity!M43</f>
        <v>0.27312463200000003</v>
      </c>
      <c r="L44" s="552">
        <f>Activity!$C43*Activity!$D43*Activity!N43</f>
        <v>0.33106016000000005</v>
      </c>
      <c r="M44" s="550">
        <f>Activity!$C43*Activity!$D43*Activity!O43</f>
        <v>1.2911346240000001</v>
      </c>
      <c r="N44" s="413">
        <v>0</v>
      </c>
      <c r="O44" s="552">
        <f>Activity!C43*Activity!D43</f>
        <v>8.276504000000001</v>
      </c>
      <c r="P44" s="559">
        <f>Activity!X43</f>
        <v>0</v>
      </c>
    </row>
    <row r="45" spans="2:16">
      <c r="B45" s="7">
        <f t="shared" si="1"/>
        <v>2031</v>
      </c>
      <c r="C45" s="551">
        <f>Activity!$C44*Activity!$D44*Activity!E44</f>
        <v>0</v>
      </c>
      <c r="D45" s="552">
        <f>Activity!$C44*Activity!$D44*Activity!F44</f>
        <v>0</v>
      </c>
      <c r="E45" s="550">
        <f>Activity!$C44*Activity!$D44*Activity!G44</f>
        <v>0</v>
      </c>
      <c r="F45" s="552">
        <f>Activity!$C44*Activity!$D44*Activity!H44</f>
        <v>0</v>
      </c>
      <c r="G45" s="552">
        <f>Activity!$C44*Activity!$D44*Activity!I44</f>
        <v>0</v>
      </c>
      <c r="H45" s="552">
        <f>Activity!$C44*Activity!$D44*Activity!J44</f>
        <v>0</v>
      </c>
      <c r="I45" s="552">
        <f>Activity!$C44*Activity!$D44*Activity!K44</f>
        <v>0</v>
      </c>
      <c r="J45" s="553">
        <f>Activity!$C44*Activity!$D44*Activity!L44</f>
        <v>0</v>
      </c>
      <c r="K45" s="552">
        <f>Activity!$C44*Activity!$D44*Activity!M44</f>
        <v>0</v>
      </c>
      <c r="L45" s="552">
        <f>Activity!$C44*Activity!$D44*Activity!N44</f>
        <v>0</v>
      </c>
      <c r="M45" s="550">
        <f>Activity!$C44*Activity!$D44*Activity!O44</f>
        <v>0</v>
      </c>
      <c r="N45" s="413">
        <v>0</v>
      </c>
      <c r="O45" s="552">
        <f>Activity!C44*Activity!D44</f>
        <v>0</v>
      </c>
      <c r="P45" s="559">
        <f>Activity!X44</f>
        <v>0</v>
      </c>
    </row>
    <row r="46" spans="2:16">
      <c r="B46" s="7">
        <f t="shared" si="1"/>
        <v>2032</v>
      </c>
      <c r="C46" s="551">
        <f>Activity!$C45*Activity!$D45*Activity!E45</f>
        <v>0</v>
      </c>
      <c r="D46" s="552">
        <f>Activity!$C45*Activity!$D45*Activity!F45</f>
        <v>0</v>
      </c>
      <c r="E46" s="550">
        <f>Activity!$C45*Activity!$D45*Activity!G45</f>
        <v>0</v>
      </c>
      <c r="F46" s="552">
        <f>Activity!$C45*Activity!$D45*Activity!H45</f>
        <v>0</v>
      </c>
      <c r="G46" s="552">
        <f>Activity!$C45*Activity!$D45*Activity!I45</f>
        <v>0</v>
      </c>
      <c r="H46" s="552">
        <f>Activity!$C45*Activity!$D45*Activity!J45</f>
        <v>0</v>
      </c>
      <c r="I46" s="552">
        <f>Activity!$C45*Activity!$D45*Activity!K45</f>
        <v>0</v>
      </c>
      <c r="J46" s="553">
        <f>Activity!$C45*Activity!$D45*Activity!L45</f>
        <v>0</v>
      </c>
      <c r="K46" s="552">
        <f>Activity!$C45*Activity!$D45*Activity!M45</f>
        <v>0</v>
      </c>
      <c r="L46" s="552">
        <f>Activity!$C45*Activity!$D45*Activity!N45</f>
        <v>0</v>
      </c>
      <c r="M46" s="550">
        <f>Activity!$C45*Activity!$D45*Activity!O45</f>
        <v>0</v>
      </c>
      <c r="N46" s="413">
        <v>0</v>
      </c>
      <c r="O46" s="552">
        <f>Activity!C45*Activity!D45</f>
        <v>0</v>
      </c>
      <c r="P46" s="559">
        <f>Activity!X45</f>
        <v>0</v>
      </c>
    </row>
    <row r="47" spans="2:16">
      <c r="B47" s="7">
        <f t="shared" si="1"/>
        <v>2033</v>
      </c>
      <c r="C47" s="551">
        <f>Activity!$C46*Activity!$D46*Activity!E46</f>
        <v>0</v>
      </c>
      <c r="D47" s="552">
        <f>Activity!$C46*Activity!$D46*Activity!F46</f>
        <v>0</v>
      </c>
      <c r="E47" s="550">
        <f>Activity!$C46*Activity!$D46*Activity!G46</f>
        <v>0</v>
      </c>
      <c r="F47" s="552">
        <f>Activity!$C46*Activity!$D46*Activity!H46</f>
        <v>0</v>
      </c>
      <c r="G47" s="552">
        <f>Activity!$C46*Activity!$D46*Activity!I46</f>
        <v>0</v>
      </c>
      <c r="H47" s="552">
        <f>Activity!$C46*Activity!$D46*Activity!J46</f>
        <v>0</v>
      </c>
      <c r="I47" s="552">
        <f>Activity!$C46*Activity!$D46*Activity!K46</f>
        <v>0</v>
      </c>
      <c r="J47" s="553">
        <f>Activity!$C46*Activity!$D46*Activity!L46</f>
        <v>0</v>
      </c>
      <c r="K47" s="552">
        <f>Activity!$C46*Activity!$D46*Activity!M46</f>
        <v>0</v>
      </c>
      <c r="L47" s="552">
        <f>Activity!$C46*Activity!$D46*Activity!N46</f>
        <v>0</v>
      </c>
      <c r="M47" s="550">
        <f>Activity!$C46*Activity!$D46*Activity!O46</f>
        <v>0</v>
      </c>
      <c r="N47" s="413">
        <v>0</v>
      </c>
      <c r="O47" s="552">
        <f>Activity!C46*Activity!D46</f>
        <v>0</v>
      </c>
      <c r="P47" s="559">
        <f>Activity!X46</f>
        <v>0</v>
      </c>
    </row>
    <row r="48" spans="2:16">
      <c r="B48" s="7">
        <f t="shared" si="1"/>
        <v>2034</v>
      </c>
      <c r="C48" s="551">
        <f>Activity!$C47*Activity!$D47*Activity!E47</f>
        <v>0</v>
      </c>
      <c r="D48" s="552">
        <f>Activity!$C47*Activity!$D47*Activity!F47</f>
        <v>0</v>
      </c>
      <c r="E48" s="550">
        <f>Activity!$C47*Activity!$D47*Activity!G47</f>
        <v>0</v>
      </c>
      <c r="F48" s="552">
        <f>Activity!$C47*Activity!$D47*Activity!H47</f>
        <v>0</v>
      </c>
      <c r="G48" s="552">
        <f>Activity!$C47*Activity!$D47*Activity!I47</f>
        <v>0</v>
      </c>
      <c r="H48" s="552">
        <f>Activity!$C47*Activity!$D47*Activity!J47</f>
        <v>0</v>
      </c>
      <c r="I48" s="552">
        <f>Activity!$C47*Activity!$D47*Activity!K47</f>
        <v>0</v>
      </c>
      <c r="J48" s="553">
        <f>Activity!$C47*Activity!$D47*Activity!L47</f>
        <v>0</v>
      </c>
      <c r="K48" s="552">
        <f>Activity!$C47*Activity!$D47*Activity!M47</f>
        <v>0</v>
      </c>
      <c r="L48" s="552">
        <f>Activity!$C47*Activity!$D47*Activity!N47</f>
        <v>0</v>
      </c>
      <c r="M48" s="550">
        <f>Activity!$C47*Activity!$D47*Activity!O47</f>
        <v>0</v>
      </c>
      <c r="N48" s="413">
        <v>0</v>
      </c>
      <c r="O48" s="552">
        <f>Activity!C47*Activity!D47</f>
        <v>0</v>
      </c>
      <c r="P48" s="559">
        <f>Activity!X47</f>
        <v>0</v>
      </c>
    </row>
    <row r="49" spans="2:16">
      <c r="B49" s="7">
        <f t="shared" si="1"/>
        <v>2035</v>
      </c>
      <c r="C49" s="551">
        <f>Activity!$C48*Activity!$D48*Activity!E48</f>
        <v>0</v>
      </c>
      <c r="D49" s="552">
        <f>Activity!$C48*Activity!$D48*Activity!F48</f>
        <v>0</v>
      </c>
      <c r="E49" s="550">
        <f>Activity!$C48*Activity!$D48*Activity!G48</f>
        <v>0</v>
      </c>
      <c r="F49" s="552">
        <f>Activity!$C48*Activity!$D48*Activity!H48</f>
        <v>0</v>
      </c>
      <c r="G49" s="552">
        <f>Activity!$C48*Activity!$D48*Activity!I48</f>
        <v>0</v>
      </c>
      <c r="H49" s="552">
        <f>Activity!$C48*Activity!$D48*Activity!J48</f>
        <v>0</v>
      </c>
      <c r="I49" s="552">
        <f>Activity!$C48*Activity!$D48*Activity!K48</f>
        <v>0</v>
      </c>
      <c r="J49" s="553">
        <f>Activity!$C48*Activity!$D48*Activity!L48</f>
        <v>0</v>
      </c>
      <c r="K49" s="552">
        <f>Activity!$C48*Activity!$D48*Activity!M48</f>
        <v>0</v>
      </c>
      <c r="L49" s="552">
        <f>Activity!$C48*Activity!$D48*Activity!N48</f>
        <v>0</v>
      </c>
      <c r="M49" s="550">
        <f>Activity!$C48*Activity!$D48*Activity!O48</f>
        <v>0</v>
      </c>
      <c r="N49" s="413">
        <v>0</v>
      </c>
      <c r="O49" s="552">
        <f>Activity!C48*Activity!D48</f>
        <v>0</v>
      </c>
      <c r="P49" s="559">
        <f>Activity!X48</f>
        <v>0</v>
      </c>
    </row>
    <row r="50" spans="2:16">
      <c r="B50" s="7">
        <f t="shared" si="1"/>
        <v>2036</v>
      </c>
      <c r="C50" s="551">
        <f>Activity!$C49*Activity!$D49*Activity!E49</f>
        <v>0</v>
      </c>
      <c r="D50" s="552">
        <f>Activity!$C49*Activity!$D49*Activity!F49</f>
        <v>0</v>
      </c>
      <c r="E50" s="550">
        <f>Activity!$C49*Activity!$D49*Activity!G49</f>
        <v>0</v>
      </c>
      <c r="F50" s="552">
        <f>Activity!$C49*Activity!$D49*Activity!H49</f>
        <v>0</v>
      </c>
      <c r="G50" s="552">
        <f>Activity!$C49*Activity!$D49*Activity!I49</f>
        <v>0</v>
      </c>
      <c r="H50" s="552">
        <f>Activity!$C49*Activity!$D49*Activity!J49</f>
        <v>0</v>
      </c>
      <c r="I50" s="552">
        <f>Activity!$C49*Activity!$D49*Activity!K49</f>
        <v>0</v>
      </c>
      <c r="J50" s="553">
        <f>Activity!$C49*Activity!$D49*Activity!L49</f>
        <v>0</v>
      </c>
      <c r="K50" s="552">
        <f>Activity!$C49*Activity!$D49*Activity!M49</f>
        <v>0</v>
      </c>
      <c r="L50" s="552">
        <f>Activity!$C49*Activity!$D49*Activity!N49</f>
        <v>0</v>
      </c>
      <c r="M50" s="550">
        <f>Activity!$C49*Activity!$D49*Activity!O49</f>
        <v>0</v>
      </c>
      <c r="N50" s="413">
        <v>0</v>
      </c>
      <c r="O50" s="552">
        <f>Activity!C49*Activity!D49</f>
        <v>0</v>
      </c>
      <c r="P50" s="559">
        <f>Activity!X49</f>
        <v>0</v>
      </c>
    </row>
    <row r="51" spans="2:16">
      <c r="B51" s="7">
        <f t="shared" si="1"/>
        <v>2037</v>
      </c>
      <c r="C51" s="551">
        <f>Activity!$C50*Activity!$D50*Activity!E50</f>
        <v>0</v>
      </c>
      <c r="D51" s="552">
        <f>Activity!$C50*Activity!$D50*Activity!F50</f>
        <v>0</v>
      </c>
      <c r="E51" s="550">
        <f>Activity!$C50*Activity!$D50*Activity!G50</f>
        <v>0</v>
      </c>
      <c r="F51" s="552">
        <f>Activity!$C50*Activity!$D50*Activity!H50</f>
        <v>0</v>
      </c>
      <c r="G51" s="552">
        <f>Activity!$C50*Activity!$D50*Activity!I50</f>
        <v>0</v>
      </c>
      <c r="H51" s="552">
        <f>Activity!$C50*Activity!$D50*Activity!J50</f>
        <v>0</v>
      </c>
      <c r="I51" s="552">
        <f>Activity!$C50*Activity!$D50*Activity!K50</f>
        <v>0</v>
      </c>
      <c r="J51" s="553">
        <f>Activity!$C50*Activity!$D50*Activity!L50</f>
        <v>0</v>
      </c>
      <c r="K51" s="552">
        <f>Activity!$C50*Activity!$D50*Activity!M50</f>
        <v>0</v>
      </c>
      <c r="L51" s="552">
        <f>Activity!$C50*Activity!$D50*Activity!N50</f>
        <v>0</v>
      </c>
      <c r="M51" s="550">
        <f>Activity!$C50*Activity!$D50*Activity!O50</f>
        <v>0</v>
      </c>
      <c r="N51" s="413">
        <v>0</v>
      </c>
      <c r="O51" s="552">
        <f>Activity!C50*Activity!D50</f>
        <v>0</v>
      </c>
      <c r="P51" s="559">
        <f>Activity!X50</f>
        <v>0</v>
      </c>
    </row>
    <row r="52" spans="2:16">
      <c r="B52" s="7">
        <f t="shared" si="1"/>
        <v>2038</v>
      </c>
      <c r="C52" s="551">
        <f>Activity!$C51*Activity!$D51*Activity!E51</f>
        <v>0</v>
      </c>
      <c r="D52" s="552">
        <f>Activity!$C51*Activity!$D51*Activity!F51</f>
        <v>0</v>
      </c>
      <c r="E52" s="550">
        <f>Activity!$C51*Activity!$D51*Activity!G51</f>
        <v>0</v>
      </c>
      <c r="F52" s="552">
        <f>Activity!$C51*Activity!$D51*Activity!H51</f>
        <v>0</v>
      </c>
      <c r="G52" s="552">
        <f>Activity!$C51*Activity!$D51*Activity!I51</f>
        <v>0</v>
      </c>
      <c r="H52" s="552">
        <f>Activity!$C51*Activity!$D51*Activity!J51</f>
        <v>0</v>
      </c>
      <c r="I52" s="552">
        <f>Activity!$C51*Activity!$D51*Activity!K51</f>
        <v>0</v>
      </c>
      <c r="J52" s="553">
        <f>Activity!$C51*Activity!$D51*Activity!L51</f>
        <v>0</v>
      </c>
      <c r="K52" s="552">
        <f>Activity!$C51*Activity!$D51*Activity!M51</f>
        <v>0</v>
      </c>
      <c r="L52" s="552">
        <f>Activity!$C51*Activity!$D51*Activity!N51</f>
        <v>0</v>
      </c>
      <c r="M52" s="550">
        <f>Activity!$C51*Activity!$D51*Activity!O51</f>
        <v>0</v>
      </c>
      <c r="N52" s="413">
        <v>0</v>
      </c>
      <c r="O52" s="552">
        <f>Activity!C51*Activity!D51</f>
        <v>0</v>
      </c>
      <c r="P52" s="559">
        <f>Activity!X51</f>
        <v>0</v>
      </c>
    </row>
    <row r="53" spans="2:16">
      <c r="B53" s="7">
        <f t="shared" si="1"/>
        <v>2039</v>
      </c>
      <c r="C53" s="551">
        <f>Activity!$C52*Activity!$D52*Activity!E52</f>
        <v>0</v>
      </c>
      <c r="D53" s="552">
        <f>Activity!$C52*Activity!$D52*Activity!F52</f>
        <v>0</v>
      </c>
      <c r="E53" s="550">
        <f>Activity!$C52*Activity!$D52*Activity!G52</f>
        <v>0</v>
      </c>
      <c r="F53" s="552">
        <f>Activity!$C52*Activity!$D52*Activity!H52</f>
        <v>0</v>
      </c>
      <c r="G53" s="552">
        <f>Activity!$C52*Activity!$D52*Activity!I52</f>
        <v>0</v>
      </c>
      <c r="H53" s="552">
        <f>Activity!$C52*Activity!$D52*Activity!J52</f>
        <v>0</v>
      </c>
      <c r="I53" s="552">
        <f>Activity!$C52*Activity!$D52*Activity!K52</f>
        <v>0</v>
      </c>
      <c r="J53" s="553">
        <f>Activity!$C52*Activity!$D52*Activity!L52</f>
        <v>0</v>
      </c>
      <c r="K53" s="552">
        <f>Activity!$C52*Activity!$D52*Activity!M52</f>
        <v>0</v>
      </c>
      <c r="L53" s="552">
        <f>Activity!$C52*Activity!$D52*Activity!N52</f>
        <v>0</v>
      </c>
      <c r="M53" s="550">
        <f>Activity!$C52*Activity!$D52*Activity!O52</f>
        <v>0</v>
      </c>
      <c r="N53" s="413">
        <v>0</v>
      </c>
      <c r="O53" s="552">
        <f>Activity!C52*Activity!D52</f>
        <v>0</v>
      </c>
      <c r="P53" s="559">
        <f>Activity!X52</f>
        <v>0</v>
      </c>
    </row>
    <row r="54" spans="2:16">
      <c r="B54" s="7">
        <f t="shared" si="1"/>
        <v>2040</v>
      </c>
      <c r="C54" s="551">
        <f>Activity!$C53*Activity!$D53*Activity!E53</f>
        <v>0</v>
      </c>
      <c r="D54" s="552">
        <f>Activity!$C53*Activity!$D53*Activity!F53</f>
        <v>0</v>
      </c>
      <c r="E54" s="550">
        <f>Activity!$C53*Activity!$D53*Activity!G53</f>
        <v>0</v>
      </c>
      <c r="F54" s="552">
        <f>Activity!$C53*Activity!$D53*Activity!H53</f>
        <v>0</v>
      </c>
      <c r="G54" s="552">
        <f>Activity!$C53*Activity!$D53*Activity!I53</f>
        <v>0</v>
      </c>
      <c r="H54" s="552">
        <f>Activity!$C53*Activity!$D53*Activity!J53</f>
        <v>0</v>
      </c>
      <c r="I54" s="552">
        <f>Activity!$C53*Activity!$D53*Activity!K53</f>
        <v>0</v>
      </c>
      <c r="J54" s="553">
        <f>Activity!$C53*Activity!$D53*Activity!L53</f>
        <v>0</v>
      </c>
      <c r="K54" s="552">
        <f>Activity!$C53*Activity!$D53*Activity!M53</f>
        <v>0</v>
      </c>
      <c r="L54" s="552">
        <f>Activity!$C53*Activity!$D53*Activity!N53</f>
        <v>0</v>
      </c>
      <c r="M54" s="550">
        <f>Activity!$C53*Activity!$D53*Activity!O53</f>
        <v>0</v>
      </c>
      <c r="N54" s="413">
        <v>0</v>
      </c>
      <c r="O54" s="552">
        <f>Activity!C53*Activity!D53</f>
        <v>0</v>
      </c>
      <c r="P54" s="559">
        <f>Activity!X53</f>
        <v>0</v>
      </c>
    </row>
    <row r="55" spans="2:16">
      <c r="B55" s="7">
        <f t="shared" si="1"/>
        <v>2041</v>
      </c>
      <c r="C55" s="551">
        <f>Activity!$C54*Activity!$D54*Activity!E54</f>
        <v>0</v>
      </c>
      <c r="D55" s="552">
        <f>Activity!$C54*Activity!$D54*Activity!F54</f>
        <v>0</v>
      </c>
      <c r="E55" s="550">
        <f>Activity!$C54*Activity!$D54*Activity!G54</f>
        <v>0</v>
      </c>
      <c r="F55" s="552">
        <f>Activity!$C54*Activity!$D54*Activity!H54</f>
        <v>0</v>
      </c>
      <c r="G55" s="552">
        <f>Activity!$C54*Activity!$D54*Activity!I54</f>
        <v>0</v>
      </c>
      <c r="H55" s="552">
        <f>Activity!$C54*Activity!$D54*Activity!J54</f>
        <v>0</v>
      </c>
      <c r="I55" s="552">
        <f>Activity!$C54*Activity!$D54*Activity!K54</f>
        <v>0</v>
      </c>
      <c r="J55" s="553">
        <f>Activity!$C54*Activity!$D54*Activity!L54</f>
        <v>0</v>
      </c>
      <c r="K55" s="552">
        <f>Activity!$C54*Activity!$D54*Activity!M54</f>
        <v>0</v>
      </c>
      <c r="L55" s="552">
        <f>Activity!$C54*Activity!$D54*Activity!N54</f>
        <v>0</v>
      </c>
      <c r="M55" s="550">
        <f>Activity!$C54*Activity!$D54*Activity!O54</f>
        <v>0</v>
      </c>
      <c r="N55" s="413">
        <v>0</v>
      </c>
      <c r="O55" s="552">
        <f>Activity!C54*Activity!D54</f>
        <v>0</v>
      </c>
      <c r="P55" s="559">
        <f>Activity!X54</f>
        <v>0</v>
      </c>
    </row>
    <row r="56" spans="2:16">
      <c r="B56" s="7">
        <f t="shared" si="1"/>
        <v>2042</v>
      </c>
      <c r="C56" s="551">
        <f>Activity!$C55*Activity!$D55*Activity!E55</f>
        <v>0</v>
      </c>
      <c r="D56" s="552">
        <f>Activity!$C55*Activity!$D55*Activity!F55</f>
        <v>0</v>
      </c>
      <c r="E56" s="550">
        <f>Activity!$C55*Activity!$D55*Activity!G55</f>
        <v>0</v>
      </c>
      <c r="F56" s="552">
        <f>Activity!$C55*Activity!$D55*Activity!H55</f>
        <v>0</v>
      </c>
      <c r="G56" s="552">
        <f>Activity!$C55*Activity!$D55*Activity!I55</f>
        <v>0</v>
      </c>
      <c r="H56" s="552">
        <f>Activity!$C55*Activity!$D55*Activity!J55</f>
        <v>0</v>
      </c>
      <c r="I56" s="552">
        <f>Activity!$C55*Activity!$D55*Activity!K55</f>
        <v>0</v>
      </c>
      <c r="J56" s="553">
        <f>Activity!$C55*Activity!$D55*Activity!L55</f>
        <v>0</v>
      </c>
      <c r="K56" s="552">
        <f>Activity!$C55*Activity!$D55*Activity!M55</f>
        <v>0</v>
      </c>
      <c r="L56" s="552">
        <f>Activity!$C55*Activity!$D55*Activity!N55</f>
        <v>0</v>
      </c>
      <c r="M56" s="550">
        <f>Activity!$C55*Activity!$D55*Activity!O55</f>
        <v>0</v>
      </c>
      <c r="N56" s="413">
        <v>0</v>
      </c>
      <c r="O56" s="552">
        <f>Activity!C55*Activity!D55</f>
        <v>0</v>
      </c>
      <c r="P56" s="559">
        <f>Activity!X55</f>
        <v>0</v>
      </c>
    </row>
    <row r="57" spans="2:16">
      <c r="B57" s="7">
        <f t="shared" si="1"/>
        <v>2043</v>
      </c>
      <c r="C57" s="551">
        <f>Activity!$C56*Activity!$D56*Activity!E56</f>
        <v>0</v>
      </c>
      <c r="D57" s="552">
        <f>Activity!$C56*Activity!$D56*Activity!F56</f>
        <v>0</v>
      </c>
      <c r="E57" s="550">
        <f>Activity!$C56*Activity!$D56*Activity!G56</f>
        <v>0</v>
      </c>
      <c r="F57" s="552">
        <f>Activity!$C56*Activity!$D56*Activity!H56</f>
        <v>0</v>
      </c>
      <c r="G57" s="552">
        <f>Activity!$C56*Activity!$D56*Activity!I56</f>
        <v>0</v>
      </c>
      <c r="H57" s="552">
        <f>Activity!$C56*Activity!$D56*Activity!J56</f>
        <v>0</v>
      </c>
      <c r="I57" s="552">
        <f>Activity!$C56*Activity!$D56*Activity!K56</f>
        <v>0</v>
      </c>
      <c r="J57" s="553">
        <f>Activity!$C56*Activity!$D56*Activity!L56</f>
        <v>0</v>
      </c>
      <c r="K57" s="552">
        <f>Activity!$C56*Activity!$D56*Activity!M56</f>
        <v>0</v>
      </c>
      <c r="L57" s="552">
        <f>Activity!$C56*Activity!$D56*Activity!N56</f>
        <v>0</v>
      </c>
      <c r="M57" s="550">
        <f>Activity!$C56*Activity!$D56*Activity!O56</f>
        <v>0</v>
      </c>
      <c r="N57" s="413">
        <v>0</v>
      </c>
      <c r="O57" s="552">
        <f>Activity!C56*Activity!D56</f>
        <v>0</v>
      </c>
      <c r="P57" s="559">
        <f>Activity!X56</f>
        <v>0</v>
      </c>
    </row>
    <row r="58" spans="2:16">
      <c r="B58" s="7">
        <f t="shared" si="1"/>
        <v>2044</v>
      </c>
      <c r="C58" s="551">
        <f>Activity!$C57*Activity!$D57*Activity!E57</f>
        <v>0</v>
      </c>
      <c r="D58" s="552">
        <f>Activity!$C57*Activity!$D57*Activity!F57</f>
        <v>0</v>
      </c>
      <c r="E58" s="550">
        <f>Activity!$C57*Activity!$D57*Activity!G57</f>
        <v>0</v>
      </c>
      <c r="F58" s="552">
        <f>Activity!$C57*Activity!$D57*Activity!H57</f>
        <v>0</v>
      </c>
      <c r="G58" s="552">
        <f>Activity!$C57*Activity!$D57*Activity!I57</f>
        <v>0</v>
      </c>
      <c r="H58" s="552">
        <f>Activity!$C57*Activity!$D57*Activity!J57</f>
        <v>0</v>
      </c>
      <c r="I58" s="552">
        <f>Activity!$C57*Activity!$D57*Activity!K57</f>
        <v>0</v>
      </c>
      <c r="J58" s="553">
        <f>Activity!$C57*Activity!$D57*Activity!L57</f>
        <v>0</v>
      </c>
      <c r="K58" s="552">
        <f>Activity!$C57*Activity!$D57*Activity!M57</f>
        <v>0</v>
      </c>
      <c r="L58" s="552">
        <f>Activity!$C57*Activity!$D57*Activity!N57</f>
        <v>0</v>
      </c>
      <c r="M58" s="550">
        <f>Activity!$C57*Activity!$D57*Activity!O57</f>
        <v>0</v>
      </c>
      <c r="N58" s="413">
        <v>0</v>
      </c>
      <c r="O58" s="552">
        <f>Activity!C57*Activity!D57</f>
        <v>0</v>
      </c>
      <c r="P58" s="559">
        <f>Activity!X57</f>
        <v>0</v>
      </c>
    </row>
    <row r="59" spans="2:16">
      <c r="B59" s="7">
        <f t="shared" si="1"/>
        <v>2045</v>
      </c>
      <c r="C59" s="551">
        <f>Activity!$C58*Activity!$D58*Activity!E58</f>
        <v>0</v>
      </c>
      <c r="D59" s="552">
        <f>Activity!$C58*Activity!$D58*Activity!F58</f>
        <v>0</v>
      </c>
      <c r="E59" s="550">
        <f>Activity!$C58*Activity!$D58*Activity!G58</f>
        <v>0</v>
      </c>
      <c r="F59" s="552">
        <f>Activity!$C58*Activity!$D58*Activity!H58</f>
        <v>0</v>
      </c>
      <c r="G59" s="552">
        <f>Activity!$C58*Activity!$D58*Activity!I58</f>
        <v>0</v>
      </c>
      <c r="H59" s="552">
        <f>Activity!$C58*Activity!$D58*Activity!J58</f>
        <v>0</v>
      </c>
      <c r="I59" s="552">
        <f>Activity!$C58*Activity!$D58*Activity!K58</f>
        <v>0</v>
      </c>
      <c r="J59" s="553">
        <f>Activity!$C58*Activity!$D58*Activity!L58</f>
        <v>0</v>
      </c>
      <c r="K59" s="552">
        <f>Activity!$C58*Activity!$D58*Activity!M58</f>
        <v>0</v>
      </c>
      <c r="L59" s="552">
        <f>Activity!$C58*Activity!$D58*Activity!N58</f>
        <v>0</v>
      </c>
      <c r="M59" s="550">
        <f>Activity!$C58*Activity!$D58*Activity!O58</f>
        <v>0</v>
      </c>
      <c r="N59" s="413">
        <v>0</v>
      </c>
      <c r="O59" s="552">
        <f>Activity!C58*Activity!D58</f>
        <v>0</v>
      </c>
      <c r="P59" s="559">
        <f>Activity!X58</f>
        <v>0</v>
      </c>
    </row>
    <row r="60" spans="2:16">
      <c r="B60" s="7">
        <f t="shared" si="1"/>
        <v>2046</v>
      </c>
      <c r="C60" s="551">
        <f>Activity!$C59*Activity!$D59*Activity!E59</f>
        <v>0</v>
      </c>
      <c r="D60" s="552">
        <f>Activity!$C59*Activity!$D59*Activity!F59</f>
        <v>0</v>
      </c>
      <c r="E60" s="550">
        <f>Activity!$C59*Activity!$D59*Activity!G59</f>
        <v>0</v>
      </c>
      <c r="F60" s="552">
        <f>Activity!$C59*Activity!$D59*Activity!H59</f>
        <v>0</v>
      </c>
      <c r="G60" s="552">
        <f>Activity!$C59*Activity!$D59*Activity!I59</f>
        <v>0</v>
      </c>
      <c r="H60" s="552">
        <f>Activity!$C59*Activity!$D59*Activity!J59</f>
        <v>0</v>
      </c>
      <c r="I60" s="552">
        <f>Activity!$C59*Activity!$D59*Activity!K59</f>
        <v>0</v>
      </c>
      <c r="J60" s="553">
        <f>Activity!$C59*Activity!$D59*Activity!L59</f>
        <v>0</v>
      </c>
      <c r="K60" s="552">
        <f>Activity!$C59*Activity!$D59*Activity!M59</f>
        <v>0</v>
      </c>
      <c r="L60" s="552">
        <f>Activity!$C59*Activity!$D59*Activity!N59</f>
        <v>0</v>
      </c>
      <c r="M60" s="550">
        <f>Activity!$C59*Activity!$D59*Activity!O59</f>
        <v>0</v>
      </c>
      <c r="N60" s="413">
        <v>0</v>
      </c>
      <c r="O60" s="552">
        <f>Activity!C59*Activity!D59</f>
        <v>0</v>
      </c>
      <c r="P60" s="559">
        <f>Activity!X59</f>
        <v>0</v>
      </c>
    </row>
    <row r="61" spans="2:16">
      <c r="B61" s="7">
        <f t="shared" si="1"/>
        <v>2047</v>
      </c>
      <c r="C61" s="551">
        <f>Activity!$C60*Activity!$D60*Activity!E60</f>
        <v>0</v>
      </c>
      <c r="D61" s="552">
        <f>Activity!$C60*Activity!$D60*Activity!F60</f>
        <v>0</v>
      </c>
      <c r="E61" s="550">
        <f>Activity!$C60*Activity!$D60*Activity!G60</f>
        <v>0</v>
      </c>
      <c r="F61" s="552">
        <f>Activity!$C60*Activity!$D60*Activity!H60</f>
        <v>0</v>
      </c>
      <c r="G61" s="552">
        <f>Activity!$C60*Activity!$D60*Activity!I60</f>
        <v>0</v>
      </c>
      <c r="H61" s="552">
        <f>Activity!$C60*Activity!$D60*Activity!J60</f>
        <v>0</v>
      </c>
      <c r="I61" s="552">
        <f>Activity!$C60*Activity!$D60*Activity!K60</f>
        <v>0</v>
      </c>
      <c r="J61" s="553">
        <f>Activity!$C60*Activity!$D60*Activity!L60</f>
        <v>0</v>
      </c>
      <c r="K61" s="552">
        <f>Activity!$C60*Activity!$D60*Activity!M60</f>
        <v>0</v>
      </c>
      <c r="L61" s="552">
        <f>Activity!$C60*Activity!$D60*Activity!N60</f>
        <v>0</v>
      </c>
      <c r="M61" s="550">
        <f>Activity!$C60*Activity!$D60*Activity!O60</f>
        <v>0</v>
      </c>
      <c r="N61" s="413">
        <v>0</v>
      </c>
      <c r="O61" s="552">
        <f>Activity!C60*Activity!D60</f>
        <v>0</v>
      </c>
      <c r="P61" s="559">
        <f>Activity!X60</f>
        <v>0</v>
      </c>
    </row>
    <row r="62" spans="2:16">
      <c r="B62" s="7">
        <f t="shared" si="1"/>
        <v>2048</v>
      </c>
      <c r="C62" s="551">
        <f>Activity!$C61*Activity!$D61*Activity!E61</f>
        <v>0</v>
      </c>
      <c r="D62" s="552">
        <f>Activity!$C61*Activity!$D61*Activity!F61</f>
        <v>0</v>
      </c>
      <c r="E62" s="550">
        <f>Activity!$C61*Activity!$D61*Activity!G61</f>
        <v>0</v>
      </c>
      <c r="F62" s="552">
        <f>Activity!$C61*Activity!$D61*Activity!H61</f>
        <v>0</v>
      </c>
      <c r="G62" s="552">
        <f>Activity!$C61*Activity!$D61*Activity!I61</f>
        <v>0</v>
      </c>
      <c r="H62" s="552">
        <f>Activity!$C61*Activity!$D61*Activity!J61</f>
        <v>0</v>
      </c>
      <c r="I62" s="552">
        <f>Activity!$C61*Activity!$D61*Activity!K61</f>
        <v>0</v>
      </c>
      <c r="J62" s="553">
        <f>Activity!$C61*Activity!$D61*Activity!L61</f>
        <v>0</v>
      </c>
      <c r="K62" s="552">
        <f>Activity!$C61*Activity!$D61*Activity!M61</f>
        <v>0</v>
      </c>
      <c r="L62" s="552">
        <f>Activity!$C61*Activity!$D61*Activity!N61</f>
        <v>0</v>
      </c>
      <c r="M62" s="550">
        <f>Activity!$C61*Activity!$D61*Activity!O61</f>
        <v>0</v>
      </c>
      <c r="N62" s="413">
        <v>0</v>
      </c>
      <c r="O62" s="552">
        <f>Activity!C61*Activity!D61</f>
        <v>0</v>
      </c>
      <c r="P62" s="559">
        <f>Activity!X61</f>
        <v>0</v>
      </c>
    </row>
    <row r="63" spans="2:16">
      <c r="B63" s="7">
        <f t="shared" si="1"/>
        <v>2049</v>
      </c>
      <c r="C63" s="551">
        <f>Activity!$C62*Activity!$D62*Activity!E62</f>
        <v>0</v>
      </c>
      <c r="D63" s="552">
        <f>Activity!$C62*Activity!$D62*Activity!F62</f>
        <v>0</v>
      </c>
      <c r="E63" s="550">
        <f>Activity!$C62*Activity!$D62*Activity!G62</f>
        <v>0</v>
      </c>
      <c r="F63" s="552">
        <f>Activity!$C62*Activity!$D62*Activity!H62</f>
        <v>0</v>
      </c>
      <c r="G63" s="552">
        <f>Activity!$C62*Activity!$D62*Activity!I62</f>
        <v>0</v>
      </c>
      <c r="H63" s="552">
        <f>Activity!$C62*Activity!$D62*Activity!J62</f>
        <v>0</v>
      </c>
      <c r="I63" s="552">
        <f>Activity!$C62*Activity!$D62*Activity!K62</f>
        <v>0</v>
      </c>
      <c r="J63" s="553">
        <f>Activity!$C62*Activity!$D62*Activity!L62</f>
        <v>0</v>
      </c>
      <c r="K63" s="552">
        <f>Activity!$C62*Activity!$D62*Activity!M62</f>
        <v>0</v>
      </c>
      <c r="L63" s="552">
        <f>Activity!$C62*Activity!$D62*Activity!N62</f>
        <v>0</v>
      </c>
      <c r="M63" s="550">
        <f>Activity!$C62*Activity!$D62*Activity!O62</f>
        <v>0</v>
      </c>
      <c r="N63" s="413">
        <v>0</v>
      </c>
      <c r="O63" s="552">
        <f>Activity!C62*Activity!D62</f>
        <v>0</v>
      </c>
      <c r="P63" s="559">
        <f>Activity!X62</f>
        <v>0</v>
      </c>
    </row>
    <row r="64" spans="2:16">
      <c r="B64" s="7">
        <f t="shared" si="1"/>
        <v>2050</v>
      </c>
      <c r="C64" s="551">
        <f>Activity!$C63*Activity!$D63*Activity!E63</f>
        <v>0</v>
      </c>
      <c r="D64" s="552">
        <f>Activity!$C63*Activity!$D63*Activity!F63</f>
        <v>0</v>
      </c>
      <c r="E64" s="550">
        <f>Activity!$C63*Activity!$D63*Activity!G63</f>
        <v>0</v>
      </c>
      <c r="F64" s="552">
        <f>Activity!$C63*Activity!$D63*Activity!H63</f>
        <v>0</v>
      </c>
      <c r="G64" s="552">
        <f>Activity!$C63*Activity!$D63*Activity!I63</f>
        <v>0</v>
      </c>
      <c r="H64" s="552">
        <f>Activity!$C63*Activity!$D63*Activity!J63</f>
        <v>0</v>
      </c>
      <c r="I64" s="552">
        <f>Activity!$C63*Activity!$D63*Activity!K63</f>
        <v>0</v>
      </c>
      <c r="J64" s="553">
        <f>Activity!$C63*Activity!$D63*Activity!L63</f>
        <v>0</v>
      </c>
      <c r="K64" s="552">
        <f>Activity!$C63*Activity!$D63*Activity!M63</f>
        <v>0</v>
      </c>
      <c r="L64" s="552">
        <f>Activity!$C63*Activity!$D63*Activity!N63</f>
        <v>0</v>
      </c>
      <c r="M64" s="550">
        <f>Activity!$C63*Activity!$D63*Activity!O63</f>
        <v>0</v>
      </c>
      <c r="N64" s="413">
        <v>0</v>
      </c>
      <c r="O64" s="552">
        <f>Activity!C63*Activity!D63</f>
        <v>0</v>
      </c>
      <c r="P64" s="559">
        <f>Activity!X63</f>
        <v>0</v>
      </c>
    </row>
    <row r="65" spans="2:16">
      <c r="B65" s="7">
        <f t="shared" si="1"/>
        <v>2051</v>
      </c>
      <c r="C65" s="551">
        <f>Activity!$C64*Activity!$D64*Activity!E64</f>
        <v>0</v>
      </c>
      <c r="D65" s="552">
        <f>Activity!$C64*Activity!$D64*Activity!F64</f>
        <v>0</v>
      </c>
      <c r="E65" s="550">
        <f>Activity!$C64*Activity!$D64*Activity!G64</f>
        <v>0</v>
      </c>
      <c r="F65" s="552">
        <f>Activity!$C64*Activity!$D64*Activity!H64</f>
        <v>0</v>
      </c>
      <c r="G65" s="552">
        <f>Activity!$C64*Activity!$D64*Activity!I64</f>
        <v>0</v>
      </c>
      <c r="H65" s="552">
        <f>Activity!$C64*Activity!$D64*Activity!J64</f>
        <v>0</v>
      </c>
      <c r="I65" s="552">
        <f>Activity!$C64*Activity!$D64*Activity!K64</f>
        <v>0</v>
      </c>
      <c r="J65" s="553">
        <f>Activity!$C64*Activity!$D64*Activity!L64</f>
        <v>0</v>
      </c>
      <c r="K65" s="552">
        <f>Activity!$C64*Activity!$D64*Activity!M64</f>
        <v>0</v>
      </c>
      <c r="L65" s="552">
        <f>Activity!$C64*Activity!$D64*Activity!N64</f>
        <v>0</v>
      </c>
      <c r="M65" s="550">
        <f>Activity!$C64*Activity!$D64*Activity!O64</f>
        <v>0</v>
      </c>
      <c r="N65" s="413">
        <v>0</v>
      </c>
      <c r="O65" s="552">
        <f>Activity!C64*Activity!D64</f>
        <v>0</v>
      </c>
      <c r="P65" s="559">
        <f>Activity!X64</f>
        <v>0</v>
      </c>
    </row>
    <row r="66" spans="2:16">
      <c r="B66" s="7">
        <f t="shared" si="1"/>
        <v>2052</v>
      </c>
      <c r="C66" s="551">
        <f>Activity!$C65*Activity!$D65*Activity!E65</f>
        <v>0</v>
      </c>
      <c r="D66" s="552">
        <f>Activity!$C65*Activity!$D65*Activity!F65</f>
        <v>0</v>
      </c>
      <c r="E66" s="550">
        <f>Activity!$C65*Activity!$D65*Activity!G65</f>
        <v>0</v>
      </c>
      <c r="F66" s="552">
        <f>Activity!$C65*Activity!$D65*Activity!H65</f>
        <v>0</v>
      </c>
      <c r="G66" s="552">
        <f>Activity!$C65*Activity!$D65*Activity!I65</f>
        <v>0</v>
      </c>
      <c r="H66" s="552">
        <f>Activity!$C65*Activity!$D65*Activity!J65</f>
        <v>0</v>
      </c>
      <c r="I66" s="552">
        <f>Activity!$C65*Activity!$D65*Activity!K65</f>
        <v>0</v>
      </c>
      <c r="J66" s="553">
        <f>Activity!$C65*Activity!$D65*Activity!L65</f>
        <v>0</v>
      </c>
      <c r="K66" s="552">
        <f>Activity!$C65*Activity!$D65*Activity!M65</f>
        <v>0</v>
      </c>
      <c r="L66" s="552">
        <f>Activity!$C65*Activity!$D65*Activity!N65</f>
        <v>0</v>
      </c>
      <c r="M66" s="550">
        <f>Activity!$C65*Activity!$D65*Activity!O65</f>
        <v>0</v>
      </c>
      <c r="N66" s="413">
        <v>0</v>
      </c>
      <c r="O66" s="552">
        <f>Activity!C65*Activity!D65</f>
        <v>0</v>
      </c>
      <c r="P66" s="559">
        <f>Activity!X65</f>
        <v>0</v>
      </c>
    </row>
    <row r="67" spans="2:16">
      <c r="B67" s="7">
        <f t="shared" si="1"/>
        <v>2053</v>
      </c>
      <c r="C67" s="551">
        <f>Activity!$C66*Activity!$D66*Activity!E66</f>
        <v>0</v>
      </c>
      <c r="D67" s="552">
        <f>Activity!$C66*Activity!$D66*Activity!F66</f>
        <v>0</v>
      </c>
      <c r="E67" s="550">
        <f>Activity!$C66*Activity!$D66*Activity!G66</f>
        <v>0</v>
      </c>
      <c r="F67" s="552">
        <f>Activity!$C66*Activity!$D66*Activity!H66</f>
        <v>0</v>
      </c>
      <c r="G67" s="552">
        <f>Activity!$C66*Activity!$D66*Activity!I66</f>
        <v>0</v>
      </c>
      <c r="H67" s="552">
        <f>Activity!$C66*Activity!$D66*Activity!J66</f>
        <v>0</v>
      </c>
      <c r="I67" s="552">
        <f>Activity!$C66*Activity!$D66*Activity!K66</f>
        <v>0</v>
      </c>
      <c r="J67" s="553">
        <f>Activity!$C66*Activity!$D66*Activity!L66</f>
        <v>0</v>
      </c>
      <c r="K67" s="552">
        <f>Activity!$C66*Activity!$D66*Activity!M66</f>
        <v>0</v>
      </c>
      <c r="L67" s="552">
        <f>Activity!$C66*Activity!$D66*Activity!N66</f>
        <v>0</v>
      </c>
      <c r="M67" s="550">
        <f>Activity!$C66*Activity!$D66*Activity!O66</f>
        <v>0</v>
      </c>
      <c r="N67" s="413">
        <v>0</v>
      </c>
      <c r="O67" s="552">
        <f>Activity!C66*Activity!D66</f>
        <v>0</v>
      </c>
      <c r="P67" s="559">
        <f>Activity!X66</f>
        <v>0</v>
      </c>
    </row>
    <row r="68" spans="2:16">
      <c r="B68" s="7">
        <f t="shared" si="1"/>
        <v>2054</v>
      </c>
      <c r="C68" s="551">
        <f>Activity!$C67*Activity!$D67*Activity!E67</f>
        <v>0</v>
      </c>
      <c r="D68" s="552">
        <f>Activity!$C67*Activity!$D67*Activity!F67</f>
        <v>0</v>
      </c>
      <c r="E68" s="550">
        <f>Activity!$C67*Activity!$D67*Activity!G67</f>
        <v>0</v>
      </c>
      <c r="F68" s="552">
        <f>Activity!$C67*Activity!$D67*Activity!H67</f>
        <v>0</v>
      </c>
      <c r="G68" s="552">
        <f>Activity!$C67*Activity!$D67*Activity!I67</f>
        <v>0</v>
      </c>
      <c r="H68" s="552">
        <f>Activity!$C67*Activity!$D67*Activity!J67</f>
        <v>0</v>
      </c>
      <c r="I68" s="552">
        <f>Activity!$C67*Activity!$D67*Activity!K67</f>
        <v>0</v>
      </c>
      <c r="J68" s="553">
        <f>Activity!$C67*Activity!$D67*Activity!L67</f>
        <v>0</v>
      </c>
      <c r="K68" s="552">
        <f>Activity!$C67*Activity!$D67*Activity!M67</f>
        <v>0</v>
      </c>
      <c r="L68" s="552">
        <f>Activity!$C67*Activity!$D67*Activity!N67</f>
        <v>0</v>
      </c>
      <c r="M68" s="550">
        <f>Activity!$C67*Activity!$D67*Activity!O67</f>
        <v>0</v>
      </c>
      <c r="N68" s="413">
        <v>0</v>
      </c>
      <c r="O68" s="552">
        <f>Activity!C67*Activity!D67</f>
        <v>0</v>
      </c>
      <c r="P68" s="559">
        <f>Activity!X67</f>
        <v>0</v>
      </c>
    </row>
    <row r="69" spans="2:16">
      <c r="B69" s="7">
        <f t="shared" si="1"/>
        <v>2055</v>
      </c>
      <c r="C69" s="551">
        <f>Activity!$C68*Activity!$D68*Activity!E68</f>
        <v>0</v>
      </c>
      <c r="D69" s="552">
        <f>Activity!$C68*Activity!$D68*Activity!F68</f>
        <v>0</v>
      </c>
      <c r="E69" s="550">
        <f>Activity!$C68*Activity!$D68*Activity!G68</f>
        <v>0</v>
      </c>
      <c r="F69" s="552">
        <f>Activity!$C68*Activity!$D68*Activity!H68</f>
        <v>0</v>
      </c>
      <c r="G69" s="552">
        <f>Activity!$C68*Activity!$D68*Activity!I68</f>
        <v>0</v>
      </c>
      <c r="H69" s="552">
        <f>Activity!$C68*Activity!$D68*Activity!J68</f>
        <v>0</v>
      </c>
      <c r="I69" s="552">
        <f>Activity!$C68*Activity!$D68*Activity!K68</f>
        <v>0</v>
      </c>
      <c r="J69" s="553">
        <f>Activity!$C68*Activity!$D68*Activity!L68</f>
        <v>0</v>
      </c>
      <c r="K69" s="552">
        <f>Activity!$C68*Activity!$D68*Activity!M68</f>
        <v>0</v>
      </c>
      <c r="L69" s="552">
        <f>Activity!$C68*Activity!$D68*Activity!N68</f>
        <v>0</v>
      </c>
      <c r="M69" s="550">
        <f>Activity!$C68*Activity!$D68*Activity!O68</f>
        <v>0</v>
      </c>
      <c r="N69" s="413">
        <v>0</v>
      </c>
      <c r="O69" s="552">
        <f>Activity!C68*Activity!D68</f>
        <v>0</v>
      </c>
      <c r="P69" s="559">
        <f>Activity!X68</f>
        <v>0</v>
      </c>
    </row>
    <row r="70" spans="2:16">
      <c r="B70" s="7">
        <f t="shared" si="1"/>
        <v>2056</v>
      </c>
      <c r="C70" s="551">
        <f>Activity!$C69*Activity!$D69*Activity!E69</f>
        <v>0</v>
      </c>
      <c r="D70" s="552">
        <f>Activity!$C69*Activity!$D69*Activity!F69</f>
        <v>0</v>
      </c>
      <c r="E70" s="550">
        <f>Activity!$C69*Activity!$D69*Activity!G69</f>
        <v>0</v>
      </c>
      <c r="F70" s="552">
        <f>Activity!$C69*Activity!$D69*Activity!H69</f>
        <v>0</v>
      </c>
      <c r="G70" s="552">
        <f>Activity!$C69*Activity!$D69*Activity!I69</f>
        <v>0</v>
      </c>
      <c r="H70" s="552">
        <f>Activity!$C69*Activity!$D69*Activity!J69</f>
        <v>0</v>
      </c>
      <c r="I70" s="552">
        <f>Activity!$C69*Activity!$D69*Activity!K69</f>
        <v>0</v>
      </c>
      <c r="J70" s="553">
        <f>Activity!$C69*Activity!$D69*Activity!L69</f>
        <v>0</v>
      </c>
      <c r="K70" s="552">
        <f>Activity!$C69*Activity!$D69*Activity!M69</f>
        <v>0</v>
      </c>
      <c r="L70" s="552">
        <f>Activity!$C69*Activity!$D69*Activity!N69</f>
        <v>0</v>
      </c>
      <c r="M70" s="550">
        <f>Activity!$C69*Activity!$D69*Activity!O69</f>
        <v>0</v>
      </c>
      <c r="N70" s="413">
        <v>0</v>
      </c>
      <c r="O70" s="552">
        <f>Activity!C69*Activity!D69</f>
        <v>0</v>
      </c>
      <c r="P70" s="559">
        <f>Activity!X69</f>
        <v>0</v>
      </c>
    </row>
    <row r="71" spans="2:16">
      <c r="B71" s="7">
        <f t="shared" si="1"/>
        <v>2057</v>
      </c>
      <c r="C71" s="551">
        <f>Activity!$C70*Activity!$D70*Activity!E70</f>
        <v>0</v>
      </c>
      <c r="D71" s="552">
        <f>Activity!$C70*Activity!$D70*Activity!F70</f>
        <v>0</v>
      </c>
      <c r="E71" s="550">
        <f>Activity!$C70*Activity!$D70*Activity!G70</f>
        <v>0</v>
      </c>
      <c r="F71" s="552">
        <f>Activity!$C70*Activity!$D70*Activity!H70</f>
        <v>0</v>
      </c>
      <c r="G71" s="552">
        <f>Activity!$C70*Activity!$D70*Activity!I70</f>
        <v>0</v>
      </c>
      <c r="H71" s="552">
        <f>Activity!$C70*Activity!$D70*Activity!J70</f>
        <v>0</v>
      </c>
      <c r="I71" s="552">
        <f>Activity!$C70*Activity!$D70*Activity!K70</f>
        <v>0</v>
      </c>
      <c r="J71" s="553">
        <f>Activity!$C70*Activity!$D70*Activity!L70</f>
        <v>0</v>
      </c>
      <c r="K71" s="552">
        <f>Activity!$C70*Activity!$D70*Activity!M70</f>
        <v>0</v>
      </c>
      <c r="L71" s="552">
        <f>Activity!$C70*Activity!$D70*Activity!N70</f>
        <v>0</v>
      </c>
      <c r="M71" s="550">
        <f>Activity!$C70*Activity!$D70*Activity!O70</f>
        <v>0</v>
      </c>
      <c r="N71" s="413">
        <v>0</v>
      </c>
      <c r="O71" s="552">
        <f>Activity!C70*Activity!D70</f>
        <v>0</v>
      </c>
      <c r="P71" s="559">
        <f>Activity!X70</f>
        <v>0</v>
      </c>
    </row>
    <row r="72" spans="2:16">
      <c r="B72" s="7">
        <f t="shared" si="1"/>
        <v>2058</v>
      </c>
      <c r="C72" s="551">
        <f>Activity!$C71*Activity!$D71*Activity!E71</f>
        <v>0</v>
      </c>
      <c r="D72" s="552">
        <f>Activity!$C71*Activity!$D71*Activity!F71</f>
        <v>0</v>
      </c>
      <c r="E72" s="550">
        <f>Activity!$C71*Activity!$D71*Activity!G71</f>
        <v>0</v>
      </c>
      <c r="F72" s="552">
        <f>Activity!$C71*Activity!$D71*Activity!H71</f>
        <v>0</v>
      </c>
      <c r="G72" s="552">
        <f>Activity!$C71*Activity!$D71*Activity!I71</f>
        <v>0</v>
      </c>
      <c r="H72" s="552">
        <f>Activity!$C71*Activity!$D71*Activity!J71</f>
        <v>0</v>
      </c>
      <c r="I72" s="552">
        <f>Activity!$C71*Activity!$D71*Activity!K71</f>
        <v>0</v>
      </c>
      <c r="J72" s="553">
        <f>Activity!$C71*Activity!$D71*Activity!L71</f>
        <v>0</v>
      </c>
      <c r="K72" s="552">
        <f>Activity!$C71*Activity!$D71*Activity!M71</f>
        <v>0</v>
      </c>
      <c r="L72" s="552">
        <f>Activity!$C71*Activity!$D71*Activity!N71</f>
        <v>0</v>
      </c>
      <c r="M72" s="550">
        <f>Activity!$C71*Activity!$D71*Activity!O71</f>
        <v>0</v>
      </c>
      <c r="N72" s="413">
        <v>0</v>
      </c>
      <c r="O72" s="552">
        <f>Activity!C71*Activity!D71</f>
        <v>0</v>
      </c>
      <c r="P72" s="559">
        <f>Activity!X71</f>
        <v>0</v>
      </c>
    </row>
    <row r="73" spans="2:16">
      <c r="B73" s="7">
        <f t="shared" si="1"/>
        <v>2059</v>
      </c>
      <c r="C73" s="551">
        <f>Activity!$C72*Activity!$D72*Activity!E72</f>
        <v>0</v>
      </c>
      <c r="D73" s="552">
        <f>Activity!$C72*Activity!$D72*Activity!F72</f>
        <v>0</v>
      </c>
      <c r="E73" s="550">
        <f>Activity!$C72*Activity!$D72*Activity!G72</f>
        <v>0</v>
      </c>
      <c r="F73" s="552">
        <f>Activity!$C72*Activity!$D72*Activity!H72</f>
        <v>0</v>
      </c>
      <c r="G73" s="552">
        <f>Activity!$C72*Activity!$D72*Activity!I72</f>
        <v>0</v>
      </c>
      <c r="H73" s="552">
        <f>Activity!$C72*Activity!$D72*Activity!J72</f>
        <v>0</v>
      </c>
      <c r="I73" s="552">
        <f>Activity!$C72*Activity!$D72*Activity!K72</f>
        <v>0</v>
      </c>
      <c r="J73" s="553">
        <f>Activity!$C72*Activity!$D72*Activity!L72</f>
        <v>0</v>
      </c>
      <c r="K73" s="552">
        <f>Activity!$C72*Activity!$D72*Activity!M72</f>
        <v>0</v>
      </c>
      <c r="L73" s="552">
        <f>Activity!$C72*Activity!$D72*Activity!N72</f>
        <v>0</v>
      </c>
      <c r="M73" s="550">
        <f>Activity!$C72*Activity!$D72*Activity!O72</f>
        <v>0</v>
      </c>
      <c r="N73" s="413">
        <v>0</v>
      </c>
      <c r="O73" s="552">
        <f>Activity!C72*Activity!D72</f>
        <v>0</v>
      </c>
      <c r="P73" s="559">
        <f>Activity!X72</f>
        <v>0</v>
      </c>
    </row>
    <row r="74" spans="2:16">
      <c r="B74" s="7">
        <f t="shared" si="1"/>
        <v>2060</v>
      </c>
      <c r="C74" s="551">
        <f>Activity!$C73*Activity!$D73*Activity!E73</f>
        <v>0</v>
      </c>
      <c r="D74" s="552">
        <f>Activity!$C73*Activity!$D73*Activity!F73</f>
        <v>0</v>
      </c>
      <c r="E74" s="550">
        <f>Activity!$C73*Activity!$D73*Activity!G73</f>
        <v>0</v>
      </c>
      <c r="F74" s="552">
        <f>Activity!$C73*Activity!$D73*Activity!H73</f>
        <v>0</v>
      </c>
      <c r="G74" s="552">
        <f>Activity!$C73*Activity!$D73*Activity!I73</f>
        <v>0</v>
      </c>
      <c r="H74" s="552">
        <f>Activity!$C73*Activity!$D73*Activity!J73</f>
        <v>0</v>
      </c>
      <c r="I74" s="552">
        <f>Activity!$C73*Activity!$D73*Activity!K73</f>
        <v>0</v>
      </c>
      <c r="J74" s="553">
        <f>Activity!$C73*Activity!$D73*Activity!L73</f>
        <v>0</v>
      </c>
      <c r="K74" s="552">
        <f>Activity!$C73*Activity!$D73*Activity!M73</f>
        <v>0</v>
      </c>
      <c r="L74" s="552">
        <f>Activity!$C73*Activity!$D73*Activity!N73</f>
        <v>0</v>
      </c>
      <c r="M74" s="550">
        <f>Activity!$C73*Activity!$D73*Activity!O73</f>
        <v>0</v>
      </c>
      <c r="N74" s="413">
        <v>0</v>
      </c>
      <c r="O74" s="552">
        <f>Activity!C73*Activity!D73</f>
        <v>0</v>
      </c>
      <c r="P74" s="559">
        <f>Activity!X73</f>
        <v>0</v>
      </c>
    </row>
    <row r="75" spans="2:16">
      <c r="B75" s="7">
        <f t="shared" si="1"/>
        <v>2061</v>
      </c>
      <c r="C75" s="551">
        <f>Activity!$C74*Activity!$D74*Activity!E74</f>
        <v>0</v>
      </c>
      <c r="D75" s="552">
        <f>Activity!$C74*Activity!$D74*Activity!F74</f>
        <v>0</v>
      </c>
      <c r="E75" s="550">
        <f>Activity!$C74*Activity!$D74*Activity!G74</f>
        <v>0</v>
      </c>
      <c r="F75" s="552">
        <f>Activity!$C74*Activity!$D74*Activity!H74</f>
        <v>0</v>
      </c>
      <c r="G75" s="552">
        <f>Activity!$C74*Activity!$D74*Activity!I74</f>
        <v>0</v>
      </c>
      <c r="H75" s="552">
        <f>Activity!$C74*Activity!$D74*Activity!J74</f>
        <v>0</v>
      </c>
      <c r="I75" s="552">
        <f>Activity!$C74*Activity!$D74*Activity!K74</f>
        <v>0</v>
      </c>
      <c r="J75" s="553">
        <f>Activity!$C74*Activity!$D74*Activity!L74</f>
        <v>0</v>
      </c>
      <c r="K75" s="552">
        <f>Activity!$C74*Activity!$D74*Activity!M74</f>
        <v>0</v>
      </c>
      <c r="L75" s="552">
        <f>Activity!$C74*Activity!$D74*Activity!N74</f>
        <v>0</v>
      </c>
      <c r="M75" s="550">
        <f>Activity!$C74*Activity!$D74*Activity!O74</f>
        <v>0</v>
      </c>
      <c r="N75" s="413">
        <v>0</v>
      </c>
      <c r="O75" s="552">
        <f>Activity!C74*Activity!D74</f>
        <v>0</v>
      </c>
      <c r="P75" s="559">
        <f>Activity!X74</f>
        <v>0</v>
      </c>
    </row>
    <row r="76" spans="2:16">
      <c r="B76" s="7">
        <f t="shared" si="1"/>
        <v>2062</v>
      </c>
      <c r="C76" s="551">
        <f>Activity!$C75*Activity!$D75*Activity!E75</f>
        <v>0</v>
      </c>
      <c r="D76" s="552">
        <f>Activity!$C75*Activity!$D75*Activity!F75</f>
        <v>0</v>
      </c>
      <c r="E76" s="550">
        <f>Activity!$C75*Activity!$D75*Activity!G75</f>
        <v>0</v>
      </c>
      <c r="F76" s="552">
        <f>Activity!$C75*Activity!$D75*Activity!H75</f>
        <v>0</v>
      </c>
      <c r="G76" s="552">
        <f>Activity!$C75*Activity!$D75*Activity!I75</f>
        <v>0</v>
      </c>
      <c r="H76" s="552">
        <f>Activity!$C75*Activity!$D75*Activity!J75</f>
        <v>0</v>
      </c>
      <c r="I76" s="552">
        <f>Activity!$C75*Activity!$D75*Activity!K75</f>
        <v>0</v>
      </c>
      <c r="J76" s="553">
        <f>Activity!$C75*Activity!$D75*Activity!L75</f>
        <v>0</v>
      </c>
      <c r="K76" s="552">
        <f>Activity!$C75*Activity!$D75*Activity!M75</f>
        <v>0</v>
      </c>
      <c r="L76" s="552">
        <f>Activity!$C75*Activity!$D75*Activity!N75</f>
        <v>0</v>
      </c>
      <c r="M76" s="550">
        <f>Activity!$C75*Activity!$D75*Activity!O75</f>
        <v>0</v>
      </c>
      <c r="N76" s="413">
        <v>0</v>
      </c>
      <c r="O76" s="552">
        <f>Activity!C75*Activity!D75</f>
        <v>0</v>
      </c>
      <c r="P76" s="559">
        <f>Activity!X75</f>
        <v>0</v>
      </c>
    </row>
    <row r="77" spans="2:16">
      <c r="B77" s="7">
        <f t="shared" si="1"/>
        <v>2063</v>
      </c>
      <c r="C77" s="551">
        <f>Activity!$C76*Activity!$D76*Activity!E76</f>
        <v>0</v>
      </c>
      <c r="D77" s="552">
        <f>Activity!$C76*Activity!$D76*Activity!F76</f>
        <v>0</v>
      </c>
      <c r="E77" s="550">
        <f>Activity!$C76*Activity!$D76*Activity!G76</f>
        <v>0</v>
      </c>
      <c r="F77" s="552">
        <f>Activity!$C76*Activity!$D76*Activity!H76</f>
        <v>0</v>
      </c>
      <c r="G77" s="552">
        <f>Activity!$C76*Activity!$D76*Activity!I76</f>
        <v>0</v>
      </c>
      <c r="H77" s="552">
        <f>Activity!$C76*Activity!$D76*Activity!J76</f>
        <v>0</v>
      </c>
      <c r="I77" s="552">
        <f>Activity!$C76*Activity!$D76*Activity!K76</f>
        <v>0</v>
      </c>
      <c r="J77" s="553">
        <f>Activity!$C76*Activity!$D76*Activity!L76</f>
        <v>0</v>
      </c>
      <c r="K77" s="552">
        <f>Activity!$C76*Activity!$D76*Activity!M76</f>
        <v>0</v>
      </c>
      <c r="L77" s="552">
        <f>Activity!$C76*Activity!$D76*Activity!N76</f>
        <v>0</v>
      </c>
      <c r="M77" s="550">
        <f>Activity!$C76*Activity!$D76*Activity!O76</f>
        <v>0</v>
      </c>
      <c r="N77" s="413">
        <v>0</v>
      </c>
      <c r="O77" s="552">
        <f>Activity!C76*Activity!D76</f>
        <v>0</v>
      </c>
      <c r="P77" s="559">
        <f>Activity!X76</f>
        <v>0</v>
      </c>
    </row>
    <row r="78" spans="2:16">
      <c r="B78" s="7">
        <f t="shared" si="1"/>
        <v>2064</v>
      </c>
      <c r="C78" s="551">
        <f>Activity!$C77*Activity!$D77*Activity!E77</f>
        <v>0</v>
      </c>
      <c r="D78" s="552">
        <f>Activity!$C77*Activity!$D77*Activity!F77</f>
        <v>0</v>
      </c>
      <c r="E78" s="550">
        <f>Activity!$C77*Activity!$D77*Activity!G77</f>
        <v>0</v>
      </c>
      <c r="F78" s="552">
        <f>Activity!$C77*Activity!$D77*Activity!H77</f>
        <v>0</v>
      </c>
      <c r="G78" s="552">
        <f>Activity!$C77*Activity!$D77*Activity!I77</f>
        <v>0</v>
      </c>
      <c r="H78" s="552">
        <f>Activity!$C77*Activity!$D77*Activity!J77</f>
        <v>0</v>
      </c>
      <c r="I78" s="552">
        <f>Activity!$C77*Activity!$D77*Activity!K77</f>
        <v>0</v>
      </c>
      <c r="J78" s="553">
        <f>Activity!$C77*Activity!$D77*Activity!L77</f>
        <v>0</v>
      </c>
      <c r="K78" s="552">
        <f>Activity!$C77*Activity!$D77*Activity!M77</f>
        <v>0</v>
      </c>
      <c r="L78" s="552">
        <f>Activity!$C77*Activity!$D77*Activity!N77</f>
        <v>0</v>
      </c>
      <c r="M78" s="550">
        <f>Activity!$C77*Activity!$D77*Activity!O77</f>
        <v>0</v>
      </c>
      <c r="N78" s="413">
        <v>0</v>
      </c>
      <c r="O78" s="552">
        <f>Activity!C77*Activity!D77</f>
        <v>0</v>
      </c>
      <c r="P78" s="559">
        <f>Activity!X77</f>
        <v>0</v>
      </c>
    </row>
    <row r="79" spans="2:16">
      <c r="B79" s="7">
        <f t="shared" si="1"/>
        <v>2065</v>
      </c>
      <c r="C79" s="551">
        <f>Activity!$C78*Activity!$D78*Activity!E78</f>
        <v>0</v>
      </c>
      <c r="D79" s="552">
        <f>Activity!$C78*Activity!$D78*Activity!F78</f>
        <v>0</v>
      </c>
      <c r="E79" s="550">
        <f>Activity!$C78*Activity!$D78*Activity!G78</f>
        <v>0</v>
      </c>
      <c r="F79" s="552">
        <f>Activity!$C78*Activity!$D78*Activity!H78</f>
        <v>0</v>
      </c>
      <c r="G79" s="552">
        <f>Activity!$C78*Activity!$D78*Activity!I78</f>
        <v>0</v>
      </c>
      <c r="H79" s="552">
        <f>Activity!$C78*Activity!$D78*Activity!J78</f>
        <v>0</v>
      </c>
      <c r="I79" s="552">
        <f>Activity!$C78*Activity!$D78*Activity!K78</f>
        <v>0</v>
      </c>
      <c r="J79" s="553">
        <f>Activity!$C78*Activity!$D78*Activity!L78</f>
        <v>0</v>
      </c>
      <c r="K79" s="552">
        <f>Activity!$C78*Activity!$D78*Activity!M78</f>
        <v>0</v>
      </c>
      <c r="L79" s="552">
        <f>Activity!$C78*Activity!$D78*Activity!N78</f>
        <v>0</v>
      </c>
      <c r="M79" s="550">
        <f>Activity!$C78*Activity!$D78*Activity!O78</f>
        <v>0</v>
      </c>
      <c r="N79" s="413">
        <v>0</v>
      </c>
      <c r="O79" s="552">
        <f>Activity!C78*Activity!D78</f>
        <v>0</v>
      </c>
      <c r="P79" s="559">
        <f>Activity!X78</f>
        <v>0</v>
      </c>
    </row>
    <row r="80" spans="2:16">
      <c r="B80" s="7">
        <f t="shared" si="1"/>
        <v>2066</v>
      </c>
      <c r="C80" s="551">
        <f>Activity!$C79*Activity!$D79*Activity!E79</f>
        <v>0</v>
      </c>
      <c r="D80" s="552">
        <f>Activity!$C79*Activity!$D79*Activity!F79</f>
        <v>0</v>
      </c>
      <c r="E80" s="550">
        <f>Activity!$C79*Activity!$D79*Activity!G79</f>
        <v>0</v>
      </c>
      <c r="F80" s="552">
        <f>Activity!$C79*Activity!$D79*Activity!H79</f>
        <v>0</v>
      </c>
      <c r="G80" s="552">
        <f>Activity!$C79*Activity!$D79*Activity!I79</f>
        <v>0</v>
      </c>
      <c r="H80" s="552">
        <f>Activity!$C79*Activity!$D79*Activity!J79</f>
        <v>0</v>
      </c>
      <c r="I80" s="552">
        <f>Activity!$C79*Activity!$D79*Activity!K79</f>
        <v>0</v>
      </c>
      <c r="J80" s="553">
        <f>Activity!$C79*Activity!$D79*Activity!L79</f>
        <v>0</v>
      </c>
      <c r="K80" s="552">
        <f>Activity!$C79*Activity!$D79*Activity!M79</f>
        <v>0</v>
      </c>
      <c r="L80" s="552">
        <f>Activity!$C79*Activity!$D79*Activity!N79</f>
        <v>0</v>
      </c>
      <c r="M80" s="550">
        <f>Activity!$C79*Activity!$D79*Activity!O79</f>
        <v>0</v>
      </c>
      <c r="N80" s="413">
        <v>0</v>
      </c>
      <c r="O80" s="552">
        <f>Activity!C79*Activity!D79</f>
        <v>0</v>
      </c>
      <c r="P80" s="559">
        <f>Activity!X79</f>
        <v>0</v>
      </c>
    </row>
    <row r="81" spans="2:16">
      <c r="B81" s="7">
        <f t="shared" si="1"/>
        <v>2067</v>
      </c>
      <c r="C81" s="551">
        <f>Activity!$C80*Activity!$D80*Activity!E80</f>
        <v>0</v>
      </c>
      <c r="D81" s="552">
        <f>Activity!$C80*Activity!$D80*Activity!F80</f>
        <v>0</v>
      </c>
      <c r="E81" s="550">
        <f>Activity!$C80*Activity!$D80*Activity!G80</f>
        <v>0</v>
      </c>
      <c r="F81" s="552">
        <f>Activity!$C80*Activity!$D80*Activity!H80</f>
        <v>0</v>
      </c>
      <c r="G81" s="552">
        <f>Activity!$C80*Activity!$D80*Activity!I80</f>
        <v>0</v>
      </c>
      <c r="H81" s="552">
        <f>Activity!$C80*Activity!$D80*Activity!J80</f>
        <v>0</v>
      </c>
      <c r="I81" s="552">
        <f>Activity!$C80*Activity!$D80*Activity!K80</f>
        <v>0</v>
      </c>
      <c r="J81" s="553">
        <f>Activity!$C80*Activity!$D80*Activity!L80</f>
        <v>0</v>
      </c>
      <c r="K81" s="552">
        <f>Activity!$C80*Activity!$D80*Activity!M80</f>
        <v>0</v>
      </c>
      <c r="L81" s="552">
        <f>Activity!$C80*Activity!$D80*Activity!N80</f>
        <v>0</v>
      </c>
      <c r="M81" s="550">
        <f>Activity!$C80*Activity!$D80*Activity!O80</f>
        <v>0</v>
      </c>
      <c r="N81" s="413">
        <v>0</v>
      </c>
      <c r="O81" s="552">
        <f>Activity!C80*Activity!D80</f>
        <v>0</v>
      </c>
      <c r="P81" s="559">
        <f>Activity!X80</f>
        <v>0</v>
      </c>
    </row>
    <row r="82" spans="2:16">
      <c r="B82" s="7">
        <f t="shared" si="1"/>
        <v>2068</v>
      </c>
      <c r="C82" s="551">
        <f>Activity!$C81*Activity!$D81*Activity!E81</f>
        <v>0</v>
      </c>
      <c r="D82" s="552">
        <f>Activity!$C81*Activity!$D81*Activity!F81</f>
        <v>0</v>
      </c>
      <c r="E82" s="550">
        <f>Activity!$C81*Activity!$D81*Activity!G81</f>
        <v>0</v>
      </c>
      <c r="F82" s="552">
        <f>Activity!$C81*Activity!$D81*Activity!H81</f>
        <v>0</v>
      </c>
      <c r="G82" s="552">
        <f>Activity!$C81*Activity!$D81*Activity!I81</f>
        <v>0</v>
      </c>
      <c r="H82" s="552">
        <f>Activity!$C81*Activity!$D81*Activity!J81</f>
        <v>0</v>
      </c>
      <c r="I82" s="552">
        <f>Activity!$C81*Activity!$D81*Activity!K81</f>
        <v>0</v>
      </c>
      <c r="J82" s="553">
        <f>Activity!$C81*Activity!$D81*Activity!L81</f>
        <v>0</v>
      </c>
      <c r="K82" s="552">
        <f>Activity!$C81*Activity!$D81*Activity!M81</f>
        <v>0</v>
      </c>
      <c r="L82" s="552">
        <f>Activity!$C81*Activity!$D81*Activity!N81</f>
        <v>0</v>
      </c>
      <c r="M82" s="550">
        <f>Activity!$C81*Activity!$D81*Activity!O81</f>
        <v>0</v>
      </c>
      <c r="N82" s="413">
        <v>0</v>
      </c>
      <c r="O82" s="552">
        <f>Activity!C81*Activity!D81</f>
        <v>0</v>
      </c>
      <c r="P82" s="559">
        <f>Activity!X81</f>
        <v>0</v>
      </c>
    </row>
    <row r="83" spans="2:16">
      <c r="B83" s="7">
        <f t="shared" si="1"/>
        <v>2069</v>
      </c>
      <c r="C83" s="551">
        <f>Activity!$C82*Activity!$D82*Activity!E82</f>
        <v>0</v>
      </c>
      <c r="D83" s="552">
        <f>Activity!$C82*Activity!$D82*Activity!F82</f>
        <v>0</v>
      </c>
      <c r="E83" s="550">
        <f>Activity!$C82*Activity!$D82*Activity!G82</f>
        <v>0</v>
      </c>
      <c r="F83" s="552">
        <f>Activity!$C82*Activity!$D82*Activity!H82</f>
        <v>0</v>
      </c>
      <c r="G83" s="552">
        <f>Activity!$C82*Activity!$D82*Activity!I82</f>
        <v>0</v>
      </c>
      <c r="H83" s="552">
        <f>Activity!$C82*Activity!$D82*Activity!J82</f>
        <v>0</v>
      </c>
      <c r="I83" s="552">
        <f>Activity!$C82*Activity!$D82*Activity!K82</f>
        <v>0</v>
      </c>
      <c r="J83" s="553">
        <f>Activity!$C82*Activity!$D82*Activity!L82</f>
        <v>0</v>
      </c>
      <c r="K83" s="552">
        <f>Activity!$C82*Activity!$D82*Activity!M82</f>
        <v>0</v>
      </c>
      <c r="L83" s="552">
        <f>Activity!$C82*Activity!$D82*Activity!N82</f>
        <v>0</v>
      </c>
      <c r="M83" s="550">
        <f>Activity!$C82*Activity!$D82*Activity!O82</f>
        <v>0</v>
      </c>
      <c r="N83" s="413">
        <v>0</v>
      </c>
      <c r="O83" s="552">
        <f>Activity!C82*Activity!D82</f>
        <v>0</v>
      </c>
      <c r="P83" s="559">
        <f>Activity!X82</f>
        <v>0</v>
      </c>
    </row>
    <row r="84" spans="2:16">
      <c r="B84" s="7">
        <f t="shared" si="1"/>
        <v>2070</v>
      </c>
      <c r="C84" s="551">
        <f>Activity!$C83*Activity!$D83*Activity!E83</f>
        <v>0</v>
      </c>
      <c r="D84" s="552">
        <f>Activity!$C83*Activity!$D83*Activity!F83</f>
        <v>0</v>
      </c>
      <c r="E84" s="550">
        <f>Activity!$C83*Activity!$D83*Activity!G83</f>
        <v>0</v>
      </c>
      <c r="F84" s="552">
        <f>Activity!$C83*Activity!$D83*Activity!H83</f>
        <v>0</v>
      </c>
      <c r="G84" s="552">
        <f>Activity!$C83*Activity!$D83*Activity!I83</f>
        <v>0</v>
      </c>
      <c r="H84" s="552">
        <f>Activity!$C83*Activity!$D83*Activity!J83</f>
        <v>0</v>
      </c>
      <c r="I84" s="552">
        <f>Activity!$C83*Activity!$D83*Activity!K83</f>
        <v>0</v>
      </c>
      <c r="J84" s="553">
        <f>Activity!$C83*Activity!$D83*Activity!L83</f>
        <v>0</v>
      </c>
      <c r="K84" s="552">
        <f>Activity!$C83*Activity!$D83*Activity!M83</f>
        <v>0</v>
      </c>
      <c r="L84" s="552">
        <f>Activity!$C83*Activity!$D83*Activity!N83</f>
        <v>0</v>
      </c>
      <c r="M84" s="550">
        <f>Activity!$C83*Activity!$D83*Activity!O83</f>
        <v>0</v>
      </c>
      <c r="N84" s="413">
        <v>0</v>
      </c>
      <c r="O84" s="552">
        <f>Activity!C83*Activity!D83</f>
        <v>0</v>
      </c>
      <c r="P84" s="559">
        <f>Activity!X83</f>
        <v>0</v>
      </c>
    </row>
    <row r="85" spans="2:16">
      <c r="B85" s="7">
        <f t="shared" si="1"/>
        <v>2071</v>
      </c>
      <c r="C85" s="551">
        <f>Activity!$C84*Activity!$D84*Activity!E84</f>
        <v>0</v>
      </c>
      <c r="D85" s="552">
        <f>Activity!$C84*Activity!$D84*Activity!F84</f>
        <v>0</v>
      </c>
      <c r="E85" s="550">
        <f>Activity!$C84*Activity!$D84*Activity!G84</f>
        <v>0</v>
      </c>
      <c r="F85" s="552">
        <f>Activity!$C84*Activity!$D84*Activity!H84</f>
        <v>0</v>
      </c>
      <c r="G85" s="552">
        <f>Activity!$C84*Activity!$D84*Activity!I84</f>
        <v>0</v>
      </c>
      <c r="H85" s="552">
        <f>Activity!$C84*Activity!$D84*Activity!J84</f>
        <v>0</v>
      </c>
      <c r="I85" s="552">
        <f>Activity!$C84*Activity!$D84*Activity!K84</f>
        <v>0</v>
      </c>
      <c r="J85" s="553">
        <f>Activity!$C84*Activity!$D84*Activity!L84</f>
        <v>0</v>
      </c>
      <c r="K85" s="552">
        <f>Activity!$C84*Activity!$D84*Activity!M84</f>
        <v>0</v>
      </c>
      <c r="L85" s="552">
        <f>Activity!$C84*Activity!$D84*Activity!N84</f>
        <v>0</v>
      </c>
      <c r="M85" s="550">
        <f>Activity!$C84*Activity!$D84*Activity!O84</f>
        <v>0</v>
      </c>
      <c r="N85" s="413">
        <v>0</v>
      </c>
      <c r="O85" s="552">
        <f>Activity!C84*Activity!D84</f>
        <v>0</v>
      </c>
      <c r="P85" s="559">
        <f>Activity!X84</f>
        <v>0</v>
      </c>
    </row>
    <row r="86" spans="2:16">
      <c r="B86" s="7">
        <f t="shared" ref="B86:B94" si="2">B85+1</f>
        <v>2072</v>
      </c>
      <c r="C86" s="551">
        <f>Activity!$C85*Activity!$D85*Activity!E85</f>
        <v>0</v>
      </c>
      <c r="D86" s="552">
        <f>Activity!$C85*Activity!$D85*Activity!F85</f>
        <v>0</v>
      </c>
      <c r="E86" s="550">
        <f>Activity!$C85*Activity!$D85*Activity!G85</f>
        <v>0</v>
      </c>
      <c r="F86" s="552">
        <f>Activity!$C85*Activity!$D85*Activity!H85</f>
        <v>0</v>
      </c>
      <c r="G86" s="552">
        <f>Activity!$C85*Activity!$D85*Activity!I85</f>
        <v>0</v>
      </c>
      <c r="H86" s="552">
        <f>Activity!$C85*Activity!$D85*Activity!J85</f>
        <v>0</v>
      </c>
      <c r="I86" s="552">
        <f>Activity!$C85*Activity!$D85*Activity!K85</f>
        <v>0</v>
      </c>
      <c r="J86" s="553">
        <f>Activity!$C85*Activity!$D85*Activity!L85</f>
        <v>0</v>
      </c>
      <c r="K86" s="552">
        <f>Activity!$C85*Activity!$D85*Activity!M85</f>
        <v>0</v>
      </c>
      <c r="L86" s="552">
        <f>Activity!$C85*Activity!$D85*Activity!N85</f>
        <v>0</v>
      </c>
      <c r="M86" s="550">
        <f>Activity!$C85*Activity!$D85*Activity!O85</f>
        <v>0</v>
      </c>
      <c r="N86" s="413">
        <v>0</v>
      </c>
      <c r="O86" s="552">
        <f>Activity!C85*Activity!D85</f>
        <v>0</v>
      </c>
      <c r="P86" s="559">
        <f>Activity!X85</f>
        <v>0</v>
      </c>
    </row>
    <row r="87" spans="2:16">
      <c r="B87" s="7">
        <f t="shared" si="2"/>
        <v>2073</v>
      </c>
      <c r="C87" s="551">
        <f>Activity!$C86*Activity!$D86*Activity!E86</f>
        <v>0</v>
      </c>
      <c r="D87" s="552">
        <f>Activity!$C86*Activity!$D86*Activity!F86</f>
        <v>0</v>
      </c>
      <c r="E87" s="550">
        <f>Activity!$C86*Activity!$D86*Activity!G86</f>
        <v>0</v>
      </c>
      <c r="F87" s="552">
        <f>Activity!$C86*Activity!$D86*Activity!H86</f>
        <v>0</v>
      </c>
      <c r="G87" s="552">
        <f>Activity!$C86*Activity!$D86*Activity!I86</f>
        <v>0</v>
      </c>
      <c r="H87" s="552">
        <f>Activity!$C86*Activity!$D86*Activity!J86</f>
        <v>0</v>
      </c>
      <c r="I87" s="552">
        <f>Activity!$C86*Activity!$D86*Activity!K86</f>
        <v>0</v>
      </c>
      <c r="J87" s="553">
        <f>Activity!$C86*Activity!$D86*Activity!L86</f>
        <v>0</v>
      </c>
      <c r="K87" s="552">
        <f>Activity!$C86*Activity!$D86*Activity!M86</f>
        <v>0</v>
      </c>
      <c r="L87" s="552">
        <f>Activity!$C86*Activity!$D86*Activity!N86</f>
        <v>0</v>
      </c>
      <c r="M87" s="550">
        <f>Activity!$C86*Activity!$D86*Activity!O86</f>
        <v>0</v>
      </c>
      <c r="N87" s="413">
        <v>0</v>
      </c>
      <c r="O87" s="552">
        <f>Activity!C86*Activity!D86</f>
        <v>0</v>
      </c>
      <c r="P87" s="559">
        <f>Activity!X86</f>
        <v>0</v>
      </c>
    </row>
    <row r="88" spans="2:16">
      <c r="B88" s="7">
        <f t="shared" si="2"/>
        <v>2074</v>
      </c>
      <c r="C88" s="551">
        <f>Activity!$C87*Activity!$D87*Activity!E87</f>
        <v>0</v>
      </c>
      <c r="D88" s="552">
        <f>Activity!$C87*Activity!$D87*Activity!F87</f>
        <v>0</v>
      </c>
      <c r="E88" s="550">
        <f>Activity!$C87*Activity!$D87*Activity!G87</f>
        <v>0</v>
      </c>
      <c r="F88" s="552">
        <f>Activity!$C87*Activity!$D87*Activity!H87</f>
        <v>0</v>
      </c>
      <c r="G88" s="552">
        <f>Activity!$C87*Activity!$D87*Activity!I87</f>
        <v>0</v>
      </c>
      <c r="H88" s="552">
        <f>Activity!$C87*Activity!$D87*Activity!J87</f>
        <v>0</v>
      </c>
      <c r="I88" s="552">
        <f>Activity!$C87*Activity!$D87*Activity!K87</f>
        <v>0</v>
      </c>
      <c r="J88" s="553">
        <f>Activity!$C87*Activity!$D87*Activity!L87</f>
        <v>0</v>
      </c>
      <c r="K88" s="552">
        <f>Activity!$C87*Activity!$D87*Activity!M87</f>
        <v>0</v>
      </c>
      <c r="L88" s="552">
        <f>Activity!$C87*Activity!$D87*Activity!N87</f>
        <v>0</v>
      </c>
      <c r="M88" s="550">
        <f>Activity!$C87*Activity!$D87*Activity!O87</f>
        <v>0</v>
      </c>
      <c r="N88" s="413">
        <v>0</v>
      </c>
      <c r="O88" s="552">
        <f>Activity!C87*Activity!D87</f>
        <v>0</v>
      </c>
      <c r="P88" s="559">
        <f>Activity!X87</f>
        <v>0</v>
      </c>
    </row>
    <row r="89" spans="2:16">
      <c r="B89" s="7">
        <f t="shared" si="2"/>
        <v>2075</v>
      </c>
      <c r="C89" s="551">
        <f>Activity!$C88*Activity!$D88*Activity!E88</f>
        <v>0</v>
      </c>
      <c r="D89" s="552">
        <f>Activity!$C88*Activity!$D88*Activity!F88</f>
        <v>0</v>
      </c>
      <c r="E89" s="550">
        <f>Activity!$C88*Activity!$D88*Activity!G88</f>
        <v>0</v>
      </c>
      <c r="F89" s="552">
        <f>Activity!$C88*Activity!$D88*Activity!H88</f>
        <v>0</v>
      </c>
      <c r="G89" s="552">
        <f>Activity!$C88*Activity!$D88*Activity!I88</f>
        <v>0</v>
      </c>
      <c r="H89" s="552">
        <f>Activity!$C88*Activity!$D88*Activity!J88</f>
        <v>0</v>
      </c>
      <c r="I89" s="552">
        <f>Activity!$C88*Activity!$D88*Activity!K88</f>
        <v>0</v>
      </c>
      <c r="J89" s="553">
        <f>Activity!$C88*Activity!$D88*Activity!L88</f>
        <v>0</v>
      </c>
      <c r="K89" s="552">
        <f>Activity!$C88*Activity!$D88*Activity!M88</f>
        <v>0</v>
      </c>
      <c r="L89" s="552">
        <f>Activity!$C88*Activity!$D88*Activity!N88</f>
        <v>0</v>
      </c>
      <c r="M89" s="550">
        <f>Activity!$C88*Activity!$D88*Activity!O88</f>
        <v>0</v>
      </c>
      <c r="N89" s="413">
        <v>0</v>
      </c>
      <c r="O89" s="552">
        <f>Activity!C88*Activity!D88</f>
        <v>0</v>
      </c>
      <c r="P89" s="559">
        <f>Activity!X88</f>
        <v>0</v>
      </c>
    </row>
    <row r="90" spans="2:16">
      <c r="B90" s="7">
        <f t="shared" si="2"/>
        <v>2076</v>
      </c>
      <c r="C90" s="551">
        <f>Activity!$C89*Activity!$D89*Activity!E89</f>
        <v>0</v>
      </c>
      <c r="D90" s="552">
        <f>Activity!$C89*Activity!$D89*Activity!F89</f>
        <v>0</v>
      </c>
      <c r="E90" s="550">
        <f>Activity!$C89*Activity!$D89*Activity!G89</f>
        <v>0</v>
      </c>
      <c r="F90" s="552">
        <f>Activity!$C89*Activity!$D89*Activity!H89</f>
        <v>0</v>
      </c>
      <c r="G90" s="552">
        <f>Activity!$C89*Activity!$D89*Activity!I89</f>
        <v>0</v>
      </c>
      <c r="H90" s="552">
        <f>Activity!$C89*Activity!$D89*Activity!J89</f>
        <v>0</v>
      </c>
      <c r="I90" s="552">
        <f>Activity!$C89*Activity!$D89*Activity!K89</f>
        <v>0</v>
      </c>
      <c r="J90" s="553">
        <f>Activity!$C89*Activity!$D89*Activity!L89</f>
        <v>0</v>
      </c>
      <c r="K90" s="552">
        <f>Activity!$C89*Activity!$D89*Activity!M89</f>
        <v>0</v>
      </c>
      <c r="L90" s="552">
        <f>Activity!$C89*Activity!$D89*Activity!N89</f>
        <v>0</v>
      </c>
      <c r="M90" s="550">
        <f>Activity!$C89*Activity!$D89*Activity!O89</f>
        <v>0</v>
      </c>
      <c r="N90" s="413">
        <v>0</v>
      </c>
      <c r="O90" s="552">
        <f>Activity!C89*Activity!D89</f>
        <v>0</v>
      </c>
      <c r="P90" s="559">
        <f>Activity!X89</f>
        <v>0</v>
      </c>
    </row>
    <row r="91" spans="2:16">
      <c r="B91" s="7">
        <f t="shared" si="2"/>
        <v>2077</v>
      </c>
      <c r="C91" s="551">
        <f>Activity!$C90*Activity!$D90*Activity!E90</f>
        <v>0</v>
      </c>
      <c r="D91" s="552">
        <f>Activity!$C90*Activity!$D90*Activity!F90</f>
        <v>0</v>
      </c>
      <c r="E91" s="550">
        <f>Activity!$C90*Activity!$D90*Activity!G90</f>
        <v>0</v>
      </c>
      <c r="F91" s="552">
        <f>Activity!$C90*Activity!$D90*Activity!H90</f>
        <v>0</v>
      </c>
      <c r="G91" s="552">
        <f>Activity!$C90*Activity!$D90*Activity!I90</f>
        <v>0</v>
      </c>
      <c r="H91" s="552">
        <f>Activity!$C90*Activity!$D90*Activity!J90</f>
        <v>0</v>
      </c>
      <c r="I91" s="552">
        <f>Activity!$C90*Activity!$D90*Activity!K90</f>
        <v>0</v>
      </c>
      <c r="J91" s="553">
        <f>Activity!$C90*Activity!$D90*Activity!L90</f>
        <v>0</v>
      </c>
      <c r="K91" s="552">
        <f>Activity!$C90*Activity!$D90*Activity!M90</f>
        <v>0</v>
      </c>
      <c r="L91" s="552">
        <f>Activity!$C90*Activity!$D90*Activity!N90</f>
        <v>0</v>
      </c>
      <c r="M91" s="550">
        <f>Activity!$C90*Activity!$D90*Activity!O90</f>
        <v>0</v>
      </c>
      <c r="N91" s="413">
        <v>0</v>
      </c>
      <c r="O91" s="552">
        <f>Activity!C90*Activity!D90</f>
        <v>0</v>
      </c>
      <c r="P91" s="559">
        <f>Activity!X90</f>
        <v>0</v>
      </c>
    </row>
    <row r="92" spans="2:16">
      <c r="B92" s="7">
        <f t="shared" si="2"/>
        <v>2078</v>
      </c>
      <c r="C92" s="551">
        <f>Activity!$C91*Activity!$D91*Activity!E91</f>
        <v>0</v>
      </c>
      <c r="D92" s="552">
        <f>Activity!$C91*Activity!$D91*Activity!F91</f>
        <v>0</v>
      </c>
      <c r="E92" s="550">
        <f>Activity!$C91*Activity!$D91*Activity!G91</f>
        <v>0</v>
      </c>
      <c r="F92" s="552">
        <f>Activity!$C91*Activity!$D91*Activity!H91</f>
        <v>0</v>
      </c>
      <c r="G92" s="552">
        <f>Activity!$C91*Activity!$D91*Activity!I91</f>
        <v>0</v>
      </c>
      <c r="H92" s="552">
        <f>Activity!$C91*Activity!$D91*Activity!J91</f>
        <v>0</v>
      </c>
      <c r="I92" s="552">
        <f>Activity!$C91*Activity!$D91*Activity!K91</f>
        <v>0</v>
      </c>
      <c r="J92" s="553">
        <f>Activity!$C91*Activity!$D91*Activity!L91</f>
        <v>0</v>
      </c>
      <c r="K92" s="552">
        <f>Activity!$C91*Activity!$D91*Activity!M91</f>
        <v>0</v>
      </c>
      <c r="L92" s="552">
        <f>Activity!$C91*Activity!$D91*Activity!N91</f>
        <v>0</v>
      </c>
      <c r="M92" s="550">
        <f>Activity!$C91*Activity!$D91*Activity!O91</f>
        <v>0</v>
      </c>
      <c r="N92" s="413">
        <v>0</v>
      </c>
      <c r="O92" s="552">
        <f>Activity!C91*Activity!D91</f>
        <v>0</v>
      </c>
      <c r="P92" s="559">
        <f>Activity!X91</f>
        <v>0</v>
      </c>
    </row>
    <row r="93" spans="2:16">
      <c r="B93" s="7">
        <f t="shared" si="2"/>
        <v>2079</v>
      </c>
      <c r="C93" s="551">
        <f>Activity!$C92*Activity!$D92*Activity!E92</f>
        <v>0</v>
      </c>
      <c r="D93" s="552">
        <f>Activity!$C92*Activity!$D92*Activity!F92</f>
        <v>0</v>
      </c>
      <c r="E93" s="550">
        <f>Activity!$C92*Activity!$D92*Activity!G92</f>
        <v>0</v>
      </c>
      <c r="F93" s="552">
        <f>Activity!$C92*Activity!$D92*Activity!H92</f>
        <v>0</v>
      </c>
      <c r="G93" s="552">
        <f>Activity!$C92*Activity!$D92*Activity!I92</f>
        <v>0</v>
      </c>
      <c r="H93" s="552">
        <f>Activity!$C92*Activity!$D92*Activity!J92</f>
        <v>0</v>
      </c>
      <c r="I93" s="552">
        <f>Activity!$C92*Activity!$D92*Activity!K92</f>
        <v>0</v>
      </c>
      <c r="J93" s="553">
        <f>Activity!$C92*Activity!$D92*Activity!L92</f>
        <v>0</v>
      </c>
      <c r="K93" s="552">
        <f>Activity!$C92*Activity!$D92*Activity!M92</f>
        <v>0</v>
      </c>
      <c r="L93" s="552">
        <f>Activity!$C92*Activity!$D92*Activity!N92</f>
        <v>0</v>
      </c>
      <c r="M93" s="550">
        <f>Activity!$C92*Activity!$D92*Activity!O92</f>
        <v>0</v>
      </c>
      <c r="N93" s="413">
        <v>0</v>
      </c>
      <c r="O93" s="552">
        <f>Activity!C92*Activity!D92</f>
        <v>0</v>
      </c>
      <c r="P93" s="559">
        <f>Activity!X92</f>
        <v>0</v>
      </c>
    </row>
    <row r="94" spans="2:16" ht="13.5" thickBot="1">
      <c r="B94" s="15">
        <f t="shared" si="2"/>
        <v>2080</v>
      </c>
      <c r="C94" s="554">
        <f>Activity!$C93*Activity!$D93*Activity!E93</f>
        <v>0</v>
      </c>
      <c r="D94" s="555">
        <f>Activity!$C93*Activity!$D93*Activity!F93</f>
        <v>0</v>
      </c>
      <c r="E94" s="555">
        <f>Activity!$C93*Activity!$D93*Activity!G93</f>
        <v>0</v>
      </c>
      <c r="F94" s="555">
        <f>Activity!$C93*Activity!$D93*Activity!H93</f>
        <v>0</v>
      </c>
      <c r="G94" s="555">
        <f>Activity!$C93*Activity!$D93*Activity!I93</f>
        <v>0</v>
      </c>
      <c r="H94" s="555">
        <f>Activity!$C93*Activity!$D93*Activity!J93</f>
        <v>0</v>
      </c>
      <c r="I94" s="555">
        <f>Activity!$C93*Activity!$D93*Activity!K93</f>
        <v>0</v>
      </c>
      <c r="J94" s="556">
        <f>Activity!$C93*Activity!$D93*Activity!L93</f>
        <v>0</v>
      </c>
      <c r="K94" s="555">
        <f>Activity!$C93*Activity!$D93*Activity!M93</f>
        <v>0</v>
      </c>
      <c r="L94" s="555">
        <f>Activity!$C93*Activity!$D93*Activity!N93</f>
        <v>0</v>
      </c>
      <c r="M94" s="555">
        <f>Activity!$C93*Activity!$D93*Activity!O93</f>
        <v>0</v>
      </c>
      <c r="N94" s="414">
        <v>0</v>
      </c>
      <c r="O94" s="555">
        <f>Activity!C93*Activity!D93</f>
        <v>0</v>
      </c>
      <c r="P94" s="56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D12" activePane="bottomRight" state="frozen"/>
      <selection activeCell="E19" sqref="E19"/>
      <selection pane="topRight" activeCell="E19" sqref="E19"/>
      <selection pane="bottomLeft" activeCell="E19" sqref="E19"/>
      <selection pane="bottomRight" activeCell="E12" sqref="E12"/>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v>0</v>
      </c>
      <c r="D29" s="259"/>
      <c r="E29" s="340">
        <f>IF(Results!L34&lt;=0,0,C29/Results!L34)</f>
        <v>0</v>
      </c>
      <c r="F29" s="341">
        <f t="shared" si="0"/>
        <v>0</v>
      </c>
      <c r="G29" s="344"/>
    </row>
    <row r="30" spans="2:7">
      <c r="B30" s="343">
        <f t="shared" si="1"/>
        <v>2018</v>
      </c>
      <c r="C30" s="241">
        <v>0</v>
      </c>
      <c r="D30" s="259"/>
      <c r="E30" s="340">
        <f>IF(Results!L35&lt;=0,0,C30/Results!L35)</f>
        <v>0</v>
      </c>
      <c r="F30" s="341">
        <f t="shared" si="0"/>
        <v>0</v>
      </c>
      <c r="G30" s="344"/>
    </row>
    <row r="31" spans="2:7">
      <c r="B31" s="343">
        <f t="shared" si="1"/>
        <v>2019</v>
      </c>
      <c r="C31" s="241">
        <v>0</v>
      </c>
      <c r="D31" s="259"/>
      <c r="E31" s="340">
        <f>IF(Results!L36&lt;=0,0,C31/Results!L36)</f>
        <v>0</v>
      </c>
      <c r="F31" s="341">
        <f t="shared" si="0"/>
        <v>0</v>
      </c>
      <c r="G31" s="344"/>
    </row>
    <row r="32" spans="2:7">
      <c r="B32" s="343">
        <f t="shared" si="1"/>
        <v>2020</v>
      </c>
      <c r="C32" s="241">
        <v>0</v>
      </c>
      <c r="D32" s="259"/>
      <c r="E32" s="340">
        <f>IF(Results!L37&lt;=0,0,C32/Results!L37)</f>
        <v>0</v>
      </c>
      <c r="F32" s="341">
        <f t="shared" si="0"/>
        <v>0</v>
      </c>
      <c r="G32" s="344"/>
    </row>
    <row r="33" spans="2:7">
      <c r="B33" s="343">
        <f t="shared" si="1"/>
        <v>2021</v>
      </c>
      <c r="C33" s="241">
        <v>0</v>
      </c>
      <c r="D33" s="259"/>
      <c r="E33" s="340">
        <f>IF(Results!L38&lt;=0,0,C33/Results!L38)</f>
        <v>0</v>
      </c>
      <c r="F33" s="341">
        <f t="shared" si="0"/>
        <v>0</v>
      </c>
      <c r="G33" s="344"/>
    </row>
    <row r="34" spans="2:7">
      <c r="B34" s="343">
        <f t="shared" si="1"/>
        <v>2022</v>
      </c>
      <c r="C34" s="241">
        <v>0</v>
      </c>
      <c r="D34" s="259"/>
      <c r="E34" s="340">
        <f>IF(Results!L39&lt;=0,0,C34/Results!L39)</f>
        <v>0</v>
      </c>
      <c r="F34" s="341">
        <f t="shared" si="0"/>
        <v>0</v>
      </c>
      <c r="G34" s="344"/>
    </row>
    <row r="35" spans="2:7">
      <c r="B35" s="343">
        <f t="shared" si="1"/>
        <v>2023</v>
      </c>
      <c r="C35" s="241">
        <v>0</v>
      </c>
      <c r="D35" s="259"/>
      <c r="E35" s="340">
        <f>IF(Results!L40&lt;=0,0,C35/Results!L40)</f>
        <v>0</v>
      </c>
      <c r="F35" s="341">
        <f t="shared" si="0"/>
        <v>0</v>
      </c>
      <c r="G35" s="344"/>
    </row>
    <row r="36" spans="2:7">
      <c r="B36" s="343">
        <f t="shared" si="1"/>
        <v>2024</v>
      </c>
      <c r="C36" s="241">
        <v>0</v>
      </c>
      <c r="D36" s="259"/>
      <c r="E36" s="340">
        <f>IF(Results!L41&lt;=0,0,C36/Results!L41)</f>
        <v>0</v>
      </c>
      <c r="F36" s="341">
        <f t="shared" si="0"/>
        <v>0</v>
      </c>
      <c r="G36" s="344"/>
    </row>
    <row r="37" spans="2:7">
      <c r="B37" s="343">
        <f t="shared" si="1"/>
        <v>2025</v>
      </c>
      <c r="C37" s="241">
        <v>0</v>
      </c>
      <c r="D37" s="259"/>
      <c r="E37" s="340">
        <f>IF(Results!L42&lt;=0,0,C37/Results!L42)</f>
        <v>0</v>
      </c>
      <c r="F37" s="341">
        <f t="shared" si="0"/>
        <v>0</v>
      </c>
      <c r="G37" s="344"/>
    </row>
    <row r="38" spans="2:7">
      <c r="B38" s="343">
        <f t="shared" si="1"/>
        <v>2026</v>
      </c>
      <c r="C38" s="241">
        <v>0</v>
      </c>
      <c r="D38" s="259"/>
      <c r="E38" s="340">
        <f>IF(Results!L43&lt;=0,0,C38/Results!L43)</f>
        <v>0</v>
      </c>
      <c r="F38" s="341">
        <f t="shared" si="0"/>
        <v>0</v>
      </c>
      <c r="G38" s="344"/>
    </row>
    <row r="39" spans="2:7">
      <c r="B39" s="343">
        <f t="shared" si="1"/>
        <v>2027</v>
      </c>
      <c r="C39" s="241">
        <v>0</v>
      </c>
      <c r="D39" s="259"/>
      <c r="E39" s="340">
        <f>IF(Results!L44&lt;=0,0,C39/Results!L44)</f>
        <v>0</v>
      </c>
      <c r="F39" s="341">
        <f t="shared" si="0"/>
        <v>0</v>
      </c>
      <c r="G39" s="344"/>
    </row>
    <row r="40" spans="2:7">
      <c r="B40" s="343">
        <f t="shared" si="1"/>
        <v>2028</v>
      </c>
      <c r="C40" s="241">
        <v>0</v>
      </c>
      <c r="D40" s="259"/>
      <c r="E40" s="340">
        <f>IF(Results!L45&lt;=0,0,C40/Results!L45)</f>
        <v>0</v>
      </c>
      <c r="F40" s="341">
        <f t="shared" si="0"/>
        <v>0</v>
      </c>
      <c r="G40" s="344"/>
    </row>
    <row r="41" spans="2:7">
      <c r="B41" s="343">
        <f t="shared" si="1"/>
        <v>2029</v>
      </c>
      <c r="C41" s="241">
        <v>0</v>
      </c>
      <c r="D41" s="259"/>
      <c r="E41" s="340">
        <f>IF(Results!L46&lt;=0,0,C41/Results!L46)</f>
        <v>0</v>
      </c>
      <c r="F41" s="341">
        <f t="shared" si="0"/>
        <v>0</v>
      </c>
      <c r="G41" s="344"/>
    </row>
    <row r="42" spans="2:7">
      <c r="B42" s="343">
        <f t="shared" si="1"/>
        <v>2030</v>
      </c>
      <c r="C42" s="241">
        <v>0</v>
      </c>
      <c r="D42" s="259"/>
      <c r="E42" s="340">
        <f>IF(Results!L47&lt;=0,0,C42/Results!L47)</f>
        <v>0</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abSelected="1" topLeftCell="A17" zoomScale="85" zoomScaleNormal="85" workbookViewId="0">
      <selection activeCell="C17" sqref="C17:O47"/>
    </sheetView>
  </sheetViews>
  <sheetFormatPr defaultColWidth="8.85546875" defaultRowHeight="12.75"/>
  <cols>
    <col min="1" max="1" width="8.85546875" style="640"/>
    <col min="2" max="2" width="7" style="636" customWidth="1"/>
    <col min="3" max="3" width="8.85546875" style="636"/>
    <col min="4" max="4" width="13" style="636" bestFit="1" customWidth="1"/>
    <col min="5" max="5" width="12" style="636" customWidth="1"/>
    <col min="6" max="6" width="9.140625" style="636" bestFit="1" customWidth="1"/>
    <col min="7" max="10" width="8.85546875" style="636"/>
    <col min="11" max="11" width="11.42578125" style="636" bestFit="1" customWidth="1"/>
    <col min="12" max="12" width="8.85546875" style="636"/>
    <col min="13" max="13" width="10.7109375" style="636" bestFit="1" customWidth="1"/>
    <col min="14" max="14" width="3" style="636" customWidth="1"/>
    <col min="15" max="15" width="17.140625" style="637" customWidth="1"/>
    <col min="16" max="16" width="4.7109375" style="636" customWidth="1"/>
    <col min="17" max="17" width="2" style="639" customWidth="1"/>
    <col min="18" max="20" width="8.85546875" style="640"/>
    <col min="21" max="21" width="10.7109375" style="640" customWidth="1"/>
    <col min="22" max="27" width="8.85546875" style="640"/>
    <col min="28" max="28" width="8.85546875" style="636"/>
    <col min="29" max="30" width="8.85546875" style="640"/>
    <col min="31" max="31" width="2.7109375" style="640" customWidth="1"/>
    <col min="32" max="32" width="11.7109375" style="640" bestFit="1" customWidth="1"/>
    <col min="33" max="16384" width="8.85546875" style="640"/>
  </cols>
  <sheetData>
    <row r="1" spans="1:32">
      <c r="A1" s="635"/>
      <c r="P1" s="638"/>
    </row>
    <row r="2" spans="1:32">
      <c r="A2" s="635"/>
      <c r="B2" s="641" t="s">
        <v>94</v>
      </c>
      <c r="D2" s="641"/>
      <c r="E2" s="641"/>
    </row>
    <row r="3" spans="1:32">
      <c r="A3" s="635"/>
      <c r="B3" s="641"/>
      <c r="D3" s="641"/>
      <c r="E3" s="641"/>
      <c r="I3" s="641"/>
      <c r="J3" s="642"/>
      <c r="K3" s="642"/>
      <c r="L3" s="642"/>
      <c r="M3" s="642"/>
      <c r="N3" s="642"/>
      <c r="O3" s="643"/>
      <c r="AB3" s="642"/>
    </row>
    <row r="4" spans="1:32" ht="13.5" thickBot="1">
      <c r="A4" s="635"/>
      <c r="B4" s="641" t="s">
        <v>265</v>
      </c>
      <c r="D4" s="641"/>
      <c r="E4" s="641" t="s">
        <v>276</v>
      </c>
      <c r="H4" s="641" t="s">
        <v>30</v>
      </c>
      <c r="I4" s="641"/>
      <c r="J4" s="642"/>
      <c r="K4" s="642"/>
      <c r="L4" s="642"/>
      <c r="M4" s="642"/>
      <c r="N4" s="642"/>
      <c r="O4" s="643"/>
      <c r="AB4" s="642"/>
    </row>
    <row r="5" spans="1:32" ht="13.5" thickBot="1">
      <c r="A5" s="635"/>
      <c r="B5" s="644" t="str">
        <f>city</f>
        <v>Penajam Paser Utara</v>
      </c>
      <c r="C5" s="645"/>
      <c r="D5" s="645"/>
      <c r="E5" s="644" t="str">
        <f>province</f>
        <v>Kalimantan Timur</v>
      </c>
      <c r="F5" s="645"/>
      <c r="G5" s="645"/>
      <c r="H5" s="644" t="str">
        <f>country</f>
        <v>Indonesia</v>
      </c>
      <c r="I5" s="645"/>
      <c r="J5" s="646"/>
      <c r="K5" s="642"/>
      <c r="L5" s="642"/>
      <c r="M5" s="642"/>
      <c r="N5" s="642"/>
      <c r="O5" s="643"/>
      <c r="AB5" s="642"/>
    </row>
    <row r="6" spans="1:32">
      <c r="A6" s="635"/>
      <c r="C6" s="641"/>
      <c r="D6" s="641"/>
      <c r="E6" s="641"/>
    </row>
    <row r="7" spans="1:32">
      <c r="A7" s="635"/>
      <c r="B7" s="636" t="s">
        <v>35</v>
      </c>
      <c r="P7" s="638"/>
    </row>
    <row r="8" spans="1:32">
      <c r="A8" s="635"/>
      <c r="B8" s="636" t="s">
        <v>37</v>
      </c>
      <c r="P8" s="638"/>
    </row>
    <row r="9" spans="1:32">
      <c r="B9" s="647"/>
      <c r="P9" s="638"/>
    </row>
    <row r="10" spans="1:32">
      <c r="P10" s="648"/>
    </row>
    <row r="11" spans="1:32" ht="13.5" thickBot="1">
      <c r="A11" s="649"/>
      <c r="P11" s="649"/>
      <c r="Q11" s="650"/>
    </row>
    <row r="12" spans="1:32" ht="13.5" thickBot="1">
      <c r="A12" s="651"/>
      <c r="B12" s="652"/>
      <c r="C12" s="831" t="s">
        <v>91</v>
      </c>
      <c r="D12" s="832"/>
      <c r="E12" s="832"/>
      <c r="F12" s="832"/>
      <c r="G12" s="832"/>
      <c r="H12" s="832"/>
      <c r="I12" s="832"/>
      <c r="J12" s="832"/>
      <c r="K12" s="832"/>
      <c r="L12" s="832"/>
      <c r="M12" s="833"/>
      <c r="N12" s="653"/>
      <c r="O12" s="654"/>
      <c r="P12" s="651"/>
      <c r="Q12" s="650"/>
      <c r="S12" s="652"/>
      <c r="T12" s="831" t="s">
        <v>91</v>
      </c>
      <c r="U12" s="832"/>
      <c r="V12" s="832"/>
      <c r="W12" s="832"/>
      <c r="X12" s="832"/>
      <c r="Y12" s="832"/>
      <c r="Z12" s="832"/>
      <c r="AA12" s="832"/>
      <c r="AB12" s="832"/>
      <c r="AC12" s="832"/>
      <c r="AD12" s="833"/>
      <c r="AE12" s="653"/>
      <c r="AF12" s="655"/>
    </row>
    <row r="13" spans="1:32" ht="39" thickBot="1">
      <c r="A13" s="651"/>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6" t="s">
        <v>4</v>
      </c>
      <c r="P13" s="651"/>
      <c r="Q13" s="650"/>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26.25" thickBot="1">
      <c r="A14" s="651"/>
      <c r="B14" s="656"/>
      <c r="C14" s="657" t="s">
        <v>81</v>
      </c>
      <c r="D14" s="658" t="s">
        <v>87</v>
      </c>
      <c r="E14" s="658" t="s">
        <v>88</v>
      </c>
      <c r="F14" s="658" t="s">
        <v>275</v>
      </c>
      <c r="G14" s="658" t="s">
        <v>89</v>
      </c>
      <c r="H14" s="658" t="s">
        <v>82</v>
      </c>
      <c r="I14" s="659" t="s">
        <v>92</v>
      </c>
      <c r="J14" s="660" t="s">
        <v>93</v>
      </c>
      <c r="K14" s="660" t="s">
        <v>316</v>
      </c>
      <c r="L14" s="661" t="s">
        <v>194</v>
      </c>
      <c r="M14" s="660" t="s">
        <v>162</v>
      </c>
      <c r="N14" s="662"/>
      <c r="O14" s="663" t="s">
        <v>163</v>
      </c>
      <c r="P14" s="651"/>
      <c r="Q14" s="650"/>
      <c r="S14" s="656"/>
      <c r="T14" s="657" t="s">
        <v>81</v>
      </c>
      <c r="U14" s="658" t="s">
        <v>87</v>
      </c>
      <c r="V14" s="658" t="s">
        <v>88</v>
      </c>
      <c r="W14" s="658" t="s">
        <v>275</v>
      </c>
      <c r="X14" s="658" t="s">
        <v>89</v>
      </c>
      <c r="Y14" s="658" t="s">
        <v>82</v>
      </c>
      <c r="Z14" s="659" t="s">
        <v>92</v>
      </c>
      <c r="AA14" s="660" t="s">
        <v>93</v>
      </c>
      <c r="AB14" s="660" t="s">
        <v>316</v>
      </c>
      <c r="AC14" s="661" t="s">
        <v>194</v>
      </c>
      <c r="AD14" s="660" t="s">
        <v>162</v>
      </c>
      <c r="AE14" s="662"/>
      <c r="AF14" s="664" t="s">
        <v>163</v>
      </c>
    </row>
    <row r="15" spans="1:32" ht="13.5" thickBot="1">
      <c r="B15" s="665"/>
      <c r="C15" s="666" t="s">
        <v>15</v>
      </c>
      <c r="D15" s="667" t="s">
        <v>15</v>
      </c>
      <c r="E15" s="667" t="s">
        <v>15</v>
      </c>
      <c r="F15" s="667" t="s">
        <v>15</v>
      </c>
      <c r="G15" s="667" t="s">
        <v>15</v>
      </c>
      <c r="H15" s="667" t="s">
        <v>15</v>
      </c>
      <c r="I15" s="668" t="s">
        <v>15</v>
      </c>
      <c r="J15" s="668" t="s">
        <v>15</v>
      </c>
      <c r="K15" s="668" t="s">
        <v>15</v>
      </c>
      <c r="L15" s="669" t="s">
        <v>15</v>
      </c>
      <c r="M15" s="668" t="s">
        <v>15</v>
      </c>
      <c r="N15" s="662"/>
      <c r="O15" s="663" t="s">
        <v>15</v>
      </c>
      <c r="P15" s="640"/>
      <c r="Q15" s="650"/>
      <c r="S15" s="665"/>
      <c r="T15" s="666" t="s">
        <v>15</v>
      </c>
      <c r="U15" s="667" t="s">
        <v>15</v>
      </c>
      <c r="V15" s="667" t="s">
        <v>15</v>
      </c>
      <c r="W15" s="667" t="s">
        <v>15</v>
      </c>
      <c r="X15" s="667" t="s">
        <v>15</v>
      </c>
      <c r="Y15" s="667" t="s">
        <v>15</v>
      </c>
      <c r="Z15" s="668" t="s">
        <v>15</v>
      </c>
      <c r="AA15" s="668" t="s">
        <v>15</v>
      </c>
      <c r="AB15" s="668" t="s">
        <v>15</v>
      </c>
      <c r="AC15" s="669" t="s">
        <v>15</v>
      </c>
      <c r="AD15" s="668" t="s">
        <v>15</v>
      </c>
      <c r="AE15" s="662"/>
      <c r="AF15" s="664" t="s">
        <v>15</v>
      </c>
    </row>
    <row r="16" spans="1:32" ht="13.5" thickBot="1">
      <c r="B16" s="670"/>
      <c r="C16" s="671"/>
      <c r="D16" s="672"/>
      <c r="E16" s="672"/>
      <c r="F16" s="672"/>
      <c r="G16" s="672"/>
      <c r="H16" s="672"/>
      <c r="I16" s="673"/>
      <c r="J16" s="673"/>
      <c r="K16" s="674"/>
      <c r="L16" s="675"/>
      <c r="M16" s="674"/>
      <c r="N16" s="676"/>
      <c r="O16" s="677"/>
      <c r="P16" s="640"/>
      <c r="Q16" s="650"/>
      <c r="S16" s="670"/>
      <c r="T16" s="671"/>
      <c r="U16" s="672"/>
      <c r="V16" s="672"/>
      <c r="W16" s="672"/>
      <c r="X16" s="672"/>
      <c r="Y16" s="672"/>
      <c r="Z16" s="673"/>
      <c r="AA16" s="673"/>
      <c r="AB16" s="674"/>
      <c r="AC16" s="675"/>
      <c r="AD16" s="674"/>
      <c r="AE16" s="676"/>
      <c r="AF16" s="678"/>
    </row>
    <row r="17" spans="2:32">
      <c r="B17" s="679">
        <f>year</f>
        <v>2000</v>
      </c>
      <c r="C17" s="763">
        <f>IF(Select2=1,Food!$K19,"")</f>
        <v>0</v>
      </c>
      <c r="D17" s="764">
        <f>IF(Select2=1,Paper!$K19,"")</f>
        <v>0</v>
      </c>
      <c r="E17" s="764">
        <f>IF(Select2=1,Nappies!$K19,"")</f>
        <v>0</v>
      </c>
      <c r="F17" s="764">
        <f>IF(Select2=1,Garden!$K19,"")</f>
        <v>0</v>
      </c>
      <c r="G17" s="764">
        <f>IF(Select2=1,Wood!$K19,"")</f>
        <v>0</v>
      </c>
      <c r="H17" s="764">
        <f>IF(Select2=1,Textiles!$K19,"")</f>
        <v>0</v>
      </c>
      <c r="I17" s="765">
        <f>Sludge!K19</f>
        <v>0</v>
      </c>
      <c r="J17" s="766" t="str">
        <f>IF(Select2=2,MSW!$K19,"")</f>
        <v/>
      </c>
      <c r="K17" s="765">
        <f>Industry!$K19</f>
        <v>0</v>
      </c>
      <c r="L17" s="767">
        <f>SUM(C17:K17)</f>
        <v>0</v>
      </c>
      <c r="M17" s="768">
        <f>Recovery_OX!C12</f>
        <v>0</v>
      </c>
      <c r="N17" s="769"/>
      <c r="O17" s="770">
        <f>(L17-M17)*(1-Recovery_OX!F12)</f>
        <v>0</v>
      </c>
      <c r="P17" s="640"/>
      <c r="Q17" s="650"/>
      <c r="S17" s="679">
        <f>year</f>
        <v>2000</v>
      </c>
      <c r="T17" s="680">
        <f>IF(Select2=1,Food!$W19,"")</f>
        <v>0</v>
      </c>
      <c r="U17" s="681">
        <f>IF(Select2=1,Paper!$W19,"")</f>
        <v>0</v>
      </c>
      <c r="V17" s="681">
        <f>IF(Select2=1,Nappies!$W19,"")</f>
        <v>0</v>
      </c>
      <c r="W17" s="681">
        <f>IF(Select2=1,Garden!$W19,"")</f>
        <v>0</v>
      </c>
      <c r="X17" s="681">
        <f>IF(Select2=1,Wood!$W19,"")</f>
        <v>0</v>
      </c>
      <c r="Y17" s="681">
        <f>IF(Select2=1,Textiles!$W19,"")</f>
        <v>0</v>
      </c>
      <c r="Z17" s="682">
        <f>Sludge!W19</f>
        <v>0</v>
      </c>
      <c r="AA17" s="683" t="str">
        <f>IF(Select2=2,MSW!$W19,"")</f>
        <v/>
      </c>
      <c r="AB17" s="682">
        <f>Industry!$W19</f>
        <v>0</v>
      </c>
      <c r="AC17" s="684">
        <f t="shared" ref="AC17:AC48" si="0">SUM(T17:AA17)</f>
        <v>0</v>
      </c>
      <c r="AD17" s="685">
        <f>Recovery_OX!R12</f>
        <v>0</v>
      </c>
      <c r="AE17" s="648"/>
      <c r="AF17" s="686">
        <f>(AC17-AD17)*(1-Recovery_OX!U12)</f>
        <v>0</v>
      </c>
    </row>
    <row r="18" spans="2:32">
      <c r="B18" s="687">
        <f t="shared" ref="B18:B81" si="1">B17+1</f>
        <v>2001</v>
      </c>
      <c r="C18" s="771">
        <f>IF(Select2=1,Food!$K20,"")</f>
        <v>0</v>
      </c>
      <c r="D18" s="772">
        <f>IF(Select2=1,Paper!$K20,"")</f>
        <v>0</v>
      </c>
      <c r="E18" s="764">
        <f>IF(Select2=1,Nappies!$K20,"")</f>
        <v>0</v>
      </c>
      <c r="F18" s="772">
        <f>IF(Select2=1,Garden!$K20,"")</f>
        <v>0</v>
      </c>
      <c r="G18" s="764">
        <f>IF(Select2=1,Wood!$K20,"")</f>
        <v>0</v>
      </c>
      <c r="H18" s="772">
        <f>IF(Select2=1,Textiles!$K20,"")</f>
        <v>0</v>
      </c>
      <c r="I18" s="773">
        <f>Sludge!K20</f>
        <v>0</v>
      </c>
      <c r="J18" s="773" t="str">
        <f>IF(Select2=2,MSW!$K20,"")</f>
        <v/>
      </c>
      <c r="K18" s="773">
        <f>Industry!$K20</f>
        <v>0</v>
      </c>
      <c r="L18" s="774">
        <f>SUM(C18:K18)</f>
        <v>0</v>
      </c>
      <c r="M18" s="775">
        <f>Recovery_OX!C13</f>
        <v>0</v>
      </c>
      <c r="N18" s="769"/>
      <c r="O18" s="776">
        <f>(L18-M18)*(1-Recovery_OX!F13)</f>
        <v>0</v>
      </c>
      <c r="P18" s="640"/>
      <c r="Q18" s="650"/>
      <c r="S18" s="687">
        <f t="shared" ref="S18:S81" si="2">S17+1</f>
        <v>2001</v>
      </c>
      <c r="T18" s="688">
        <f>IF(Select2=1,Food!$W20,"")</f>
        <v>0</v>
      </c>
      <c r="U18" s="689">
        <f>IF(Select2=1,Paper!$W20,"")</f>
        <v>0</v>
      </c>
      <c r="V18" s="681">
        <f>IF(Select2=1,Nappies!$W20,"")</f>
        <v>0</v>
      </c>
      <c r="W18" s="689">
        <f>IF(Select2=1,Garden!$W20,"")</f>
        <v>0</v>
      </c>
      <c r="X18" s="681">
        <f>IF(Select2=1,Wood!$W20,"")</f>
        <v>0</v>
      </c>
      <c r="Y18" s="689">
        <f>IF(Select2=1,Textiles!$W20,"")</f>
        <v>0</v>
      </c>
      <c r="Z18" s="683">
        <f>Sludge!W20</f>
        <v>0</v>
      </c>
      <c r="AA18" s="683" t="str">
        <f>IF(Select2=2,MSW!$W20,"")</f>
        <v/>
      </c>
      <c r="AB18" s="690">
        <f>Industry!$W20</f>
        <v>0</v>
      </c>
      <c r="AC18" s="691">
        <f t="shared" si="0"/>
        <v>0</v>
      </c>
      <c r="AD18" s="692">
        <f>Recovery_OX!R13</f>
        <v>0</v>
      </c>
      <c r="AE18" s="648"/>
      <c r="AF18" s="694">
        <f>(AC18-AD18)*(1-Recovery_OX!U13)</f>
        <v>0</v>
      </c>
    </row>
    <row r="19" spans="2:32">
      <c r="B19" s="687">
        <f t="shared" si="1"/>
        <v>2002</v>
      </c>
      <c r="C19" s="771">
        <f>IF(Select2=1,Food!$K21,"")</f>
        <v>0</v>
      </c>
      <c r="D19" s="772">
        <f>IF(Select2=1,Paper!$K21,"")</f>
        <v>0</v>
      </c>
      <c r="E19" s="764">
        <f>IF(Select2=1,Nappies!$K21,"")</f>
        <v>0</v>
      </c>
      <c r="F19" s="772">
        <f>IF(Select2=1,Garden!$K21,"")</f>
        <v>0</v>
      </c>
      <c r="G19" s="764">
        <f>IF(Select2=1,Wood!$K21,"")</f>
        <v>0</v>
      </c>
      <c r="H19" s="772">
        <f>IF(Select2=1,Textiles!$K21,"")</f>
        <v>0</v>
      </c>
      <c r="I19" s="773">
        <f>Sludge!K21</f>
        <v>0</v>
      </c>
      <c r="J19" s="773" t="str">
        <f>IF(Select2=2,MSW!$K21,"")</f>
        <v/>
      </c>
      <c r="K19" s="773">
        <f>Industry!$K21</f>
        <v>0</v>
      </c>
      <c r="L19" s="774">
        <f t="shared" ref="L19:L82" si="3">SUM(C19:K19)</f>
        <v>0</v>
      </c>
      <c r="M19" s="775">
        <f>Recovery_OX!C14</f>
        <v>0</v>
      </c>
      <c r="N19" s="769"/>
      <c r="O19" s="776">
        <f>(L19-M19)*(1-Recovery_OX!F14)</f>
        <v>0</v>
      </c>
      <c r="P19" s="640"/>
      <c r="Q19" s="650"/>
      <c r="S19" s="687">
        <f t="shared" si="2"/>
        <v>2002</v>
      </c>
      <c r="T19" s="688">
        <f>IF(Select2=1,Food!$W21,"")</f>
        <v>0</v>
      </c>
      <c r="U19" s="689">
        <f>IF(Select2=1,Paper!$W21,"")</f>
        <v>0</v>
      </c>
      <c r="V19" s="681">
        <f>IF(Select2=1,Nappies!$W21,"")</f>
        <v>0</v>
      </c>
      <c r="W19" s="689">
        <f>IF(Select2=1,Garden!$W21,"")</f>
        <v>0</v>
      </c>
      <c r="X19" s="681">
        <f>IF(Select2=1,Wood!$W21,"")</f>
        <v>0</v>
      </c>
      <c r="Y19" s="689">
        <f>IF(Select2=1,Textiles!$W21,"")</f>
        <v>0</v>
      </c>
      <c r="Z19" s="683">
        <f>Sludge!W21</f>
        <v>0</v>
      </c>
      <c r="AA19" s="683" t="str">
        <f>IF(Select2=2,MSW!$W21,"")</f>
        <v/>
      </c>
      <c r="AB19" s="690">
        <f>Industry!$W21</f>
        <v>0</v>
      </c>
      <c r="AC19" s="691">
        <f t="shared" si="0"/>
        <v>0</v>
      </c>
      <c r="AD19" s="692">
        <f>Recovery_OX!R14</f>
        <v>0</v>
      </c>
      <c r="AE19" s="648"/>
      <c r="AF19" s="694">
        <f>(AC19-AD19)*(1-Recovery_OX!U14)</f>
        <v>0</v>
      </c>
    </row>
    <row r="20" spans="2:32">
      <c r="B20" s="687">
        <f t="shared" si="1"/>
        <v>2003</v>
      </c>
      <c r="C20" s="771">
        <f>IF(Select2=1,Food!$K22,"")</f>
        <v>5.9060521434730312E-2</v>
      </c>
      <c r="D20" s="772">
        <f>IF(Select2=1,Paper!$K22,"")</f>
        <v>3.1014253484387732E-3</v>
      </c>
      <c r="E20" s="764">
        <f>IF(Select2=1,Nappies!$K22,"")</f>
        <v>9.7798059018140322E-3</v>
      </c>
      <c r="F20" s="772">
        <f>IF(Select2=1,Garden!$K22,"")</f>
        <v>0</v>
      </c>
      <c r="G20" s="764">
        <f>IF(Select2=1,Wood!$K22,"")</f>
        <v>0</v>
      </c>
      <c r="H20" s="772">
        <f>IF(Select2=1,Textiles!$K22,"")</f>
        <v>7.3430104768556852E-4</v>
      </c>
      <c r="I20" s="773">
        <f>Sludge!K22</f>
        <v>0</v>
      </c>
      <c r="J20" s="773" t="str">
        <f>IF(Select2=2,MSW!$K22,"")</f>
        <v/>
      </c>
      <c r="K20" s="773">
        <f>Industry!$K22</f>
        <v>0</v>
      </c>
      <c r="L20" s="774">
        <f t="shared" si="3"/>
        <v>7.2676053732668694E-2</v>
      </c>
      <c r="M20" s="775">
        <f>Recovery_OX!C15</f>
        <v>0</v>
      </c>
      <c r="N20" s="769"/>
      <c r="O20" s="776">
        <f>(L20-M20)*(1-Recovery_OX!F15)</f>
        <v>7.2676053732668694E-2</v>
      </c>
      <c r="P20" s="640"/>
      <c r="Q20" s="650"/>
      <c r="S20" s="687">
        <f t="shared" si="2"/>
        <v>2003</v>
      </c>
      <c r="T20" s="688">
        <f>IF(Select2=1,Food!$W22,"")</f>
        <v>3.9514175803789242E-2</v>
      </c>
      <c r="U20" s="689">
        <f>IF(Select2=1,Paper!$W22,"")</f>
        <v>6.4079036124768058E-3</v>
      </c>
      <c r="V20" s="681">
        <f>IF(Select2=1,Nappies!$W22,"")</f>
        <v>0</v>
      </c>
      <c r="W20" s="689">
        <f>IF(Select2=1,Garden!$W22,"")</f>
        <v>0</v>
      </c>
      <c r="X20" s="681">
        <f>IF(Select2=1,Wood!$W22,"")</f>
        <v>2.6895125728533514E-3</v>
      </c>
      <c r="Y20" s="689">
        <f>IF(Select2=1,Textiles!$W22,"")</f>
        <v>8.047134769156917E-4</v>
      </c>
      <c r="Z20" s="683">
        <f>Sludge!W22</f>
        <v>0</v>
      </c>
      <c r="AA20" s="683" t="str">
        <f>IF(Select2=2,MSW!$W22,"")</f>
        <v/>
      </c>
      <c r="AB20" s="690">
        <f>Industry!$W22</f>
        <v>0</v>
      </c>
      <c r="AC20" s="691">
        <f t="shared" si="0"/>
        <v>4.9416305466035093E-2</v>
      </c>
      <c r="AD20" s="692">
        <f>Recovery_OX!R15</f>
        <v>0</v>
      </c>
      <c r="AE20" s="648"/>
      <c r="AF20" s="694">
        <f>(AC20-AD20)*(1-Recovery_OX!U15)</f>
        <v>4.9416305466035093E-2</v>
      </c>
    </row>
    <row r="21" spans="2:32">
      <c r="B21" s="687">
        <f t="shared" si="1"/>
        <v>2004</v>
      </c>
      <c r="C21" s="771">
        <f>IF(Select2=1,Food!$K23,"")</f>
        <v>9.9662653399264972E-2</v>
      </c>
      <c r="D21" s="772">
        <f>IF(Select2=1,Paper!$K23,"")</f>
        <v>6.0463537285043905E-3</v>
      </c>
      <c r="E21" s="764">
        <f>IF(Select2=1,Nappies!$K23,"")</f>
        <v>1.8198373378102706E-2</v>
      </c>
      <c r="F21" s="772">
        <f>IF(Select2=1,Garden!$K23,"")</f>
        <v>0</v>
      </c>
      <c r="G21" s="764">
        <f>IF(Select2=1,Wood!$K23,"")</f>
        <v>0</v>
      </c>
      <c r="H21" s="772">
        <f>IF(Select2=1,Textiles!$K23,"")</f>
        <v>1.4315494905441757E-3</v>
      </c>
      <c r="I21" s="773">
        <f>Sludge!K23</f>
        <v>0</v>
      </c>
      <c r="J21" s="773" t="str">
        <f>IF(Select2=2,MSW!$K23,"")</f>
        <v/>
      </c>
      <c r="K21" s="773">
        <f>Industry!$K23</f>
        <v>0</v>
      </c>
      <c r="L21" s="774">
        <f t="shared" si="3"/>
        <v>0.12533892999641624</v>
      </c>
      <c r="M21" s="775">
        <f>Recovery_OX!C16</f>
        <v>0</v>
      </c>
      <c r="N21" s="769"/>
      <c r="O21" s="776">
        <f>(L21-M21)*(1-Recovery_OX!F16)</f>
        <v>0.12533892999641624</v>
      </c>
      <c r="P21" s="640"/>
      <c r="Q21" s="650"/>
      <c r="S21" s="687">
        <f t="shared" si="2"/>
        <v>2004</v>
      </c>
      <c r="T21" s="688">
        <f>IF(Select2=1,Food!$W23,"")</f>
        <v>6.6678849285859695E-2</v>
      </c>
      <c r="U21" s="689">
        <f>IF(Select2=1,Paper!$W23,"")</f>
        <v>1.2492466381207422E-2</v>
      </c>
      <c r="V21" s="681">
        <f>IF(Select2=1,Nappies!$W23,"")</f>
        <v>0</v>
      </c>
      <c r="W21" s="689">
        <f>IF(Select2=1,Garden!$W23,"")</f>
        <v>0</v>
      </c>
      <c r="X21" s="681">
        <f>IF(Select2=1,Wood!$W23,"")</f>
        <v>5.3326361751430424E-3</v>
      </c>
      <c r="Y21" s="689">
        <f>IF(Select2=1,Textiles!$W23,"")</f>
        <v>1.5688213595004665E-3</v>
      </c>
      <c r="Z21" s="683">
        <f>Sludge!W23</f>
        <v>0</v>
      </c>
      <c r="AA21" s="683" t="str">
        <f>IF(Select2=2,MSW!$W23,"")</f>
        <v/>
      </c>
      <c r="AB21" s="690">
        <f>Industry!$W23</f>
        <v>0</v>
      </c>
      <c r="AC21" s="691">
        <f t="shared" si="0"/>
        <v>8.6072773201710626E-2</v>
      </c>
      <c r="AD21" s="692">
        <f>Recovery_OX!R16</f>
        <v>0</v>
      </c>
      <c r="AE21" s="648"/>
      <c r="AF21" s="694">
        <f>(AC21-AD21)*(1-Recovery_OX!U16)</f>
        <v>8.6072773201710626E-2</v>
      </c>
    </row>
    <row r="22" spans="2:32">
      <c r="B22" s="687">
        <f t="shared" si="1"/>
        <v>2005</v>
      </c>
      <c r="C22" s="771">
        <f>IF(Select2=1,Food!$K24,"")</f>
        <v>0.12928921371545693</v>
      </c>
      <c r="D22" s="772">
        <f>IF(Select2=1,Paper!$K24,"")</f>
        <v>8.918749484174697E-3</v>
      </c>
      <c r="E22" s="764">
        <f>IF(Select2=1,Nappies!$K24,"")</f>
        <v>2.5699916152960044E-2</v>
      </c>
      <c r="F22" s="772">
        <f>IF(Select2=1,Garden!$K24,"")</f>
        <v>0</v>
      </c>
      <c r="G22" s="764">
        <f>IF(Select2=1,Wood!$K24,"")</f>
        <v>0</v>
      </c>
      <c r="H22" s="772">
        <f>IF(Select2=1,Textiles!$K24,"")</f>
        <v>2.1116249319272926E-3</v>
      </c>
      <c r="I22" s="773">
        <f>Sludge!K24</f>
        <v>0</v>
      </c>
      <c r="J22" s="773" t="str">
        <f>IF(Select2=2,MSW!$K24,"")</f>
        <v/>
      </c>
      <c r="K22" s="773">
        <f>Industry!$K24</f>
        <v>0</v>
      </c>
      <c r="L22" s="774">
        <f t="shared" si="3"/>
        <v>0.16601950428451898</v>
      </c>
      <c r="M22" s="775">
        <f>Recovery_OX!C17</f>
        <v>0</v>
      </c>
      <c r="N22" s="769"/>
      <c r="O22" s="776">
        <f>(L22-M22)*(1-Recovery_OX!F17)</f>
        <v>0.16601950428451898</v>
      </c>
      <c r="P22" s="640"/>
      <c r="Q22" s="650"/>
      <c r="S22" s="687">
        <f t="shared" si="2"/>
        <v>2005</v>
      </c>
      <c r="T22" s="688">
        <f>IF(Select2=1,Food!$W24,"")</f>
        <v>8.6500366000528697E-2</v>
      </c>
      <c r="U22" s="689">
        <f>IF(Select2=1,Paper!$W24,"")</f>
        <v>1.842716835573285E-2</v>
      </c>
      <c r="V22" s="681">
        <f>IF(Select2=1,Nappies!$W24,"")</f>
        <v>0</v>
      </c>
      <c r="W22" s="689">
        <f>IF(Select2=1,Garden!$W24,"")</f>
        <v>0</v>
      </c>
      <c r="X22" s="681">
        <f>IF(Select2=1,Wood!$W24,"")</f>
        <v>7.9946040695956597E-3</v>
      </c>
      <c r="Y22" s="689">
        <f>IF(Select2=1,Textiles!$W24,"")</f>
        <v>2.3141095144408692E-3</v>
      </c>
      <c r="Z22" s="683">
        <f>Sludge!W24</f>
        <v>0</v>
      </c>
      <c r="AA22" s="683" t="str">
        <f>IF(Select2=2,MSW!$W24,"")</f>
        <v/>
      </c>
      <c r="AB22" s="690">
        <f>Industry!$W24</f>
        <v>0</v>
      </c>
      <c r="AC22" s="691">
        <f t="shared" si="0"/>
        <v>0.11523624794029809</v>
      </c>
      <c r="AD22" s="692">
        <f>Recovery_OX!R17</f>
        <v>0</v>
      </c>
      <c r="AE22" s="648"/>
      <c r="AF22" s="694">
        <f>(AC22-AD22)*(1-Recovery_OX!U17)</f>
        <v>0.11523624794029809</v>
      </c>
    </row>
    <row r="23" spans="2:32">
      <c r="B23" s="687">
        <f t="shared" si="1"/>
        <v>2006</v>
      </c>
      <c r="C23" s="771">
        <f>IF(Select2=1,Food!$K25,"")</f>
        <v>0.15139478128247225</v>
      </c>
      <c r="D23" s="772">
        <f>IF(Select2=1,Paper!$K25,"")</f>
        <v>1.1714912223601959E-2</v>
      </c>
      <c r="E23" s="764">
        <f>IF(Select2=1,Nappies!$K25,"")</f>
        <v>3.2400666088861919E-2</v>
      </c>
      <c r="F23" s="772">
        <f>IF(Select2=1,Garden!$K25,"")</f>
        <v>0</v>
      </c>
      <c r="G23" s="764">
        <f>IF(Select2=1,Wood!$K25,"")</f>
        <v>0</v>
      </c>
      <c r="H23" s="772">
        <f>IF(Select2=1,Textiles!$K25,"")</f>
        <v>2.7736512580145423E-3</v>
      </c>
      <c r="I23" s="773">
        <f>Sludge!K25</f>
        <v>0</v>
      </c>
      <c r="J23" s="773" t="str">
        <f>IF(Select2=2,MSW!$K25,"")</f>
        <v/>
      </c>
      <c r="K23" s="773">
        <f>Industry!$K25</f>
        <v>0</v>
      </c>
      <c r="L23" s="774">
        <f t="shared" si="3"/>
        <v>0.19828401085295067</v>
      </c>
      <c r="M23" s="775">
        <f>Recovery_OX!C18</f>
        <v>0</v>
      </c>
      <c r="N23" s="769"/>
      <c r="O23" s="776">
        <f>(L23-M23)*(1-Recovery_OX!F18)</f>
        <v>0.19828401085295067</v>
      </c>
      <c r="P23" s="640"/>
      <c r="Q23" s="650"/>
      <c r="S23" s="687">
        <f t="shared" si="2"/>
        <v>2006</v>
      </c>
      <c r="T23" s="688">
        <f>IF(Select2=1,Food!$W25,"")</f>
        <v>0.10128999639772897</v>
      </c>
      <c r="U23" s="689">
        <f>IF(Select2=1,Paper!$W25,"")</f>
        <v>2.420436409835116E-2</v>
      </c>
      <c r="V23" s="681">
        <f>IF(Select2=1,Nappies!$W25,"")</f>
        <v>0</v>
      </c>
      <c r="W23" s="689">
        <f>IF(Select2=1,Garden!$W25,"")</f>
        <v>0</v>
      </c>
      <c r="X23" s="681">
        <f>IF(Select2=1,Wood!$W25,"")</f>
        <v>1.0667306807004522E-2</v>
      </c>
      <c r="Y23" s="689">
        <f>IF(Select2=1,Textiles!$W25,"")</f>
        <v>3.0396178170022381E-3</v>
      </c>
      <c r="Z23" s="683">
        <f>Sludge!W25</f>
        <v>0</v>
      </c>
      <c r="AA23" s="683" t="str">
        <f>IF(Select2=2,MSW!$W25,"")</f>
        <v/>
      </c>
      <c r="AB23" s="690">
        <f>Industry!$W25</f>
        <v>0</v>
      </c>
      <c r="AC23" s="691">
        <f t="shared" si="0"/>
        <v>0.13920128512008689</v>
      </c>
      <c r="AD23" s="692">
        <f>Recovery_OX!R18</f>
        <v>0</v>
      </c>
      <c r="AE23" s="648"/>
      <c r="AF23" s="694">
        <f>(AC23-AD23)*(1-Recovery_OX!U18)</f>
        <v>0.13920128512008689</v>
      </c>
    </row>
    <row r="24" spans="2:32">
      <c r="B24" s="687">
        <f t="shared" si="1"/>
        <v>2007</v>
      </c>
      <c r="C24" s="771">
        <f>IF(Select2=1,Food!$K26,"")</f>
        <v>0.16691977138944486</v>
      </c>
      <c r="D24" s="772">
        <f>IF(Select2=1,Paper!$K26,"")</f>
        <v>1.4359173251938676E-2</v>
      </c>
      <c r="E24" s="764">
        <f>IF(Select2=1,Nappies!$K26,"")</f>
        <v>3.8170955515566887E-2</v>
      </c>
      <c r="F24" s="772">
        <f>IF(Select2=1,Garden!$K26,"")</f>
        <v>0</v>
      </c>
      <c r="G24" s="764">
        <f>IF(Select2=1,Wood!$K26,"")</f>
        <v>0</v>
      </c>
      <c r="H24" s="772">
        <f>IF(Select2=1,Textiles!$K26,"")</f>
        <v>3.3997129636232862E-3</v>
      </c>
      <c r="I24" s="773">
        <f>Sludge!K26</f>
        <v>0</v>
      </c>
      <c r="J24" s="773" t="str">
        <f>IF(Select2=2,MSW!$K26,"")</f>
        <v/>
      </c>
      <c r="K24" s="773">
        <f>Industry!$K26</f>
        <v>0</v>
      </c>
      <c r="L24" s="774">
        <f t="shared" si="3"/>
        <v>0.22284961312057372</v>
      </c>
      <c r="M24" s="775">
        <f>Recovery_OX!C19</f>
        <v>0</v>
      </c>
      <c r="N24" s="769"/>
      <c r="O24" s="776">
        <f>(L24-M24)*(1-Recovery_OX!F19)</f>
        <v>0.22284961312057372</v>
      </c>
      <c r="P24" s="640"/>
      <c r="Q24" s="650"/>
      <c r="S24" s="687">
        <f t="shared" si="2"/>
        <v>2007</v>
      </c>
      <c r="T24" s="688">
        <f>IF(Select2=1,Food!$W26,"")</f>
        <v>0.11167692109017276</v>
      </c>
      <c r="U24" s="689">
        <f>IF(Select2=1,Paper!$W26,"")</f>
        <v>2.9667713330451817E-2</v>
      </c>
      <c r="V24" s="681">
        <f>IF(Select2=1,Nappies!$W26,"")</f>
        <v>0</v>
      </c>
      <c r="W24" s="689">
        <f>IF(Select2=1,Garden!$W26,"")</f>
        <v>0</v>
      </c>
      <c r="X24" s="681">
        <f>IF(Select2=1,Wood!$W26,"")</f>
        <v>1.3280287012738073E-2</v>
      </c>
      <c r="Y24" s="689">
        <f>IF(Select2=1,Textiles!$W26,"")</f>
        <v>3.7257128368474368E-3</v>
      </c>
      <c r="Z24" s="683">
        <f>Sludge!W26</f>
        <v>0</v>
      </c>
      <c r="AA24" s="683" t="str">
        <f>IF(Select2=2,MSW!$W26,"")</f>
        <v/>
      </c>
      <c r="AB24" s="690">
        <f>Industry!$W26</f>
        <v>0</v>
      </c>
      <c r="AC24" s="691">
        <f t="shared" si="0"/>
        <v>0.15835063427021007</v>
      </c>
      <c r="AD24" s="692">
        <f>Recovery_OX!R19</f>
        <v>0</v>
      </c>
      <c r="AE24" s="648"/>
      <c r="AF24" s="694">
        <f>(AC24-AD24)*(1-Recovery_OX!U19)</f>
        <v>0.15835063427021007</v>
      </c>
    </row>
    <row r="25" spans="2:32">
      <c r="B25" s="687">
        <f t="shared" si="1"/>
        <v>2008</v>
      </c>
      <c r="C25" s="771">
        <f>IF(Select2=1,Food!$K27,"")</f>
        <v>0.17801305549366359</v>
      </c>
      <c r="D25" s="772">
        <f>IF(Select2=1,Paper!$K27,"")</f>
        <v>1.686071961918563E-2</v>
      </c>
      <c r="E25" s="764">
        <f>IF(Select2=1,Nappies!$K27,"")</f>
        <v>4.3152834846998098E-2</v>
      </c>
      <c r="F25" s="772">
        <f>IF(Select2=1,Garden!$K27,"")</f>
        <v>0</v>
      </c>
      <c r="G25" s="764">
        <f>IF(Select2=1,Wood!$K27,"")</f>
        <v>0</v>
      </c>
      <c r="H25" s="772">
        <f>IF(Select2=1,Textiles!$K27,"")</f>
        <v>3.9919851971716895E-3</v>
      </c>
      <c r="I25" s="773">
        <f>Sludge!K27</f>
        <v>0</v>
      </c>
      <c r="J25" s="773" t="str">
        <f>IF(Select2=2,MSW!$K27,"")</f>
        <v/>
      </c>
      <c r="K25" s="773">
        <f>Industry!$K27</f>
        <v>0</v>
      </c>
      <c r="L25" s="774">
        <f t="shared" si="3"/>
        <v>0.24201859515701901</v>
      </c>
      <c r="M25" s="775">
        <f>Recovery_OX!C20</f>
        <v>0</v>
      </c>
      <c r="N25" s="769"/>
      <c r="O25" s="776">
        <f>(L25-M25)*(1-Recovery_OX!F20)</f>
        <v>0.24201859515701901</v>
      </c>
      <c r="P25" s="640"/>
      <c r="Q25" s="650"/>
      <c r="S25" s="687">
        <f t="shared" si="2"/>
        <v>2008</v>
      </c>
      <c r="T25" s="688">
        <f>IF(Select2=1,Food!$W27,"")</f>
        <v>0.11909883284589445</v>
      </c>
      <c r="U25" s="689">
        <f>IF(Select2=1,Paper!$W27,"")</f>
        <v>3.4836197560300895E-2</v>
      </c>
      <c r="V25" s="681">
        <f>IF(Select2=1,Nappies!$W27,"")</f>
        <v>0</v>
      </c>
      <c r="W25" s="689">
        <f>IF(Select2=1,Garden!$W27,"")</f>
        <v>0</v>
      </c>
      <c r="X25" s="681">
        <f>IF(Select2=1,Wood!$W27,"")</f>
        <v>1.583466013777703E-2</v>
      </c>
      <c r="Y25" s="689">
        <f>IF(Select2=1,Textiles!$W27,"")</f>
        <v>4.3747782982703452E-3</v>
      </c>
      <c r="Z25" s="683">
        <f>Sludge!W27</f>
        <v>0</v>
      </c>
      <c r="AA25" s="683" t="str">
        <f>IF(Select2=2,MSW!$W27,"")</f>
        <v/>
      </c>
      <c r="AB25" s="690">
        <f>Industry!$W27</f>
        <v>0</v>
      </c>
      <c r="AC25" s="691">
        <f t="shared" si="0"/>
        <v>0.17414446884224274</v>
      </c>
      <c r="AD25" s="692">
        <f>Recovery_OX!R20</f>
        <v>0</v>
      </c>
      <c r="AE25" s="648"/>
      <c r="AF25" s="694">
        <f>(AC25-AD25)*(1-Recovery_OX!U20)</f>
        <v>0.17414446884224274</v>
      </c>
    </row>
    <row r="26" spans="2:32">
      <c r="B26" s="687">
        <f t="shared" si="1"/>
        <v>2009</v>
      </c>
      <c r="C26" s="771">
        <f>IF(Select2=1,Food!$K28,"")</f>
        <v>0.18610872274259599</v>
      </c>
      <c r="D26" s="772">
        <f>IF(Select2=1,Paper!$K28,"")</f>
        <v>1.922778421416033E-2</v>
      </c>
      <c r="E26" s="764">
        <f>IF(Select2=1,Nappies!$K28,"")</f>
        <v>4.7465096773278682E-2</v>
      </c>
      <c r="F26" s="772">
        <f>IF(Select2=1,Garden!$K28,"")</f>
        <v>0</v>
      </c>
      <c r="G26" s="764">
        <f>IF(Select2=1,Wood!$K28,"")</f>
        <v>0</v>
      </c>
      <c r="H26" s="772">
        <f>IF(Select2=1,Textiles!$K28,"")</f>
        <v>4.5524171975434855E-3</v>
      </c>
      <c r="I26" s="773">
        <f>Sludge!K28</f>
        <v>0</v>
      </c>
      <c r="J26" s="773" t="str">
        <f>IF(Select2=2,MSW!$K28,"")</f>
        <v/>
      </c>
      <c r="K26" s="773">
        <f>Industry!$K28</f>
        <v>0</v>
      </c>
      <c r="L26" s="774">
        <f t="shared" si="3"/>
        <v>0.25735402092757853</v>
      </c>
      <c r="M26" s="775">
        <f>Recovery_OX!C21</f>
        <v>0</v>
      </c>
      <c r="N26" s="769"/>
      <c r="O26" s="776">
        <f>(L26-M26)*(1-Recovery_OX!F21)</f>
        <v>0.25735402092757853</v>
      </c>
      <c r="P26" s="640"/>
      <c r="Q26" s="650"/>
      <c r="S26" s="687">
        <f t="shared" si="2"/>
        <v>2009</v>
      </c>
      <c r="T26" s="688">
        <f>IF(Select2=1,Food!$W28,"")</f>
        <v>0.12451520254857003</v>
      </c>
      <c r="U26" s="689">
        <f>IF(Select2=1,Paper!$W28,"")</f>
        <v>3.9726826888761016E-2</v>
      </c>
      <c r="V26" s="681">
        <f>IF(Select2=1,Nappies!$W28,"")</f>
        <v>0</v>
      </c>
      <c r="W26" s="689">
        <f>IF(Select2=1,Garden!$W28,"")</f>
        <v>0</v>
      </c>
      <c r="X26" s="681">
        <f>IF(Select2=1,Wood!$W28,"")</f>
        <v>1.8331214442818791E-2</v>
      </c>
      <c r="Y26" s="689">
        <f>IF(Select2=1,Textiles!$W28,"")</f>
        <v>4.9889503534723129E-3</v>
      </c>
      <c r="Z26" s="683">
        <f>Sludge!W28</f>
        <v>0</v>
      </c>
      <c r="AA26" s="683" t="str">
        <f>IF(Select2=2,MSW!$W28,"")</f>
        <v/>
      </c>
      <c r="AB26" s="690">
        <f>Industry!$W28</f>
        <v>0</v>
      </c>
      <c r="AC26" s="691">
        <f t="shared" si="0"/>
        <v>0.18756219423362214</v>
      </c>
      <c r="AD26" s="692">
        <f>Recovery_OX!R21</f>
        <v>0</v>
      </c>
      <c r="AE26" s="648"/>
      <c r="AF26" s="694">
        <f>(AC26-AD26)*(1-Recovery_OX!U21)</f>
        <v>0.18756219423362214</v>
      </c>
    </row>
    <row r="27" spans="2:32">
      <c r="B27" s="687">
        <f t="shared" si="1"/>
        <v>2010</v>
      </c>
      <c r="C27" s="771">
        <f>IF(Select2=1,Food!$K29,"")</f>
        <v>0.19215802960063938</v>
      </c>
      <c r="D27" s="772">
        <f>IF(Select2=1,Paper!$K29,"")</f>
        <v>2.1467515986791048E-2</v>
      </c>
      <c r="E27" s="764">
        <f>IF(Select2=1,Nappies!$K29,"")</f>
        <v>5.1206299617580338E-2</v>
      </c>
      <c r="F27" s="772">
        <f>IF(Select2=1,Garden!$K29,"")</f>
        <v>0</v>
      </c>
      <c r="G27" s="764">
        <f>IF(Select2=1,Wood!$K29,"")</f>
        <v>0</v>
      </c>
      <c r="H27" s="772">
        <f>IF(Select2=1,Textiles!$K29,"")</f>
        <v>5.0827015676010428E-3</v>
      </c>
      <c r="I27" s="773">
        <f>Sludge!K29</f>
        <v>0</v>
      </c>
      <c r="J27" s="773" t="str">
        <f>IF(Select2=2,MSW!$K29,"")</f>
        <v/>
      </c>
      <c r="K27" s="773">
        <f>Industry!$K29</f>
        <v>0</v>
      </c>
      <c r="L27" s="774">
        <f t="shared" si="3"/>
        <v>0.26991454677261184</v>
      </c>
      <c r="M27" s="775">
        <f>Recovery_OX!C22</f>
        <v>0</v>
      </c>
      <c r="N27" s="769"/>
      <c r="O27" s="776">
        <f>(L27-M27)*(1-Recovery_OX!F22)</f>
        <v>0.26991454677261184</v>
      </c>
      <c r="P27" s="640"/>
      <c r="Q27" s="650"/>
      <c r="S27" s="687">
        <f t="shared" si="2"/>
        <v>2010</v>
      </c>
      <c r="T27" s="688">
        <f>IF(Select2=1,Food!$W29,"")</f>
        <v>0.12856246405038319</v>
      </c>
      <c r="U27" s="689">
        <f>IF(Select2=1,Paper!$W29,"")</f>
        <v>4.4354371873535234E-2</v>
      </c>
      <c r="V27" s="681">
        <f>IF(Select2=1,Nappies!$W29,"")</f>
        <v>0</v>
      </c>
      <c r="W27" s="689">
        <f>IF(Select2=1,Garden!$W29,"")</f>
        <v>0</v>
      </c>
      <c r="X27" s="681">
        <f>IF(Select2=1,Wood!$W29,"")</f>
        <v>2.0770253770711157E-2</v>
      </c>
      <c r="Y27" s="689">
        <f>IF(Select2=1,Textiles!$W29,"")</f>
        <v>5.5700839096997721E-3</v>
      </c>
      <c r="Z27" s="683">
        <f>Sludge!W29</f>
        <v>0</v>
      </c>
      <c r="AA27" s="683" t="str">
        <f>IF(Select2=2,MSW!$W29,"")</f>
        <v/>
      </c>
      <c r="AB27" s="690">
        <f>Industry!$W29</f>
        <v>0</v>
      </c>
      <c r="AC27" s="691">
        <f t="shared" si="0"/>
        <v>0.19925717360432935</v>
      </c>
      <c r="AD27" s="692">
        <f>Recovery_OX!R22</f>
        <v>0</v>
      </c>
      <c r="AE27" s="648"/>
      <c r="AF27" s="694">
        <f>(AC27-AD27)*(1-Recovery_OX!U22)</f>
        <v>0.19925717360432935</v>
      </c>
    </row>
    <row r="28" spans="2:32">
      <c r="B28" s="687">
        <f t="shared" si="1"/>
        <v>2011</v>
      </c>
      <c r="C28" s="771">
        <f>IF(Select2=1,Food!$K30,"")</f>
        <v>0.20434721480366416</v>
      </c>
      <c r="D28" s="772">
        <f>IF(Select2=1,Paper!$K30,"")</f>
        <v>2.3982977277195203E-2</v>
      </c>
      <c r="E28" s="764">
        <f>IF(Select2=1,Nappies!$K30,"")</f>
        <v>5.5709561691841616E-2</v>
      </c>
      <c r="F28" s="772">
        <f>IF(Select2=1,Garden!$K30,"")</f>
        <v>0</v>
      </c>
      <c r="G28" s="764">
        <f>IF(Select2=1,Wood!$K30,"")</f>
        <v>0</v>
      </c>
      <c r="H28" s="772">
        <f>IF(Select2=1,Textiles!$K30,"")</f>
        <v>5.6782683323745621E-3</v>
      </c>
      <c r="I28" s="773">
        <f>Sludge!K30</f>
        <v>0</v>
      </c>
      <c r="J28" s="773" t="str">
        <f>IF(Select2=2,MSW!$K30,"")</f>
        <v/>
      </c>
      <c r="K28" s="773">
        <f>Industry!$K30</f>
        <v>0</v>
      </c>
      <c r="L28" s="774">
        <f t="shared" si="3"/>
        <v>0.28971802210507552</v>
      </c>
      <c r="M28" s="775">
        <f>Recovery_OX!C23</f>
        <v>0</v>
      </c>
      <c r="N28" s="769"/>
      <c r="O28" s="776">
        <f>(L28-M28)*(1-Recovery_OX!F23)</f>
        <v>0.28971802210507552</v>
      </c>
      <c r="P28" s="640"/>
      <c r="Q28" s="650"/>
      <c r="S28" s="687">
        <f t="shared" si="2"/>
        <v>2011</v>
      </c>
      <c r="T28" s="688">
        <f>IF(Select2=1,Food!$W30,"")</f>
        <v>0.13671758349932928</v>
      </c>
      <c r="U28" s="689">
        <f>IF(Select2=1,Paper!$W30,"")</f>
        <v>4.9551605944618202E-2</v>
      </c>
      <c r="V28" s="681">
        <f>IF(Select2=1,Nappies!$W30,"")</f>
        <v>0</v>
      </c>
      <c r="W28" s="689">
        <f>IF(Select2=1,Garden!$W30,"")</f>
        <v>0</v>
      </c>
      <c r="X28" s="681">
        <f>IF(Select2=1,Wood!$W30,"")</f>
        <v>2.3495821176510986E-2</v>
      </c>
      <c r="Y28" s="689">
        <f>IF(Select2=1,Textiles!$W30,"")</f>
        <v>6.2227598163008902E-3</v>
      </c>
      <c r="Z28" s="683">
        <f>Sludge!W30</f>
        <v>0</v>
      </c>
      <c r="AA28" s="683" t="str">
        <f>IF(Select2=2,MSW!$W30,"")</f>
        <v/>
      </c>
      <c r="AB28" s="690">
        <f>Industry!$W30</f>
        <v>0</v>
      </c>
      <c r="AC28" s="691">
        <f t="shared" si="0"/>
        <v>0.21598777043675937</v>
      </c>
      <c r="AD28" s="692">
        <f>Recovery_OX!R23</f>
        <v>0</v>
      </c>
      <c r="AE28" s="648"/>
      <c r="AF28" s="694">
        <f>(AC28-AD28)*(1-Recovery_OX!U23)</f>
        <v>0.21598777043675937</v>
      </c>
    </row>
    <row r="29" spans="2:32">
      <c r="B29" s="687">
        <f t="shared" si="1"/>
        <v>2012</v>
      </c>
      <c r="C29" s="771">
        <f>IF(Select2=1,Food!$K31,"")</f>
        <v>0.20711898935290876</v>
      </c>
      <c r="D29" s="772">
        <f>IF(Select2=1,Paper!$K31,"")</f>
        <v>2.6044868230900339E-2</v>
      </c>
      <c r="E29" s="764">
        <f>IF(Select2=1,Nappies!$K31,"")</f>
        <v>5.8614807181435427E-2</v>
      </c>
      <c r="F29" s="772">
        <f>IF(Select2=1,Garden!$K31,"")</f>
        <v>0</v>
      </c>
      <c r="G29" s="764">
        <f>IF(Select2=1,Wood!$K31,"")</f>
        <v>0</v>
      </c>
      <c r="H29" s="772">
        <f>IF(Select2=1,Textiles!$K31,"")</f>
        <v>6.166446675368125E-3</v>
      </c>
      <c r="I29" s="773">
        <f>Sludge!K31</f>
        <v>0</v>
      </c>
      <c r="J29" s="773" t="str">
        <f>IF(Select2=2,MSW!$K31,"")</f>
        <v/>
      </c>
      <c r="K29" s="773">
        <f>Industry!$K31</f>
        <v>0</v>
      </c>
      <c r="L29" s="774">
        <f>SUM(C29:K29)</f>
        <v>0.29794511144061264</v>
      </c>
      <c r="M29" s="775">
        <f>Recovery_OX!C24</f>
        <v>0</v>
      </c>
      <c r="N29" s="769"/>
      <c r="O29" s="776">
        <f>(L29-M29)*(1-Recovery_OX!F24)</f>
        <v>0.29794511144061264</v>
      </c>
      <c r="P29" s="640"/>
      <c r="Q29" s="650"/>
      <c r="S29" s="687">
        <f t="shared" si="2"/>
        <v>2012</v>
      </c>
      <c r="T29" s="688">
        <f>IF(Select2=1,Food!$W31,"")</f>
        <v>0.13857202677491667</v>
      </c>
      <c r="U29" s="689">
        <f>IF(Select2=1,Paper!$W31,"")</f>
        <v>5.3811711220868474E-2</v>
      </c>
      <c r="V29" s="681">
        <f>IF(Select2=1,Nappies!$W31,"")</f>
        <v>0</v>
      </c>
      <c r="W29" s="689">
        <f>IF(Select2=1,Garden!$W31,"")</f>
        <v>0</v>
      </c>
      <c r="X29" s="681">
        <f>IF(Select2=1,Wood!$W31,"")</f>
        <v>2.588178826962069E-2</v>
      </c>
      <c r="Y29" s="689">
        <f>IF(Select2=1,Textiles!$W31,"")</f>
        <v>6.7577497812253426E-3</v>
      </c>
      <c r="Z29" s="683">
        <f>Sludge!W31</f>
        <v>0</v>
      </c>
      <c r="AA29" s="683" t="str">
        <f>IF(Select2=2,MSW!$W31,"")</f>
        <v/>
      </c>
      <c r="AB29" s="690">
        <f>Industry!$W31</f>
        <v>0</v>
      </c>
      <c r="AC29" s="691">
        <f t="shared" si="0"/>
        <v>0.22502327604663119</v>
      </c>
      <c r="AD29" s="692">
        <f>Recovery_OX!R24</f>
        <v>0</v>
      </c>
      <c r="AE29" s="648"/>
      <c r="AF29" s="694">
        <f>(AC29-AD29)*(1-Recovery_OX!U24)</f>
        <v>0.22502327604663119</v>
      </c>
    </row>
    <row r="30" spans="2:32">
      <c r="B30" s="687">
        <f t="shared" si="1"/>
        <v>2013</v>
      </c>
      <c r="C30" s="771">
        <f>IF(Select2=1,Food!$K32,"")</f>
        <v>0.2099648526349315</v>
      </c>
      <c r="D30" s="772">
        <f>IF(Select2=1,Paper!$K32,"")</f>
        <v>2.801923920459708E-2</v>
      </c>
      <c r="E30" s="764">
        <f>IF(Select2=1,Nappies!$K32,"")</f>
        <v>6.122944440015568E-2</v>
      </c>
      <c r="F30" s="772">
        <f>IF(Select2=1,Garden!$K32,"")</f>
        <v>0</v>
      </c>
      <c r="G30" s="764">
        <f>IF(Select2=1,Wood!$K32,"")</f>
        <v>0</v>
      </c>
      <c r="H30" s="772">
        <f>IF(Select2=1,Textiles!$K32,"")</f>
        <v>6.6339035739310069E-3</v>
      </c>
      <c r="I30" s="773">
        <f>Sludge!K32</f>
        <v>0</v>
      </c>
      <c r="J30" s="773" t="str">
        <f>IF(Select2=2,MSW!$K32,"")</f>
        <v/>
      </c>
      <c r="K30" s="773">
        <f>Industry!$K32</f>
        <v>0</v>
      </c>
      <c r="L30" s="774">
        <f t="shared" si="3"/>
        <v>0.30584743981361528</v>
      </c>
      <c r="M30" s="775">
        <f>Recovery_OX!C25</f>
        <v>0</v>
      </c>
      <c r="N30" s="769"/>
      <c r="O30" s="776">
        <f>(L30-M30)*(1-Recovery_OX!F25)</f>
        <v>0.30584743981361528</v>
      </c>
      <c r="P30" s="640"/>
      <c r="Q30" s="650"/>
      <c r="S30" s="687">
        <f t="shared" si="2"/>
        <v>2013</v>
      </c>
      <c r="T30" s="688">
        <f>IF(Select2=1,Food!$W32,"")</f>
        <v>0.14047603878340645</v>
      </c>
      <c r="U30" s="689">
        <f>IF(Select2=1,Paper!$W32,"")</f>
        <v>5.7890990092142727E-2</v>
      </c>
      <c r="V30" s="681">
        <f>IF(Select2=1,Nappies!$W32,"")</f>
        <v>0</v>
      </c>
      <c r="W30" s="689">
        <f>IF(Select2=1,Garden!$W32,"")</f>
        <v>0</v>
      </c>
      <c r="X30" s="681">
        <f>IF(Select2=1,Wood!$W32,"")</f>
        <v>2.8230677670145754E-2</v>
      </c>
      <c r="Y30" s="689">
        <f>IF(Select2=1,Textiles!$W32,"")</f>
        <v>7.2700313138969932E-3</v>
      </c>
      <c r="Z30" s="683">
        <f>Sludge!W32</f>
        <v>0</v>
      </c>
      <c r="AA30" s="683" t="str">
        <f>IF(Select2=2,MSW!$W32,"")</f>
        <v/>
      </c>
      <c r="AB30" s="690">
        <f>Industry!$W32</f>
        <v>0</v>
      </c>
      <c r="AC30" s="691">
        <f t="shared" si="0"/>
        <v>0.23386773785959195</v>
      </c>
      <c r="AD30" s="692">
        <f>Recovery_OX!R25</f>
        <v>0</v>
      </c>
      <c r="AE30" s="648"/>
      <c r="AF30" s="694">
        <f>(AC30-AD30)*(1-Recovery_OX!U25)</f>
        <v>0.23386773785959195</v>
      </c>
    </row>
    <row r="31" spans="2:32">
      <c r="B31" s="687">
        <f t="shared" si="1"/>
        <v>2014</v>
      </c>
      <c r="C31" s="771">
        <f>IF(Select2=1,Food!$K33,"")</f>
        <v>0.21291563541845415</v>
      </c>
      <c r="D31" s="772">
        <f>IF(Select2=1,Paper!$K33,"")</f>
        <v>2.9914908747394171E-2</v>
      </c>
      <c r="E31" s="764">
        <f>IF(Select2=1,Nappies!$K33,"")</f>
        <v>6.3608055518280845E-2</v>
      </c>
      <c r="F31" s="772">
        <f>IF(Select2=1,Garden!$K33,"")</f>
        <v>0</v>
      </c>
      <c r="G31" s="764">
        <f>IF(Select2=1,Wood!$K33,"")</f>
        <v>0</v>
      </c>
      <c r="H31" s="772">
        <f>IF(Select2=1,Textiles!$K33,"")</f>
        <v>7.0827269293092833E-3</v>
      </c>
      <c r="I31" s="773">
        <f>Sludge!K33</f>
        <v>0</v>
      </c>
      <c r="J31" s="773" t="str">
        <f>IF(Select2=2,MSW!$K33,"")</f>
        <v/>
      </c>
      <c r="K31" s="773">
        <f>Industry!$K33</f>
        <v>0</v>
      </c>
      <c r="L31" s="774">
        <f t="shared" si="3"/>
        <v>0.31352132661343846</v>
      </c>
      <c r="M31" s="775">
        <f>Recovery_OX!C26</f>
        <v>0</v>
      </c>
      <c r="N31" s="769"/>
      <c r="O31" s="776">
        <f>(L31-M31)*(1-Recovery_OX!F26)</f>
        <v>0.31352132661343846</v>
      </c>
      <c r="P31" s="640"/>
      <c r="Q31" s="650"/>
      <c r="S31" s="687">
        <f t="shared" si="2"/>
        <v>2014</v>
      </c>
      <c r="T31" s="688">
        <f>IF(Select2=1,Food!$W33,"")</f>
        <v>0.14245024671172224</v>
      </c>
      <c r="U31" s="689">
        <f>IF(Select2=1,Paper!$W33,"")</f>
        <v>6.1807662701227631E-2</v>
      </c>
      <c r="V31" s="681">
        <f>IF(Select2=1,Nappies!$W33,"")</f>
        <v>0</v>
      </c>
      <c r="W31" s="689">
        <f>IF(Select2=1,Garden!$W33,"")</f>
        <v>0</v>
      </c>
      <c r="X31" s="681">
        <f>IF(Select2=1,Wood!$W33,"")</f>
        <v>3.0546280926652722E-2</v>
      </c>
      <c r="Y31" s="689">
        <f>IF(Select2=1,Textiles!$W33,"")</f>
        <v>7.7618925252704481E-3</v>
      </c>
      <c r="Z31" s="683">
        <f>Sludge!W33</f>
        <v>0</v>
      </c>
      <c r="AA31" s="683" t="str">
        <f>IF(Select2=2,MSW!$W33,"")</f>
        <v/>
      </c>
      <c r="AB31" s="690">
        <f>Industry!$W33</f>
        <v>0</v>
      </c>
      <c r="AC31" s="691">
        <f t="shared" si="0"/>
        <v>0.24256608286487305</v>
      </c>
      <c r="AD31" s="692">
        <f>Recovery_OX!R26</f>
        <v>0</v>
      </c>
      <c r="AE31" s="648"/>
      <c r="AF31" s="694">
        <f>(AC31-AD31)*(1-Recovery_OX!U26)</f>
        <v>0.24256608286487305</v>
      </c>
    </row>
    <row r="32" spans="2:32">
      <c r="B32" s="687">
        <f t="shared" si="1"/>
        <v>2015</v>
      </c>
      <c r="C32" s="771">
        <f>IF(Select2=1,Food!$K34,"")</f>
        <v>0.21581326194223066</v>
      </c>
      <c r="D32" s="772">
        <f>IF(Select2=1,Paper!$K34,"")</f>
        <v>3.1730712988509928E-2</v>
      </c>
      <c r="E32" s="764">
        <f>IF(Select2=1,Nappies!$K34,"")</f>
        <v>6.5767091742588685E-2</v>
      </c>
      <c r="F32" s="772">
        <f>IF(Select2=1,Garden!$K34,"")</f>
        <v>0</v>
      </c>
      <c r="G32" s="764">
        <f>IF(Select2=1,Wood!$K34,"")</f>
        <v>0</v>
      </c>
      <c r="H32" s="772">
        <f>IF(Select2=1,Textiles!$K34,"")</f>
        <v>7.5126411806113146E-3</v>
      </c>
      <c r="I32" s="773">
        <f>Sludge!K34</f>
        <v>0</v>
      </c>
      <c r="J32" s="773" t="str">
        <f>IF(Select2=2,MSW!$K34,"")</f>
        <v/>
      </c>
      <c r="K32" s="773">
        <f>Industry!$K34</f>
        <v>0</v>
      </c>
      <c r="L32" s="774">
        <f t="shared" si="3"/>
        <v>0.3208237078539406</v>
      </c>
      <c r="M32" s="775">
        <f>Recovery_OX!C27</f>
        <v>0</v>
      </c>
      <c r="N32" s="769"/>
      <c r="O32" s="776">
        <f>(L32-M32)*(1-Recovery_OX!F27)</f>
        <v>0.3208237078539406</v>
      </c>
      <c r="P32" s="640"/>
      <c r="Q32" s="650"/>
      <c r="S32" s="687">
        <f t="shared" si="2"/>
        <v>2015</v>
      </c>
      <c r="T32" s="688">
        <f>IF(Select2=1,Food!$W34,"")</f>
        <v>0.14438889068391886</v>
      </c>
      <c r="U32" s="689">
        <f>IF(Select2=1,Paper!$W34,"")</f>
        <v>6.5559324356425475E-2</v>
      </c>
      <c r="V32" s="681">
        <f>IF(Select2=1,Nappies!$W34,"")</f>
        <v>0</v>
      </c>
      <c r="W32" s="689">
        <f>IF(Select2=1,Garden!$W34,"")</f>
        <v>0</v>
      </c>
      <c r="X32" s="681">
        <f>IF(Select2=1,Wood!$W34,"")</f>
        <v>3.2824119570658727E-2</v>
      </c>
      <c r="Y32" s="689">
        <f>IF(Select2=1,Textiles!$W34,"")</f>
        <v>8.2330314308069197E-3</v>
      </c>
      <c r="Z32" s="683">
        <f>Sludge!W34</f>
        <v>0</v>
      </c>
      <c r="AA32" s="683" t="str">
        <f>IF(Select2=2,MSW!$W34,"")</f>
        <v/>
      </c>
      <c r="AB32" s="690">
        <f>Industry!$W34</f>
        <v>0</v>
      </c>
      <c r="AC32" s="691">
        <f t="shared" si="0"/>
        <v>0.25100536604181001</v>
      </c>
      <c r="AD32" s="692">
        <f>Recovery_OX!R27</f>
        <v>0</v>
      </c>
      <c r="AE32" s="648"/>
      <c r="AF32" s="694">
        <f>(AC32-AD32)*(1-Recovery_OX!U27)</f>
        <v>0.25100536604181001</v>
      </c>
    </row>
    <row r="33" spans="2:32">
      <c r="B33" s="687">
        <f t="shared" si="1"/>
        <v>2016</v>
      </c>
      <c r="C33" s="771">
        <f>IF(Select2=1,Food!$K35,"")</f>
        <v>0.2187723157197371</v>
      </c>
      <c r="D33" s="772">
        <f>IF(Select2=1,Paper!$K35,"")</f>
        <v>3.347714814052917E-2</v>
      </c>
      <c r="E33" s="764">
        <f>IF(Select2=1,Nappies!$K35,"")</f>
        <v>6.7756952305126947E-2</v>
      </c>
      <c r="F33" s="772">
        <f>IF(Select2=1,Garden!$K35,"")</f>
        <v>0</v>
      </c>
      <c r="G33" s="764">
        <f>IF(Select2=1,Wood!$K35,"")</f>
        <v>0</v>
      </c>
      <c r="H33" s="772">
        <f>IF(Select2=1,Textiles!$K35,"")</f>
        <v>7.926131436789231E-3</v>
      </c>
      <c r="I33" s="773">
        <f>Sludge!K35</f>
        <v>0</v>
      </c>
      <c r="J33" s="773" t="str">
        <f>IF(Select2=2,MSW!$K35,"")</f>
        <v/>
      </c>
      <c r="K33" s="773">
        <f>Industry!$K35</f>
        <v>0</v>
      </c>
      <c r="L33" s="774">
        <f t="shared" si="3"/>
        <v>0.32793254760218243</v>
      </c>
      <c r="M33" s="775">
        <f>Recovery_OX!C28</f>
        <v>0</v>
      </c>
      <c r="N33" s="769"/>
      <c r="O33" s="776">
        <f>(L33-M33)*(1-Recovery_OX!F28)</f>
        <v>0.32793254760218243</v>
      </c>
      <c r="P33" s="640"/>
      <c r="Q33" s="650"/>
      <c r="S33" s="687">
        <f t="shared" si="2"/>
        <v>2016</v>
      </c>
      <c r="T33" s="688">
        <f>IF(Select2=1,Food!$W35,"")</f>
        <v>0.14636863228349939</v>
      </c>
      <c r="U33" s="689">
        <f>IF(Select2=1,Paper!$W35,"")</f>
        <v>6.9167661447374323E-2</v>
      </c>
      <c r="V33" s="681">
        <f>IF(Select2=1,Nappies!$W35,"")</f>
        <v>0</v>
      </c>
      <c r="W33" s="689">
        <f>IF(Select2=1,Garden!$W35,"")</f>
        <v>0</v>
      </c>
      <c r="X33" s="681">
        <f>IF(Select2=1,Wood!$W35,"")</f>
        <v>3.5069912395128508E-2</v>
      </c>
      <c r="Y33" s="689">
        <f>IF(Select2=1,Textiles!$W35,"")</f>
        <v>8.6861714375772395E-3</v>
      </c>
      <c r="Z33" s="683">
        <f>Sludge!W35</f>
        <v>0</v>
      </c>
      <c r="AA33" s="683" t="str">
        <f>IF(Select2=2,MSW!$W35,"")</f>
        <v/>
      </c>
      <c r="AB33" s="690">
        <f>Industry!$W35</f>
        <v>0</v>
      </c>
      <c r="AC33" s="691">
        <f t="shared" si="0"/>
        <v>0.25929237756357942</v>
      </c>
      <c r="AD33" s="692">
        <f>Recovery_OX!R28</f>
        <v>0</v>
      </c>
      <c r="AE33" s="648"/>
      <c r="AF33" s="694">
        <f>(AC33-AD33)*(1-Recovery_OX!U28)</f>
        <v>0.25929237756357942</v>
      </c>
    </row>
    <row r="34" spans="2:32">
      <c r="B34" s="687">
        <f t="shared" si="1"/>
        <v>2017</v>
      </c>
      <c r="C34" s="771">
        <f>IF(Select2=1,Food!$K36,"")</f>
        <v>0.22160437395108118</v>
      </c>
      <c r="D34" s="772">
        <f>IF(Select2=1,Paper!$K36,"")</f>
        <v>3.5150072850821758E-2</v>
      </c>
      <c r="E34" s="764">
        <f>IF(Select2=1,Nappies!$K36,"")</f>
        <v>6.9576237874584043E-2</v>
      </c>
      <c r="F34" s="772">
        <f>IF(Select2=1,Garden!$K36,"")</f>
        <v>0</v>
      </c>
      <c r="G34" s="764">
        <f>IF(Select2=1,Wood!$K36,"")</f>
        <v>0</v>
      </c>
      <c r="H34" s="772">
        <f>IF(Select2=1,Textiles!$K36,"")</f>
        <v>8.3222171810697753E-3</v>
      </c>
      <c r="I34" s="773">
        <f>Sludge!K36</f>
        <v>0</v>
      </c>
      <c r="J34" s="773" t="str">
        <f>IF(Select2=2,MSW!$K36,"")</f>
        <v/>
      </c>
      <c r="K34" s="773">
        <f>Industry!$K36</f>
        <v>0</v>
      </c>
      <c r="L34" s="774">
        <f t="shared" si="3"/>
        <v>0.33465290185755681</v>
      </c>
      <c r="M34" s="775">
        <f>Recovery_OX!C29</f>
        <v>0</v>
      </c>
      <c r="N34" s="769"/>
      <c r="O34" s="776">
        <f>(L34-M34)*(1-Recovery_OX!F29)</f>
        <v>0.33465290185755681</v>
      </c>
      <c r="P34" s="640"/>
      <c r="Q34" s="650"/>
      <c r="S34" s="687">
        <f t="shared" si="2"/>
        <v>2017</v>
      </c>
      <c r="T34" s="688">
        <f>IF(Select2=1,Food!$W36,"")</f>
        <v>0.14826340808502311</v>
      </c>
      <c r="U34" s="689">
        <f>IF(Select2=1,Paper!$W36,"")</f>
        <v>7.2624117460375531E-2</v>
      </c>
      <c r="V34" s="681">
        <f>IF(Select2=1,Nappies!$W36,"")</f>
        <v>0</v>
      </c>
      <c r="W34" s="689">
        <f>IF(Select2=1,Garden!$W36,"")</f>
        <v>0</v>
      </c>
      <c r="X34" s="681">
        <f>IF(Select2=1,Wood!$W36,"")</f>
        <v>3.727710336905625E-2</v>
      </c>
      <c r="Y34" s="689">
        <f>IF(Select2=1,Textiles!$W36,"")</f>
        <v>9.1202380066518103E-3</v>
      </c>
      <c r="Z34" s="683">
        <f>Sludge!W36</f>
        <v>0</v>
      </c>
      <c r="AA34" s="683" t="str">
        <f>IF(Select2=2,MSW!$W36,"")</f>
        <v/>
      </c>
      <c r="AB34" s="690">
        <f>Industry!$W36</f>
        <v>0</v>
      </c>
      <c r="AC34" s="691">
        <f t="shared" si="0"/>
        <v>0.2672848669211067</v>
      </c>
      <c r="AD34" s="692">
        <f>Recovery_OX!R29</f>
        <v>0</v>
      </c>
      <c r="AE34" s="648"/>
      <c r="AF34" s="694">
        <f>(AC34-AD34)*(1-Recovery_OX!U29)</f>
        <v>0.2672848669211067</v>
      </c>
    </row>
    <row r="35" spans="2:32">
      <c r="B35" s="687">
        <f t="shared" si="1"/>
        <v>2018</v>
      </c>
      <c r="C35" s="771">
        <f>IF(Select2=1,Food!$K37,"")</f>
        <v>0.22459005365036644</v>
      </c>
      <c r="D35" s="772">
        <f>IF(Select2=1,Paper!$K37,"")</f>
        <v>3.6766994232428074E-2</v>
      </c>
      <c r="E35" s="764">
        <f>IF(Select2=1,Nappies!$K37,"")</f>
        <v>7.1291149687473854E-2</v>
      </c>
      <c r="F35" s="772">
        <f>IF(Select2=1,Garden!$K37,"")</f>
        <v>0</v>
      </c>
      <c r="G35" s="764">
        <f>IF(Select2=1,Wood!$K37,"")</f>
        <v>0</v>
      </c>
      <c r="H35" s="772">
        <f>IF(Select2=1,Textiles!$K37,"")</f>
        <v>8.7050434403367905E-3</v>
      </c>
      <c r="I35" s="773">
        <f>Sludge!K37</f>
        <v>0</v>
      </c>
      <c r="J35" s="773" t="str">
        <f>IF(Select2=2,MSW!$K37,"")</f>
        <v/>
      </c>
      <c r="K35" s="773">
        <f>Industry!$K37</f>
        <v>0</v>
      </c>
      <c r="L35" s="774">
        <f t="shared" si="3"/>
        <v>0.34135324101060516</v>
      </c>
      <c r="M35" s="775">
        <f>Recovery_OX!C30</f>
        <v>0</v>
      </c>
      <c r="N35" s="769"/>
      <c r="O35" s="776">
        <f>(L35-M35)*(1-Recovery_OX!F30)</f>
        <v>0.34135324101060516</v>
      </c>
      <c r="P35" s="640"/>
      <c r="Q35" s="650"/>
      <c r="S35" s="687">
        <f t="shared" si="2"/>
        <v>2018</v>
      </c>
      <c r="T35" s="688">
        <f>IF(Select2=1,Food!$W37,"")</f>
        <v>0.15026096363762251</v>
      </c>
      <c r="U35" s="689">
        <f>IF(Select2=1,Paper!$W37,"")</f>
        <v>7.5964864116586928E-2</v>
      </c>
      <c r="V35" s="681">
        <f>IF(Select2=1,Nappies!$W37,"")</f>
        <v>0</v>
      </c>
      <c r="W35" s="689">
        <f>IF(Select2=1,Garden!$W37,"")</f>
        <v>0</v>
      </c>
      <c r="X35" s="681">
        <f>IF(Select2=1,Wood!$W37,"")</f>
        <v>3.9457892403635716E-2</v>
      </c>
      <c r="Y35" s="689">
        <f>IF(Select2=1,Textiles!$W37,"")</f>
        <v>9.5397736332457975E-3</v>
      </c>
      <c r="Z35" s="683">
        <f>Sludge!W37</f>
        <v>0</v>
      </c>
      <c r="AA35" s="683" t="str">
        <f>IF(Select2=2,MSW!$W37,"")</f>
        <v/>
      </c>
      <c r="AB35" s="690">
        <f>Industry!$W37</f>
        <v>0</v>
      </c>
      <c r="AC35" s="691">
        <f t="shared" si="0"/>
        <v>0.27522349379109096</v>
      </c>
      <c r="AD35" s="692">
        <f>Recovery_OX!R30</f>
        <v>0</v>
      </c>
      <c r="AE35" s="648"/>
      <c r="AF35" s="694">
        <f>(AC35-AD35)*(1-Recovery_OX!U30)</f>
        <v>0.27522349379109096</v>
      </c>
    </row>
    <row r="36" spans="2:32">
      <c r="B36" s="687">
        <f t="shared" si="1"/>
        <v>2019</v>
      </c>
      <c r="C36" s="771">
        <f>IF(Select2=1,Food!$K38,"")</f>
        <v>0.22635917945054607</v>
      </c>
      <c r="D36" s="772">
        <f>IF(Select2=1,Paper!$K38,"")</f>
        <v>3.8262406449217121E-2</v>
      </c>
      <c r="E36" s="764">
        <f>IF(Select2=1,Nappies!$K38,"")</f>
        <v>7.269950473015771E-2</v>
      </c>
      <c r="F36" s="772">
        <f>IF(Select2=1,Garden!$K38,"")</f>
        <v>0</v>
      </c>
      <c r="G36" s="764">
        <f>IF(Select2=1,Wood!$K38,"")</f>
        <v>0</v>
      </c>
      <c r="H36" s="772">
        <f>IF(Select2=1,Textiles!$K38,"")</f>
        <v>9.0591008926829402E-3</v>
      </c>
      <c r="I36" s="773">
        <f>Sludge!K38</f>
        <v>0</v>
      </c>
      <c r="J36" s="773" t="str">
        <f>IF(Select2=2,MSW!$K38,"")</f>
        <v/>
      </c>
      <c r="K36" s="773">
        <f>Industry!$K38</f>
        <v>0</v>
      </c>
      <c r="L36" s="774">
        <f t="shared" si="3"/>
        <v>0.3463801915226038</v>
      </c>
      <c r="M36" s="775">
        <f>Recovery_OX!C31</f>
        <v>0</v>
      </c>
      <c r="N36" s="769"/>
      <c r="O36" s="776">
        <f>(L36-M36)*(1-Recovery_OX!F31)</f>
        <v>0.3463801915226038</v>
      </c>
      <c r="P36" s="640"/>
      <c r="Q36" s="650"/>
      <c r="S36" s="687">
        <f t="shared" si="2"/>
        <v>2019</v>
      </c>
      <c r="T36" s="688">
        <f>IF(Select2=1,Food!$W38,"")</f>
        <v>0.15144458928448667</v>
      </c>
      <c r="U36" s="689">
        <f>IF(Select2=1,Paper!$W38,"")</f>
        <v>7.9054558779374229E-2</v>
      </c>
      <c r="V36" s="681">
        <f>IF(Select2=1,Nappies!$W38,"")</f>
        <v>0</v>
      </c>
      <c r="W36" s="689">
        <f>IF(Select2=1,Garden!$W38,"")</f>
        <v>0</v>
      </c>
      <c r="X36" s="681">
        <f>IF(Select2=1,Wood!$W38,"")</f>
        <v>4.1553098525526071E-2</v>
      </c>
      <c r="Y36" s="689">
        <f>IF(Select2=1,Textiles!$W38,"")</f>
        <v>9.9277818002004824E-3</v>
      </c>
      <c r="Z36" s="683">
        <f>Sludge!W38</f>
        <v>0</v>
      </c>
      <c r="AA36" s="683" t="str">
        <f>IF(Select2=2,MSW!$W38,"")</f>
        <v/>
      </c>
      <c r="AB36" s="690">
        <f>Industry!$W38</f>
        <v>0</v>
      </c>
      <c r="AC36" s="691">
        <f t="shared" si="0"/>
        <v>0.28198002838958747</v>
      </c>
      <c r="AD36" s="692">
        <f>Recovery_OX!R31</f>
        <v>0</v>
      </c>
      <c r="AE36" s="648"/>
      <c r="AF36" s="694">
        <f>(AC36-AD36)*(1-Recovery_OX!U31)</f>
        <v>0.28198002838958747</v>
      </c>
    </row>
    <row r="37" spans="2:32">
      <c r="B37" s="687">
        <f t="shared" si="1"/>
        <v>2020</v>
      </c>
      <c r="C37" s="771">
        <f>IF(Select2=1,Food!$K39,"")</f>
        <v>0.2272808047020034</v>
      </c>
      <c r="D37" s="772">
        <f>IF(Select2=1,Paper!$K39,"")</f>
        <v>3.964284281178853E-2</v>
      </c>
      <c r="E37" s="764">
        <f>IF(Select2=1,Nappies!$K39,"")</f>
        <v>7.3843926419984704E-2</v>
      </c>
      <c r="F37" s="772">
        <f>IF(Select2=1,Garden!$K39,"")</f>
        <v>0</v>
      </c>
      <c r="G37" s="764">
        <f>IF(Select2=1,Wood!$K39,"")</f>
        <v>0</v>
      </c>
      <c r="H37" s="772">
        <f>IF(Select2=1,Textiles!$K39,"")</f>
        <v>9.3859363806980591E-3</v>
      </c>
      <c r="I37" s="773">
        <f>Sludge!K39</f>
        <v>0</v>
      </c>
      <c r="J37" s="773" t="str">
        <f>IF(Select2=2,MSW!$K39,"")</f>
        <v/>
      </c>
      <c r="K37" s="773">
        <f>Industry!$K39</f>
        <v>0</v>
      </c>
      <c r="L37" s="774">
        <f t="shared" si="3"/>
        <v>0.35015351031447473</v>
      </c>
      <c r="M37" s="775">
        <f>Recovery_OX!C32</f>
        <v>0</v>
      </c>
      <c r="N37" s="769"/>
      <c r="O37" s="776">
        <f>(L37-M37)*(1-Recovery_OX!F32)</f>
        <v>0.35015351031447473</v>
      </c>
      <c r="P37" s="640"/>
      <c r="Q37" s="650"/>
      <c r="S37" s="687">
        <f t="shared" si="2"/>
        <v>2020</v>
      </c>
      <c r="T37" s="688">
        <f>IF(Select2=1,Food!$W39,"")</f>
        <v>0.15206119850713876</v>
      </c>
      <c r="U37" s="689">
        <f>IF(Select2=1,Paper!$W39,"")</f>
        <v>8.1906700024356488E-2</v>
      </c>
      <c r="V37" s="681">
        <f>IF(Select2=1,Nappies!$W39,"")</f>
        <v>0</v>
      </c>
      <c r="W37" s="689">
        <f>IF(Select2=1,Garden!$W39,"")</f>
        <v>0</v>
      </c>
      <c r="X37" s="681">
        <f>IF(Select2=1,Wood!$W39,"")</f>
        <v>4.3564207184954726E-2</v>
      </c>
      <c r="Y37" s="689">
        <f>IF(Select2=1,Textiles!$W39,"")</f>
        <v>1.0285957677477323E-2</v>
      </c>
      <c r="Z37" s="683">
        <f>Sludge!W39</f>
        <v>0</v>
      </c>
      <c r="AA37" s="683" t="str">
        <f>IF(Select2=2,MSW!$W39,"")</f>
        <v/>
      </c>
      <c r="AB37" s="690">
        <f>Industry!$W39</f>
        <v>0</v>
      </c>
      <c r="AC37" s="691">
        <f t="shared" si="0"/>
        <v>0.28781806339392729</v>
      </c>
      <c r="AD37" s="692">
        <f>Recovery_OX!R32</f>
        <v>0</v>
      </c>
      <c r="AE37" s="648"/>
      <c r="AF37" s="694">
        <f>(AC37-AD37)*(1-Recovery_OX!U32)</f>
        <v>0.28781806339392729</v>
      </c>
    </row>
    <row r="38" spans="2:32">
      <c r="B38" s="687">
        <f t="shared" si="1"/>
        <v>2021</v>
      </c>
      <c r="C38" s="771">
        <f>IF(Select2=1,Food!$K40,"")</f>
        <v>0.22760396896679116</v>
      </c>
      <c r="D38" s="772">
        <f>IF(Select2=1,Paper!$K40,"")</f>
        <v>4.0914481883957417E-2</v>
      </c>
      <c r="E38" s="764">
        <f>IF(Select2=1,Nappies!$K40,"")</f>
        <v>7.4760648801709489E-2</v>
      </c>
      <c r="F38" s="772">
        <f>IF(Select2=1,Garden!$K40,"")</f>
        <v>0</v>
      </c>
      <c r="G38" s="764">
        <f>IF(Select2=1,Wood!$K40,"")</f>
        <v>0</v>
      </c>
      <c r="H38" s="772">
        <f>IF(Select2=1,Textiles!$K40,"")</f>
        <v>9.6870127562560145E-3</v>
      </c>
      <c r="I38" s="773">
        <f>Sludge!K40</f>
        <v>0</v>
      </c>
      <c r="J38" s="773" t="str">
        <f>IF(Select2=2,MSW!$K40,"")</f>
        <v/>
      </c>
      <c r="K38" s="773">
        <f>Industry!$K40</f>
        <v>0</v>
      </c>
      <c r="L38" s="774">
        <f t="shared" si="3"/>
        <v>0.35296611240871406</v>
      </c>
      <c r="M38" s="775">
        <f>Recovery_OX!C33</f>
        <v>0</v>
      </c>
      <c r="N38" s="769"/>
      <c r="O38" s="776">
        <f>(L38-M38)*(1-Recovery_OX!F33)</f>
        <v>0.35296611240871406</v>
      </c>
      <c r="P38" s="640"/>
      <c r="Q38" s="650"/>
      <c r="S38" s="687">
        <f t="shared" si="2"/>
        <v>2021</v>
      </c>
      <c r="T38" s="688">
        <f>IF(Select2=1,Food!$W40,"")</f>
        <v>0.15227741010267032</v>
      </c>
      <c r="U38" s="689">
        <f>IF(Select2=1,Paper!$W40,"")</f>
        <v>8.4534053479250873E-2</v>
      </c>
      <c r="V38" s="681">
        <f>IF(Select2=1,Nappies!$W40,"")</f>
        <v>0</v>
      </c>
      <c r="W38" s="689">
        <f>IF(Select2=1,Garden!$W40,"")</f>
        <v>0</v>
      </c>
      <c r="X38" s="681">
        <f>IF(Select2=1,Wood!$W40,"")</f>
        <v>4.5492728138528615E-2</v>
      </c>
      <c r="Y38" s="689">
        <f>IF(Select2=1,Textiles!$W40,"")</f>
        <v>1.0615904390417548E-2</v>
      </c>
      <c r="Z38" s="683">
        <f>Sludge!W40</f>
        <v>0</v>
      </c>
      <c r="AA38" s="683" t="str">
        <f>IF(Select2=2,MSW!$W40,"")</f>
        <v/>
      </c>
      <c r="AB38" s="690">
        <f>Industry!$W40</f>
        <v>0</v>
      </c>
      <c r="AC38" s="691">
        <f t="shared" si="0"/>
        <v>0.29292009611086733</v>
      </c>
      <c r="AD38" s="692">
        <f>Recovery_OX!R33</f>
        <v>0</v>
      </c>
      <c r="AE38" s="648"/>
      <c r="AF38" s="694">
        <f>(AC38-AD38)*(1-Recovery_OX!U33)</f>
        <v>0.29292009611086733</v>
      </c>
    </row>
    <row r="39" spans="2:32">
      <c r="B39" s="687">
        <f t="shared" si="1"/>
        <v>2022</v>
      </c>
      <c r="C39" s="771">
        <f>IF(Select2=1,Food!$K41,"")</f>
        <v>0.22749720348482566</v>
      </c>
      <c r="D39" s="772">
        <f>IF(Select2=1,Paper!$K41,"")</f>
        <v>4.2083168279674996E-2</v>
      </c>
      <c r="E39" s="764">
        <f>IF(Select2=1,Nappies!$K41,"")</f>
        <v>7.5480505384244501E-2</v>
      </c>
      <c r="F39" s="772">
        <f>IF(Select2=1,Garden!$K41,"")</f>
        <v>0</v>
      </c>
      <c r="G39" s="764">
        <f>IF(Select2=1,Wood!$K41,"")</f>
        <v>0</v>
      </c>
      <c r="H39" s="772">
        <f>IF(Select2=1,Textiles!$K41,"")</f>
        <v>9.9637138044444806E-3</v>
      </c>
      <c r="I39" s="773">
        <f>Sludge!K41</f>
        <v>0</v>
      </c>
      <c r="J39" s="773" t="str">
        <f>IF(Select2=2,MSW!$K41,"")</f>
        <v/>
      </c>
      <c r="K39" s="773">
        <f>Industry!$K41</f>
        <v>0</v>
      </c>
      <c r="L39" s="774">
        <f t="shared" si="3"/>
        <v>0.35502459095318967</v>
      </c>
      <c r="M39" s="775">
        <f>Recovery_OX!C34</f>
        <v>0</v>
      </c>
      <c r="N39" s="769"/>
      <c r="O39" s="776">
        <f>(L39-M39)*(1-Recovery_OX!F34)</f>
        <v>0.35502459095318967</v>
      </c>
      <c r="P39" s="640"/>
      <c r="Q39" s="650"/>
      <c r="S39" s="687">
        <f t="shared" si="2"/>
        <v>2022</v>
      </c>
      <c r="T39" s="688">
        <f>IF(Select2=1,Food!$W41,"")</f>
        <v>0.15220597913792977</v>
      </c>
      <c r="U39" s="689">
        <f>IF(Select2=1,Paper!$W41,"")</f>
        <v>8.6948694792716955E-2</v>
      </c>
      <c r="V39" s="681">
        <f>IF(Select2=1,Nappies!$W41,"")</f>
        <v>0</v>
      </c>
      <c r="W39" s="689">
        <f>IF(Select2=1,Garden!$W41,"")</f>
        <v>0</v>
      </c>
      <c r="X39" s="681">
        <f>IF(Select2=1,Wood!$W41,"")</f>
        <v>4.7340191850237918E-2</v>
      </c>
      <c r="Y39" s="689">
        <f>IF(Select2=1,Textiles!$W41,"")</f>
        <v>1.0919138415829569E-2</v>
      </c>
      <c r="Z39" s="683">
        <f>Sludge!W41</f>
        <v>0</v>
      </c>
      <c r="AA39" s="683" t="str">
        <f>IF(Select2=2,MSW!$W41,"")</f>
        <v/>
      </c>
      <c r="AB39" s="690">
        <f>Industry!$W41</f>
        <v>0</v>
      </c>
      <c r="AC39" s="691">
        <f t="shared" si="0"/>
        <v>0.29741400419671421</v>
      </c>
      <c r="AD39" s="692">
        <f>Recovery_OX!R34</f>
        <v>0</v>
      </c>
      <c r="AE39" s="648"/>
      <c r="AF39" s="694">
        <f>(AC39-AD39)*(1-Recovery_OX!U34)</f>
        <v>0.29741400419671421</v>
      </c>
    </row>
    <row r="40" spans="2:32">
      <c r="B40" s="687">
        <f t="shared" si="1"/>
        <v>2023</v>
      </c>
      <c r="C40" s="771">
        <f>IF(Select2=1,Food!$K42,"")</f>
        <v>0.22707501443003067</v>
      </c>
      <c r="D40" s="772">
        <f>IF(Select2=1,Paper!$K42,"")</f>
        <v>4.3154432156360507E-2</v>
      </c>
      <c r="E40" s="764">
        <f>IF(Select2=1,Nappies!$K42,"")</f>
        <v>7.6029763710374454E-2</v>
      </c>
      <c r="F40" s="772">
        <f>IF(Select2=1,Garden!$K42,"")</f>
        <v>0</v>
      </c>
      <c r="G40" s="764">
        <f>IF(Select2=1,Wood!$K42,"")</f>
        <v>0</v>
      </c>
      <c r="H40" s="772">
        <f>IF(Select2=1,Textiles!$K42,"")</f>
        <v>1.0217348858853855E-2</v>
      </c>
      <c r="I40" s="773">
        <f>Sludge!K42</f>
        <v>0</v>
      </c>
      <c r="J40" s="773" t="str">
        <f>IF(Select2=2,MSW!$K42,"")</f>
        <v/>
      </c>
      <c r="K40" s="773">
        <f>Industry!$K42</f>
        <v>0</v>
      </c>
      <c r="L40" s="774">
        <f t="shared" si="3"/>
        <v>0.35647655915561949</v>
      </c>
      <c r="M40" s="775">
        <f>Recovery_OX!C35</f>
        <v>0</v>
      </c>
      <c r="N40" s="769"/>
      <c r="O40" s="776">
        <f>(L40-M40)*(1-Recovery_OX!F35)</f>
        <v>0.35647655915561949</v>
      </c>
      <c r="P40" s="640"/>
      <c r="Q40" s="650"/>
      <c r="S40" s="687">
        <f t="shared" si="2"/>
        <v>2023</v>
      </c>
      <c r="T40" s="688">
        <f>IF(Select2=1,Food!$W42,"")</f>
        <v>0.1519235154527413</v>
      </c>
      <c r="U40" s="689">
        <f>IF(Select2=1,Paper!$W42,"")</f>
        <v>8.9162049909835783E-2</v>
      </c>
      <c r="V40" s="681">
        <f>IF(Select2=1,Nappies!$W42,"")</f>
        <v>0</v>
      </c>
      <c r="W40" s="689">
        <f>IF(Select2=1,Garden!$W42,"")</f>
        <v>0</v>
      </c>
      <c r="X40" s="681">
        <f>IF(Select2=1,Wood!$W42,"")</f>
        <v>4.910814610505583E-2</v>
      </c>
      <c r="Y40" s="689">
        <f>IF(Select2=1,Textiles!$W42,"")</f>
        <v>1.119709463983984E-2</v>
      </c>
      <c r="Z40" s="683">
        <f>Sludge!W42</f>
        <v>0</v>
      </c>
      <c r="AA40" s="683" t="str">
        <f>IF(Select2=2,MSW!$W42,"")</f>
        <v/>
      </c>
      <c r="AB40" s="690">
        <f>Industry!$W42</f>
        <v>0</v>
      </c>
      <c r="AC40" s="691">
        <f t="shared" si="0"/>
        <v>0.30139080610747276</v>
      </c>
      <c r="AD40" s="692">
        <f>Recovery_OX!R35</f>
        <v>0</v>
      </c>
      <c r="AE40" s="648"/>
      <c r="AF40" s="694">
        <f>(AC40-AD40)*(1-Recovery_OX!U35)</f>
        <v>0.30139080610747276</v>
      </c>
    </row>
    <row r="41" spans="2:32">
      <c r="B41" s="687">
        <f t="shared" si="1"/>
        <v>2024</v>
      </c>
      <c r="C41" s="771">
        <f>IF(Select2=1,Food!$K43,"")</f>
        <v>0.22641563705957979</v>
      </c>
      <c r="D41" s="772">
        <f>IF(Select2=1,Paper!$K43,"")</f>
        <v>4.413350748970496E-2</v>
      </c>
      <c r="E41" s="764">
        <f>IF(Select2=1,Nappies!$K43,"")</f>
        <v>7.6430829767117833E-2</v>
      </c>
      <c r="F41" s="772">
        <f>IF(Select2=1,Garden!$K43,"")</f>
        <v>0</v>
      </c>
      <c r="G41" s="764">
        <f>IF(Select2=1,Wood!$K43,"")</f>
        <v>0</v>
      </c>
      <c r="H41" s="772">
        <f>IF(Select2=1,Textiles!$K43,"")</f>
        <v>1.0449157128364462E-2</v>
      </c>
      <c r="I41" s="773">
        <f>Sludge!K43</f>
        <v>0</v>
      </c>
      <c r="J41" s="773" t="str">
        <f>IF(Select2=2,MSW!$K43,"")</f>
        <v/>
      </c>
      <c r="K41" s="773">
        <f>Industry!$K43</f>
        <v>0</v>
      </c>
      <c r="L41" s="774">
        <f t="shared" si="3"/>
        <v>0.35742913144476707</v>
      </c>
      <c r="M41" s="775">
        <f>Recovery_OX!C36</f>
        <v>0</v>
      </c>
      <c r="N41" s="769"/>
      <c r="O41" s="776">
        <f>(L41-M41)*(1-Recovery_OX!F36)</f>
        <v>0.35742913144476707</v>
      </c>
      <c r="P41" s="640"/>
      <c r="Q41" s="650"/>
      <c r="S41" s="687">
        <f t="shared" si="2"/>
        <v>2024</v>
      </c>
      <c r="T41" s="688">
        <f>IF(Select2=1,Food!$W43,"")</f>
        <v>0.15148236199347442</v>
      </c>
      <c r="U41" s="689">
        <f>IF(Select2=1,Paper!$W43,"")</f>
        <v>9.1184932829968937E-2</v>
      </c>
      <c r="V41" s="681">
        <f>IF(Select2=1,Nappies!$W43,"")</f>
        <v>0</v>
      </c>
      <c r="W41" s="689">
        <f>IF(Select2=1,Garden!$W43,"")</f>
        <v>0</v>
      </c>
      <c r="X41" s="681">
        <f>IF(Select2=1,Wood!$W43,"")</f>
        <v>5.0798152825159662E-2</v>
      </c>
      <c r="Y41" s="689">
        <f>IF(Select2=1,Textiles!$W43,"")</f>
        <v>1.1451131099577492E-2</v>
      </c>
      <c r="Z41" s="683">
        <f>Sludge!W43</f>
        <v>0</v>
      </c>
      <c r="AA41" s="683" t="str">
        <f>IF(Select2=2,MSW!$W43,"")</f>
        <v/>
      </c>
      <c r="AB41" s="690">
        <f>Industry!$W43</f>
        <v>0</v>
      </c>
      <c r="AC41" s="691">
        <f t="shared" si="0"/>
        <v>0.30491657874818051</v>
      </c>
      <c r="AD41" s="692">
        <f>Recovery_OX!R36</f>
        <v>0</v>
      </c>
      <c r="AE41" s="648"/>
      <c r="AF41" s="694">
        <f>(AC41-AD41)*(1-Recovery_OX!U36)</f>
        <v>0.30491657874818051</v>
      </c>
    </row>
    <row r="42" spans="2:32">
      <c r="B42" s="687">
        <f t="shared" si="1"/>
        <v>2025</v>
      </c>
      <c r="C42" s="771">
        <f>IF(Select2=1,Food!$K44,"")</f>
        <v>0.22557293851101323</v>
      </c>
      <c r="D42" s="772">
        <f>IF(Select2=1,Paper!$K44,"")</f>
        <v>4.5025349209344825E-2</v>
      </c>
      <c r="E42" s="764">
        <f>IF(Select2=1,Nappies!$K44,"")</f>
        <v>7.6702842575818705E-2</v>
      </c>
      <c r="F42" s="772">
        <f>IF(Select2=1,Garden!$K44,"")</f>
        <v>0</v>
      </c>
      <c r="G42" s="764">
        <f>IF(Select2=1,Wood!$K44,"")</f>
        <v>0</v>
      </c>
      <c r="H42" s="772">
        <f>IF(Select2=1,Textiles!$K44,"")</f>
        <v>1.0660311754230574E-2</v>
      </c>
      <c r="I42" s="773">
        <f>Sludge!K44</f>
        <v>0</v>
      </c>
      <c r="J42" s="773" t="str">
        <f>IF(Select2=2,MSW!$K44,"")</f>
        <v/>
      </c>
      <c r="K42" s="773">
        <f>Industry!$K44</f>
        <v>0</v>
      </c>
      <c r="L42" s="774">
        <f t="shared" si="3"/>
        <v>0.35796144205040736</v>
      </c>
      <c r="M42" s="775">
        <f>Recovery_OX!C37</f>
        <v>0</v>
      </c>
      <c r="N42" s="769"/>
      <c r="O42" s="776">
        <f>(L42-M42)*(1-Recovery_OX!F37)</f>
        <v>0.35796144205040736</v>
      </c>
      <c r="P42" s="640"/>
      <c r="Q42" s="650"/>
      <c r="S42" s="687">
        <f t="shared" si="2"/>
        <v>2025</v>
      </c>
      <c r="T42" s="688">
        <f>IF(Select2=1,Food!$W44,"")</f>
        <v>0.15091855832583401</v>
      </c>
      <c r="U42" s="689">
        <f>IF(Select2=1,Paper!$W44,"")</f>
        <v>9.3027581011043053E-2</v>
      </c>
      <c r="V42" s="681">
        <f>IF(Select2=1,Nappies!$W44,"")</f>
        <v>0</v>
      </c>
      <c r="W42" s="689">
        <f>IF(Select2=1,Garden!$W44,"")</f>
        <v>0</v>
      </c>
      <c r="X42" s="681">
        <f>IF(Select2=1,Wood!$W44,"")</f>
        <v>5.2411785079218488E-2</v>
      </c>
      <c r="Y42" s="689">
        <f>IF(Select2=1,Textiles!$W44,"")</f>
        <v>1.1682533429293779E-2</v>
      </c>
      <c r="Z42" s="683">
        <f>Sludge!W44</f>
        <v>0</v>
      </c>
      <c r="AA42" s="683" t="str">
        <f>IF(Select2=2,MSW!$W44,"")</f>
        <v/>
      </c>
      <c r="AB42" s="690">
        <f>Industry!$W44</f>
        <v>0</v>
      </c>
      <c r="AC42" s="691">
        <f t="shared" si="0"/>
        <v>0.3080404578453893</v>
      </c>
      <c r="AD42" s="692">
        <f>Recovery_OX!R37</f>
        <v>0</v>
      </c>
      <c r="AE42" s="648"/>
      <c r="AF42" s="694">
        <f>(AC42-AD42)*(1-Recovery_OX!U37)</f>
        <v>0.3080404578453893</v>
      </c>
    </row>
    <row r="43" spans="2:32">
      <c r="B43" s="687">
        <f t="shared" si="1"/>
        <v>2026</v>
      </c>
      <c r="C43" s="771">
        <f>IF(Select2=1,Food!$K45,"")</f>
        <v>0.22458439826557566</v>
      </c>
      <c r="D43" s="772">
        <f>IF(Select2=1,Paper!$K45,"")</f>
        <v>4.5834649269521896E-2</v>
      </c>
      <c r="E43" s="764">
        <f>IF(Select2=1,Nappies!$K45,"")</f>
        <v>7.6862176121608311E-2</v>
      </c>
      <c r="F43" s="772">
        <f>IF(Select2=1,Garden!$K45,"")</f>
        <v>0</v>
      </c>
      <c r="G43" s="764">
        <f>IF(Select2=1,Wood!$K45,"")</f>
        <v>0</v>
      </c>
      <c r="H43" s="772">
        <f>IF(Select2=1,Textiles!$K45,"")</f>
        <v>1.0851923615009092E-2</v>
      </c>
      <c r="I43" s="773">
        <f>Sludge!K45</f>
        <v>0</v>
      </c>
      <c r="J43" s="773" t="str">
        <f>IF(Select2=2,MSW!$K45,"")</f>
        <v/>
      </c>
      <c r="K43" s="773">
        <f>Industry!$K45</f>
        <v>0</v>
      </c>
      <c r="L43" s="774">
        <f t="shared" si="3"/>
        <v>0.35813314727171497</v>
      </c>
      <c r="M43" s="775">
        <f>Recovery_OX!C38</f>
        <v>0</v>
      </c>
      <c r="N43" s="769"/>
      <c r="O43" s="776">
        <f>(L43-M43)*(1-Recovery_OX!F38)</f>
        <v>0.35813314727171497</v>
      </c>
      <c r="P43" s="640"/>
      <c r="Q43" s="650"/>
      <c r="S43" s="687">
        <f t="shared" si="2"/>
        <v>2026</v>
      </c>
      <c r="T43" s="688">
        <f>IF(Select2=1,Food!$W45,"")</f>
        <v>0.15025717992790522</v>
      </c>
      <c r="U43" s="689">
        <f>IF(Select2=1,Paper!$W45,"")</f>
        <v>9.4699688573392393E-2</v>
      </c>
      <c r="V43" s="681">
        <f>IF(Select2=1,Nappies!$W45,"")</f>
        <v>0</v>
      </c>
      <c r="W43" s="689">
        <f>IF(Select2=1,Garden!$W45,"")</f>
        <v>0</v>
      </c>
      <c r="X43" s="681">
        <f>IF(Select2=1,Wood!$W45,"")</f>
        <v>5.3950624275595313E-2</v>
      </c>
      <c r="Y43" s="689">
        <f>IF(Select2=1,Textiles!$W45,"")</f>
        <v>1.1892519030146948E-2</v>
      </c>
      <c r="Z43" s="683">
        <f>Sludge!W45</f>
        <v>0</v>
      </c>
      <c r="AA43" s="683" t="str">
        <f>IF(Select2=2,MSW!$W45,"")</f>
        <v/>
      </c>
      <c r="AB43" s="690">
        <f>Industry!$W45</f>
        <v>0</v>
      </c>
      <c r="AC43" s="691">
        <f t="shared" si="0"/>
        <v>0.31080001180703987</v>
      </c>
      <c r="AD43" s="692">
        <f>Recovery_OX!R38</f>
        <v>0</v>
      </c>
      <c r="AE43" s="648"/>
      <c r="AF43" s="694">
        <f>(AC43-AD43)*(1-Recovery_OX!U38)</f>
        <v>0.31080001180703987</v>
      </c>
    </row>
    <row r="44" spans="2:32">
      <c r="B44" s="687">
        <f t="shared" si="1"/>
        <v>2027</v>
      </c>
      <c r="C44" s="771">
        <f>IF(Select2=1,Food!$K46,"")</f>
        <v>0.22347645933902771</v>
      </c>
      <c r="D44" s="772">
        <f>IF(Select2=1,Paper!$K46,"")</f>
        <v>4.6565851723917452E-2</v>
      </c>
      <c r="E44" s="764">
        <f>IF(Select2=1,Nappies!$K46,"")</f>
        <v>7.6922863099482694E-2</v>
      </c>
      <c r="F44" s="772">
        <f>IF(Select2=1,Garden!$K46,"")</f>
        <v>0</v>
      </c>
      <c r="G44" s="764">
        <f>IF(Select2=1,Wood!$K46,"")</f>
        <v>0</v>
      </c>
      <c r="H44" s="772">
        <f>IF(Select2=1,Textiles!$K46,"")</f>
        <v>1.1025044895714171E-2</v>
      </c>
      <c r="I44" s="773">
        <f>Sludge!K46</f>
        <v>0</v>
      </c>
      <c r="J44" s="773" t="str">
        <f>IF(Select2=2,MSW!$K46,"")</f>
        <v/>
      </c>
      <c r="K44" s="773">
        <f>Industry!$K46</f>
        <v>0</v>
      </c>
      <c r="L44" s="774">
        <f t="shared" si="3"/>
        <v>0.35799021905814205</v>
      </c>
      <c r="M44" s="775">
        <f>Recovery_OX!C39</f>
        <v>0</v>
      </c>
      <c r="N44" s="769"/>
      <c r="O44" s="776">
        <f>(L44-M44)*(1-Recovery_OX!F39)</f>
        <v>0.35799021905814205</v>
      </c>
      <c r="P44" s="640"/>
      <c r="Q44" s="650"/>
      <c r="S44" s="687">
        <f t="shared" si="2"/>
        <v>2027</v>
      </c>
      <c r="T44" s="688">
        <f>IF(Select2=1,Food!$W46,"")</f>
        <v>0.14951591838025938</v>
      </c>
      <c r="U44" s="689">
        <f>IF(Select2=1,Paper!$W46,"")</f>
        <v>9.6210437446110478E-2</v>
      </c>
      <c r="V44" s="681">
        <f>IF(Select2=1,Nappies!$W46,"")</f>
        <v>0</v>
      </c>
      <c r="W44" s="689">
        <f>IF(Select2=1,Garden!$W46,"")</f>
        <v>0</v>
      </c>
      <c r="X44" s="681">
        <f>IF(Select2=1,Wood!$W46,"")</f>
        <v>5.5416257530698634E-2</v>
      </c>
      <c r="Y44" s="689">
        <f>IF(Select2=1,Textiles!$W46,"")</f>
        <v>1.2082240981604569E-2</v>
      </c>
      <c r="Z44" s="683">
        <f>Sludge!W46</f>
        <v>0</v>
      </c>
      <c r="AA44" s="683" t="str">
        <f>IF(Select2=2,MSW!$W46,"")</f>
        <v/>
      </c>
      <c r="AB44" s="690">
        <f>Industry!$W46</f>
        <v>0</v>
      </c>
      <c r="AC44" s="691">
        <f t="shared" si="0"/>
        <v>0.31322485433867309</v>
      </c>
      <c r="AD44" s="692">
        <f>Recovery_OX!R39</f>
        <v>0</v>
      </c>
      <c r="AE44" s="648"/>
      <c r="AF44" s="694">
        <f>(AC44-AD44)*(1-Recovery_OX!U39)</f>
        <v>0.31322485433867309</v>
      </c>
    </row>
    <row r="45" spans="2:32">
      <c r="B45" s="687">
        <f t="shared" si="1"/>
        <v>2028</v>
      </c>
      <c r="C45" s="771">
        <f>IF(Select2=1,Food!$K47,"")</f>
        <v>0.22226811696635046</v>
      </c>
      <c r="D45" s="772">
        <f>IF(Select2=1,Paper!$K47,"")</f>
        <v>4.7223166869253159E-2</v>
      </c>
      <c r="E45" s="764">
        <f>IF(Select2=1,Nappies!$K47,"")</f>
        <v>7.6896952691195161E-2</v>
      </c>
      <c r="F45" s="772">
        <f>IF(Select2=1,Garden!$K47,"")</f>
        <v>0</v>
      </c>
      <c r="G45" s="764">
        <f>IF(Select2=1,Wood!$K47,"")</f>
        <v>0</v>
      </c>
      <c r="H45" s="772">
        <f>IF(Select2=1,Textiles!$K47,"")</f>
        <v>1.1180672436490725E-2</v>
      </c>
      <c r="I45" s="773">
        <f>Sludge!K47</f>
        <v>0</v>
      </c>
      <c r="J45" s="773" t="str">
        <f>IF(Select2=2,MSW!$K47,"")</f>
        <v/>
      </c>
      <c r="K45" s="773">
        <f>Industry!$K47</f>
        <v>0</v>
      </c>
      <c r="L45" s="774">
        <f t="shared" si="3"/>
        <v>0.35756890896328952</v>
      </c>
      <c r="M45" s="775">
        <f>Recovery_OX!C40</f>
        <v>0</v>
      </c>
      <c r="N45" s="769"/>
      <c r="O45" s="776">
        <f>(L45-M45)*(1-Recovery_OX!F40)</f>
        <v>0.35756890896328952</v>
      </c>
      <c r="P45" s="640"/>
      <c r="Q45" s="650"/>
      <c r="S45" s="687">
        <f t="shared" si="2"/>
        <v>2028</v>
      </c>
      <c r="T45" s="688">
        <f>IF(Select2=1,Food!$W47,"")</f>
        <v>0.14870748235928888</v>
      </c>
      <c r="U45" s="689">
        <f>IF(Select2=1,Paper!$W47,"")</f>
        <v>9.7568526589366045E-2</v>
      </c>
      <c r="V45" s="681">
        <f>IF(Select2=1,Nappies!$W47,"")</f>
        <v>0</v>
      </c>
      <c r="W45" s="689">
        <f>IF(Select2=1,Garden!$W47,"")</f>
        <v>0</v>
      </c>
      <c r="X45" s="681">
        <f>IF(Select2=1,Wood!$W47,"")</f>
        <v>5.6810275204090196E-2</v>
      </c>
      <c r="Y45" s="689">
        <f>IF(Select2=1,Textiles!$W47,"")</f>
        <v>1.2252791711222712E-2</v>
      </c>
      <c r="Z45" s="683">
        <f>Sludge!W47</f>
        <v>0</v>
      </c>
      <c r="AA45" s="683" t="str">
        <f>IF(Select2=2,MSW!$W47,"")</f>
        <v/>
      </c>
      <c r="AB45" s="690">
        <f>Industry!$W47</f>
        <v>0</v>
      </c>
      <c r="AC45" s="691">
        <f t="shared" si="0"/>
        <v>0.31533907586396787</v>
      </c>
      <c r="AD45" s="692">
        <f>Recovery_OX!R40</f>
        <v>0</v>
      </c>
      <c r="AE45" s="648"/>
      <c r="AF45" s="694">
        <f>(AC45-AD45)*(1-Recovery_OX!U40)</f>
        <v>0.31533907586396787</v>
      </c>
    </row>
    <row r="46" spans="2:32">
      <c r="B46" s="687">
        <f t="shared" si="1"/>
        <v>2029</v>
      </c>
      <c r="C46" s="771">
        <f>IF(Select2=1,Food!$K48,"")</f>
        <v>0.220973325792749</v>
      </c>
      <c r="D46" s="772">
        <f>IF(Select2=1,Paper!$K48,"")</f>
        <v>4.7810584517962176E-2</v>
      </c>
      <c r="E46" s="764">
        <f>IF(Select2=1,Nappies!$K48,"")</f>
        <v>7.6794812677901642E-2</v>
      </c>
      <c r="F46" s="772">
        <f>IF(Select2=1,Garden!$K48,"")</f>
        <v>0</v>
      </c>
      <c r="G46" s="764">
        <f>IF(Select2=1,Wood!$K48,"")</f>
        <v>0</v>
      </c>
      <c r="H46" s="772">
        <f>IF(Select2=1,Textiles!$K48,"")</f>
        <v>1.1319750875084503E-2</v>
      </c>
      <c r="I46" s="773">
        <f>Sludge!K48</f>
        <v>0</v>
      </c>
      <c r="J46" s="773" t="str">
        <f>IF(Select2=2,MSW!$K48,"")</f>
        <v/>
      </c>
      <c r="K46" s="773">
        <f>Industry!$K48</f>
        <v>0</v>
      </c>
      <c r="L46" s="774">
        <f t="shared" si="3"/>
        <v>0.35689847386369733</v>
      </c>
      <c r="M46" s="775">
        <f>Recovery_OX!C41</f>
        <v>0</v>
      </c>
      <c r="N46" s="769"/>
      <c r="O46" s="776">
        <f>(L46-M46)*(1-Recovery_OX!F41)</f>
        <v>0.35689847386369733</v>
      </c>
      <c r="P46" s="640"/>
      <c r="Q46" s="650"/>
      <c r="S46" s="687">
        <f t="shared" si="2"/>
        <v>2029</v>
      </c>
      <c r="T46" s="688">
        <f>IF(Select2=1,Food!$W48,"")</f>
        <v>0.14784120815750379</v>
      </c>
      <c r="U46" s="689">
        <f>IF(Select2=1,Paper!$W48,"")</f>
        <v>9.8782199417277242E-2</v>
      </c>
      <c r="V46" s="681">
        <f>IF(Select2=1,Nappies!$W48,"")</f>
        <v>0</v>
      </c>
      <c r="W46" s="689">
        <f>IF(Select2=1,Garden!$W48,"")</f>
        <v>0</v>
      </c>
      <c r="X46" s="681">
        <f>IF(Select2=1,Wood!$W48,"")</f>
        <v>5.8134268592312383E-2</v>
      </c>
      <c r="Y46" s="689">
        <f>IF(Select2=1,Textiles!$W48,"")</f>
        <v>1.2405206438448769E-2</v>
      </c>
      <c r="Z46" s="683">
        <f>Sludge!W48</f>
        <v>0</v>
      </c>
      <c r="AA46" s="683" t="str">
        <f>IF(Select2=2,MSW!$W48,"")</f>
        <v/>
      </c>
      <c r="AB46" s="690">
        <f>Industry!$W48</f>
        <v>0</v>
      </c>
      <c r="AC46" s="691">
        <f t="shared" si="0"/>
        <v>0.31716288260554215</v>
      </c>
      <c r="AD46" s="692">
        <f>Recovery_OX!R41</f>
        <v>0</v>
      </c>
      <c r="AE46" s="648"/>
      <c r="AF46" s="694">
        <f>(AC46-AD46)*(1-Recovery_OX!U41)</f>
        <v>0.31716288260554215</v>
      </c>
    </row>
    <row r="47" spans="2:32">
      <c r="B47" s="687">
        <f t="shared" si="1"/>
        <v>2030</v>
      </c>
      <c r="C47" s="771">
        <f>IF(Select2=1,Food!$K49,"")</f>
        <v>0.21960261503667314</v>
      </c>
      <c r="D47" s="772">
        <f>IF(Select2=1,Paper!$K49,"")</f>
        <v>4.8331886456234131E-2</v>
      </c>
      <c r="E47" s="764">
        <f>IF(Select2=1,Nappies!$K49,"")</f>
        <v>7.6625384582713466E-2</v>
      </c>
      <c r="F47" s="772">
        <f>IF(Select2=1,Garden!$K49,"")</f>
        <v>0</v>
      </c>
      <c r="G47" s="764">
        <f>IF(Select2=1,Wood!$K49,"")</f>
        <v>0</v>
      </c>
      <c r="H47" s="772">
        <f>IF(Select2=1,Textiles!$K49,"")</f>
        <v>1.1443175596439254E-2</v>
      </c>
      <c r="I47" s="773">
        <f>Sludge!K49</f>
        <v>0</v>
      </c>
      <c r="J47" s="773" t="str">
        <f>IF(Select2=2,MSW!$K49,"")</f>
        <v/>
      </c>
      <c r="K47" s="773">
        <f>Industry!$K49</f>
        <v>0</v>
      </c>
      <c r="L47" s="774">
        <f t="shared" si="3"/>
        <v>0.35600306167205997</v>
      </c>
      <c r="M47" s="775">
        <f>Recovery_OX!C42</f>
        <v>0</v>
      </c>
      <c r="N47" s="769"/>
      <c r="O47" s="776">
        <f>(L47-M47)*(1-Recovery_OX!F42)</f>
        <v>0.35600306167205997</v>
      </c>
      <c r="P47" s="640"/>
      <c r="Q47" s="650"/>
      <c r="S47" s="687">
        <f t="shared" si="2"/>
        <v>2030</v>
      </c>
      <c r="T47" s="688">
        <f>IF(Select2=1,Food!$W49,"")</f>
        <v>0.14692414030107481</v>
      </c>
      <c r="U47" s="689">
        <f>IF(Select2=1,Paper!$W49,"")</f>
        <v>9.9859269537673837E-2</v>
      </c>
      <c r="V47" s="681">
        <f>IF(Select2=1,Nappies!$W49,"")</f>
        <v>0</v>
      </c>
      <c r="W47" s="689">
        <f>IF(Select2=1,Garden!$W49,"")</f>
        <v>0</v>
      </c>
      <c r="X47" s="681">
        <f>IF(Select2=1,Wood!$W49,"")</f>
        <v>5.9389827773741716E-2</v>
      </c>
      <c r="Y47" s="689">
        <f>IF(Select2=1,Textiles!$W49,"")</f>
        <v>1.2540466407056711E-2</v>
      </c>
      <c r="Z47" s="683">
        <f>Sludge!W49</f>
        <v>0</v>
      </c>
      <c r="AA47" s="683" t="str">
        <f>IF(Select2=2,MSW!$W49,"")</f>
        <v/>
      </c>
      <c r="AB47" s="690">
        <f>Industry!$W49</f>
        <v>0</v>
      </c>
      <c r="AC47" s="691">
        <f t="shared" si="0"/>
        <v>0.31871370401954707</v>
      </c>
      <c r="AD47" s="692">
        <f>Recovery_OX!R42</f>
        <v>0</v>
      </c>
      <c r="AE47" s="648"/>
      <c r="AF47" s="694">
        <f>(AC47-AD47)*(1-Recovery_OX!U42)</f>
        <v>0.31871370401954707</v>
      </c>
    </row>
    <row r="48" spans="2:32">
      <c r="B48" s="687">
        <f t="shared" si="1"/>
        <v>2031</v>
      </c>
      <c r="C48" s="688">
        <f>IF(Select2=1,Food!$K50,"")</f>
        <v>0.21816721482297702</v>
      </c>
      <c r="D48" s="689">
        <f>IF(Select2=1,Paper!$K50,"")</f>
        <v>4.879081789035862E-2</v>
      </c>
      <c r="E48" s="681">
        <f>IF(Select2=1,Nappies!$K50,"")</f>
        <v>7.6396902923324905E-2</v>
      </c>
      <c r="F48" s="689">
        <f>IF(Select2=1,Garden!$K50,"")</f>
        <v>0</v>
      </c>
      <c r="G48" s="681">
        <f>IF(Select2=1,Wood!$K50,"")</f>
        <v>0</v>
      </c>
      <c r="H48" s="689">
        <f>IF(Select2=1,Textiles!$K50,"")</f>
        <v>1.1551833324752169E-2</v>
      </c>
      <c r="I48" s="690">
        <f>Sludge!K50</f>
        <v>0</v>
      </c>
      <c r="J48" s="690" t="str">
        <f>IF(Select2=2,MSW!$K50,"")</f>
        <v/>
      </c>
      <c r="K48" s="690">
        <f>Industry!$K50</f>
        <v>0</v>
      </c>
      <c r="L48" s="691">
        <f t="shared" si="3"/>
        <v>0.35490676896141271</v>
      </c>
      <c r="M48" s="692">
        <f>Recovery_OX!C43</f>
        <v>0</v>
      </c>
      <c r="N48" s="648"/>
      <c r="O48" s="693">
        <f>(L48-M48)*(1-Recovery_OX!F43)</f>
        <v>0.35490676896141271</v>
      </c>
      <c r="P48" s="640"/>
      <c r="Q48" s="650"/>
      <c r="S48" s="687">
        <f t="shared" si="2"/>
        <v>2031</v>
      </c>
      <c r="T48" s="688">
        <f>IF(Select2=1,Food!$W50,"")</f>
        <v>0.14596379225444495</v>
      </c>
      <c r="U48" s="689">
        <f>IF(Select2=1,Paper!$W50,"")</f>
        <v>0.10080747498007982</v>
      </c>
      <c r="V48" s="681">
        <f>IF(Select2=1,Nappies!$W50,"")</f>
        <v>0</v>
      </c>
      <c r="W48" s="689">
        <f>IF(Select2=1,Garden!$W50,"")</f>
        <v>0</v>
      </c>
      <c r="X48" s="681">
        <f>IF(Select2=1,Wood!$W50,"")</f>
        <v>6.0578678130370239E-2</v>
      </c>
      <c r="Y48" s="689">
        <f>IF(Select2=1,Textiles!$W50,"")</f>
        <v>1.2659543369591417E-2</v>
      </c>
      <c r="Z48" s="683">
        <f>Sludge!W50</f>
        <v>0</v>
      </c>
      <c r="AA48" s="683" t="str">
        <f>IF(Select2=2,MSW!$W50,"")</f>
        <v/>
      </c>
      <c r="AB48" s="690">
        <f>Industry!$W50</f>
        <v>0</v>
      </c>
      <c r="AC48" s="691">
        <f t="shared" si="0"/>
        <v>0.32000948873448642</v>
      </c>
      <c r="AD48" s="692">
        <f>Recovery_OX!R43</f>
        <v>0</v>
      </c>
      <c r="AE48" s="648"/>
      <c r="AF48" s="694">
        <f>(AC48-AD48)*(1-Recovery_OX!U43)</f>
        <v>0.32000948873448642</v>
      </c>
    </row>
    <row r="49" spans="2:32">
      <c r="B49" s="687">
        <f t="shared" si="1"/>
        <v>2032</v>
      </c>
      <c r="C49" s="688">
        <f>IF(Select2=1,Food!$K51,"")</f>
        <v>0.14624185748360519</v>
      </c>
      <c r="D49" s="689">
        <f>IF(Select2=1,Paper!$K51,"")</f>
        <v>4.5492257069126962E-2</v>
      </c>
      <c r="E49" s="681">
        <f>IF(Select2=1,Nappies!$K51,"")</f>
        <v>6.4453379093338647E-2</v>
      </c>
      <c r="F49" s="689">
        <f>IF(Select2=1,Garden!$K51,"")</f>
        <v>0</v>
      </c>
      <c r="G49" s="681">
        <f>IF(Select2=1,Wood!$K51,"")</f>
        <v>0</v>
      </c>
      <c r="H49" s="689">
        <f>IF(Select2=1,Textiles!$K51,"")</f>
        <v>1.0770858000582507E-2</v>
      </c>
      <c r="I49" s="690">
        <f>Sludge!K51</f>
        <v>0</v>
      </c>
      <c r="J49" s="690" t="str">
        <f>IF(Select2=2,MSW!$K51,"")</f>
        <v/>
      </c>
      <c r="K49" s="690">
        <f>Industry!$K51</f>
        <v>0</v>
      </c>
      <c r="L49" s="691">
        <f t="shared" si="3"/>
        <v>0.26695835164665332</v>
      </c>
      <c r="M49" s="692">
        <f>Recovery_OX!C44</f>
        <v>0</v>
      </c>
      <c r="N49" s="648"/>
      <c r="O49" s="693">
        <f>(L49-M49)*(1-Recovery_OX!F44)</f>
        <v>0.26695835164665332</v>
      </c>
      <c r="P49" s="640"/>
      <c r="Q49" s="650"/>
      <c r="S49" s="687">
        <f t="shared" si="2"/>
        <v>2032</v>
      </c>
      <c r="T49" s="688">
        <f>IF(Select2=1,Food!$W51,"")</f>
        <v>9.7842455943536036E-2</v>
      </c>
      <c r="U49" s="689">
        <f>IF(Select2=1,Paper!$W51,"")</f>
        <v>9.3992266671749938E-2</v>
      </c>
      <c r="V49" s="681">
        <f>IF(Select2=1,Nappies!$W51,"")</f>
        <v>0</v>
      </c>
      <c r="W49" s="689">
        <f>IF(Select2=1,Garden!$W51,"")</f>
        <v>0</v>
      </c>
      <c r="X49" s="681">
        <f>IF(Select2=1,Wood!$W51,"")</f>
        <v>5.84950997124093E-2</v>
      </c>
      <c r="Y49" s="689">
        <f>IF(Select2=1,Textiles!$W51,"")</f>
        <v>1.1803680000638361E-2</v>
      </c>
      <c r="Z49" s="683">
        <f>Sludge!W51</f>
        <v>0</v>
      </c>
      <c r="AA49" s="683" t="str">
        <f>IF(Select2=2,MSW!$W51,"")</f>
        <v/>
      </c>
      <c r="AB49" s="690">
        <f>Industry!$W51</f>
        <v>0</v>
      </c>
      <c r="AC49" s="691">
        <f t="shared" ref="AC49:AC80" si="4">SUM(T49:AA49)</f>
        <v>0.26213350232833366</v>
      </c>
      <c r="AD49" s="692">
        <f>Recovery_OX!R44</f>
        <v>0</v>
      </c>
      <c r="AE49" s="648"/>
      <c r="AF49" s="694">
        <f>(AC49-AD49)*(1-Recovery_OX!U44)</f>
        <v>0.26213350232833366</v>
      </c>
    </row>
    <row r="50" spans="2:32">
      <c r="B50" s="687">
        <f t="shared" si="1"/>
        <v>2033</v>
      </c>
      <c r="C50" s="688">
        <f>IF(Select2=1,Food!$K52,"")</f>
        <v>9.8028848640747637E-2</v>
      </c>
      <c r="D50" s="689">
        <f>IF(Select2=1,Paper!$K52,"")</f>
        <v>4.2416699344826669E-2</v>
      </c>
      <c r="E50" s="681">
        <f>IF(Select2=1,Nappies!$K52,"")</f>
        <v>5.4377048251798739E-2</v>
      </c>
      <c r="F50" s="689">
        <f>IF(Select2=1,Garden!$K52,"")</f>
        <v>0</v>
      </c>
      <c r="G50" s="681">
        <f>IF(Select2=1,Wood!$K52,"")</f>
        <v>0</v>
      </c>
      <c r="H50" s="689">
        <f>IF(Select2=1,Textiles!$K52,"")</f>
        <v>1.0042681434827668E-2</v>
      </c>
      <c r="I50" s="690">
        <f>Sludge!K52</f>
        <v>0</v>
      </c>
      <c r="J50" s="690" t="str">
        <f>IF(Select2=2,MSW!$K52,"")</f>
        <v/>
      </c>
      <c r="K50" s="690">
        <f>Industry!$K52</f>
        <v>0</v>
      </c>
      <c r="L50" s="691">
        <f t="shared" si="3"/>
        <v>0.2048652776722007</v>
      </c>
      <c r="M50" s="692">
        <f>Recovery_OX!C45</f>
        <v>0</v>
      </c>
      <c r="N50" s="648"/>
      <c r="O50" s="693">
        <f>(L50-M50)*(1-Recovery_OX!F45)</f>
        <v>0.2048652776722007</v>
      </c>
      <c r="P50" s="640"/>
      <c r="Q50" s="650"/>
      <c r="S50" s="687">
        <f t="shared" si="2"/>
        <v>2033</v>
      </c>
      <c r="T50" s="688">
        <f>IF(Select2=1,Food!$W52,"")</f>
        <v>6.5585759572311081E-2</v>
      </c>
      <c r="U50" s="689">
        <f>IF(Select2=1,Paper!$W52,"")</f>
        <v>8.7637808563691466E-2</v>
      </c>
      <c r="V50" s="681">
        <f>IF(Select2=1,Nappies!$W52,"")</f>
        <v>0</v>
      </c>
      <c r="W50" s="689">
        <f>IF(Select2=1,Garden!$W52,"")</f>
        <v>0</v>
      </c>
      <c r="X50" s="681">
        <f>IF(Select2=1,Wood!$W52,"")</f>
        <v>5.6483185106828843E-2</v>
      </c>
      <c r="Y50" s="689">
        <f>IF(Select2=1,Textiles!$W52,"")</f>
        <v>1.1005678284742648E-2</v>
      </c>
      <c r="Z50" s="683">
        <f>Sludge!W52</f>
        <v>0</v>
      </c>
      <c r="AA50" s="683" t="str">
        <f>IF(Select2=2,MSW!$W52,"")</f>
        <v/>
      </c>
      <c r="AB50" s="690">
        <f>Industry!$W52</f>
        <v>0</v>
      </c>
      <c r="AC50" s="691">
        <f t="shared" si="4"/>
        <v>0.22071243152757403</v>
      </c>
      <c r="AD50" s="692">
        <f>Recovery_OX!R45</f>
        <v>0</v>
      </c>
      <c r="AE50" s="648"/>
      <c r="AF50" s="694">
        <f>(AC50-AD50)*(1-Recovery_OX!U45)</f>
        <v>0.22071243152757403</v>
      </c>
    </row>
    <row r="51" spans="2:32">
      <c r="B51" s="687">
        <f t="shared" si="1"/>
        <v>2034</v>
      </c>
      <c r="C51" s="688">
        <f>IF(Select2=1,Food!$K53,"")</f>
        <v>6.5710702333686671E-2</v>
      </c>
      <c r="D51" s="689">
        <f>IF(Select2=1,Paper!$K53,"")</f>
        <v>3.9549068329925066E-2</v>
      </c>
      <c r="E51" s="681">
        <f>IF(Select2=1,Nappies!$K53,"")</f>
        <v>4.5876002440406488E-2</v>
      </c>
      <c r="F51" s="689">
        <f>IF(Select2=1,Garden!$K53,"")</f>
        <v>0</v>
      </c>
      <c r="G51" s="681">
        <f>IF(Select2=1,Wood!$K53,"")</f>
        <v>0</v>
      </c>
      <c r="H51" s="689">
        <f>IF(Select2=1,Textiles!$K53,"")</f>
        <v>9.3637341051175174E-3</v>
      </c>
      <c r="I51" s="690">
        <f>Sludge!K53</f>
        <v>0</v>
      </c>
      <c r="J51" s="690" t="str">
        <f>IF(Select2=2,MSW!$K53,"")</f>
        <v/>
      </c>
      <c r="K51" s="690">
        <f>Industry!$K53</f>
        <v>0</v>
      </c>
      <c r="L51" s="691">
        <f t="shared" si="3"/>
        <v>0.16049950720913572</v>
      </c>
      <c r="M51" s="692">
        <f>Recovery_OX!C46</f>
        <v>0</v>
      </c>
      <c r="N51" s="648"/>
      <c r="O51" s="693">
        <f>(L51-M51)*(1-Recovery_OX!F46)</f>
        <v>0.16049950720913572</v>
      </c>
      <c r="P51" s="640"/>
      <c r="Q51" s="650"/>
      <c r="S51" s="687">
        <f t="shared" si="2"/>
        <v>2034</v>
      </c>
      <c r="T51" s="688">
        <f>IF(Select2=1,Food!$W53,"")</f>
        <v>4.3963449375793939E-2</v>
      </c>
      <c r="U51" s="689">
        <f>IF(Select2=1,Paper!$W53,"")</f>
        <v>8.1712951094886521E-2</v>
      </c>
      <c r="V51" s="681">
        <f>IF(Select2=1,Nappies!$W53,"")</f>
        <v>0</v>
      </c>
      <c r="W51" s="689">
        <f>IF(Select2=1,Garden!$W53,"")</f>
        <v>0</v>
      </c>
      <c r="X51" s="681">
        <f>IF(Select2=1,Wood!$W53,"")</f>
        <v>5.4540469466632636E-2</v>
      </c>
      <c r="Y51" s="689">
        <f>IF(Select2=1,Textiles!$W53,"")</f>
        <v>1.0261626416567141E-2</v>
      </c>
      <c r="Z51" s="683">
        <f>Sludge!W53</f>
        <v>0</v>
      </c>
      <c r="AA51" s="683" t="str">
        <f>IF(Select2=2,MSW!$W53,"")</f>
        <v/>
      </c>
      <c r="AB51" s="690">
        <f>Industry!$W53</f>
        <v>0</v>
      </c>
      <c r="AC51" s="691">
        <f t="shared" si="4"/>
        <v>0.19047849635388023</v>
      </c>
      <c r="AD51" s="692">
        <f>Recovery_OX!R46</f>
        <v>0</v>
      </c>
      <c r="AE51" s="648"/>
      <c r="AF51" s="694">
        <f>(AC51-AD51)*(1-Recovery_OX!U46)</f>
        <v>0.19047849635388023</v>
      </c>
    </row>
    <row r="52" spans="2:32">
      <c r="B52" s="687">
        <f t="shared" si="1"/>
        <v>2035</v>
      </c>
      <c r="C52" s="688">
        <f>IF(Select2=1,Food!$K54,"")</f>
        <v>4.4047201013351037E-2</v>
      </c>
      <c r="D52" s="689">
        <f>IF(Select2=1,Paper!$K54,"")</f>
        <v>3.6875306893860198E-2</v>
      </c>
      <c r="E52" s="681">
        <f>IF(Select2=1,Nappies!$K54,"")</f>
        <v>3.8703969185060791E-2</v>
      </c>
      <c r="F52" s="689">
        <f>IF(Select2=1,Garden!$K54,"")</f>
        <v>0</v>
      </c>
      <c r="G52" s="681">
        <f>IF(Select2=1,Wood!$K54,"")</f>
        <v>0</v>
      </c>
      <c r="H52" s="689">
        <f>IF(Select2=1,Textiles!$K54,"")</f>
        <v>8.7306878108541278E-3</v>
      </c>
      <c r="I52" s="690">
        <f>Sludge!K54</f>
        <v>0</v>
      </c>
      <c r="J52" s="690" t="str">
        <f>IF(Select2=2,MSW!$K54,"")</f>
        <v/>
      </c>
      <c r="K52" s="690">
        <f>Industry!$K54</f>
        <v>0</v>
      </c>
      <c r="L52" s="691">
        <f t="shared" si="3"/>
        <v>0.12835716490312615</v>
      </c>
      <c r="M52" s="692">
        <f>Recovery_OX!C47</f>
        <v>0</v>
      </c>
      <c r="N52" s="648"/>
      <c r="O52" s="693">
        <f>(L52-M52)*(1-Recovery_OX!F47)</f>
        <v>0.12835716490312615</v>
      </c>
      <c r="P52" s="640"/>
      <c r="Q52" s="650"/>
      <c r="S52" s="687">
        <f t="shared" si="2"/>
        <v>2035</v>
      </c>
      <c r="T52" s="688">
        <f>IF(Select2=1,Food!$W54,"")</f>
        <v>2.9469581409467694E-2</v>
      </c>
      <c r="U52" s="689">
        <f>IF(Select2=1,Paper!$W54,"")</f>
        <v>7.6188650607149175E-2</v>
      </c>
      <c r="V52" s="681">
        <f>IF(Select2=1,Nappies!$W54,"")</f>
        <v>0</v>
      </c>
      <c r="W52" s="689">
        <f>IF(Select2=1,Garden!$W54,"")</f>
        <v>0</v>
      </c>
      <c r="X52" s="681">
        <f>IF(Select2=1,Wood!$W54,"")</f>
        <v>5.2664572722210902E-2</v>
      </c>
      <c r="Y52" s="689">
        <f>IF(Select2=1,Textiles!$W54,"")</f>
        <v>9.5678770529908242E-3</v>
      </c>
      <c r="Z52" s="683">
        <f>Sludge!W54</f>
        <v>0</v>
      </c>
      <c r="AA52" s="683" t="str">
        <f>IF(Select2=2,MSW!$W54,"")</f>
        <v/>
      </c>
      <c r="AB52" s="690">
        <f>Industry!$W54</f>
        <v>0</v>
      </c>
      <c r="AC52" s="691">
        <f t="shared" si="4"/>
        <v>0.1678906817918186</v>
      </c>
      <c r="AD52" s="692">
        <f>Recovery_OX!R47</f>
        <v>0</v>
      </c>
      <c r="AE52" s="648"/>
      <c r="AF52" s="694">
        <f>(AC52-AD52)*(1-Recovery_OX!U47)</f>
        <v>0.1678906817918186</v>
      </c>
    </row>
    <row r="53" spans="2:32">
      <c r="B53" s="687">
        <f t="shared" si="1"/>
        <v>2036</v>
      </c>
      <c r="C53" s="688">
        <f>IF(Select2=1,Food!$K55,"")</f>
        <v>2.9525721811010527E-2</v>
      </c>
      <c r="D53" s="689">
        <f>IF(Select2=1,Paper!$K55,"")</f>
        <v>3.4382308254970462E-2</v>
      </c>
      <c r="E53" s="681">
        <f>IF(Select2=1,Nappies!$K55,"")</f>
        <v>3.2653177064066397E-2</v>
      </c>
      <c r="F53" s="689">
        <f>IF(Select2=1,Garden!$K55,"")</f>
        <v>0</v>
      </c>
      <c r="G53" s="681">
        <f>IF(Select2=1,Wood!$K55,"")</f>
        <v>0</v>
      </c>
      <c r="H53" s="689">
        <f>IF(Select2=1,Textiles!$K55,"")</f>
        <v>8.1404393583685824E-3</v>
      </c>
      <c r="I53" s="690">
        <f>Sludge!K55</f>
        <v>0</v>
      </c>
      <c r="J53" s="690" t="str">
        <f>IF(Select2=2,MSW!$K55,"")</f>
        <v/>
      </c>
      <c r="K53" s="690">
        <f>Industry!$K55</f>
        <v>0</v>
      </c>
      <c r="L53" s="691">
        <f t="shared" si="3"/>
        <v>0.10470164648841597</v>
      </c>
      <c r="M53" s="692">
        <f>Recovery_OX!C48</f>
        <v>0</v>
      </c>
      <c r="N53" s="648"/>
      <c r="O53" s="693">
        <f>(L53-M53)*(1-Recovery_OX!F48)</f>
        <v>0.10470164648841597</v>
      </c>
      <c r="P53" s="640"/>
      <c r="Q53" s="650"/>
      <c r="S53" s="687">
        <f t="shared" si="2"/>
        <v>2036</v>
      </c>
      <c r="T53" s="688">
        <f>IF(Select2=1,Food!$W55,"")</f>
        <v>1.9754051167045407E-2</v>
      </c>
      <c r="U53" s="689">
        <f>IF(Select2=1,Paper!$W55,"")</f>
        <v>7.1037826973079463E-2</v>
      </c>
      <c r="V53" s="681">
        <f>IF(Select2=1,Nappies!$W55,"")</f>
        <v>0</v>
      </c>
      <c r="W53" s="689">
        <f>IF(Select2=1,Garden!$W55,"")</f>
        <v>0</v>
      </c>
      <c r="X53" s="681">
        <f>IF(Select2=1,Wood!$W55,"")</f>
        <v>5.0853196665457331E-2</v>
      </c>
      <c r="Y53" s="689">
        <f>IF(Select2=1,Textiles!$W55,"")</f>
        <v>8.9210294338285812E-3</v>
      </c>
      <c r="Z53" s="683">
        <f>Sludge!W55</f>
        <v>0</v>
      </c>
      <c r="AA53" s="683" t="str">
        <f>IF(Select2=2,MSW!$W55,"")</f>
        <v/>
      </c>
      <c r="AB53" s="690">
        <f>Industry!$W55</f>
        <v>0</v>
      </c>
      <c r="AC53" s="691">
        <f t="shared" si="4"/>
        <v>0.15056610423941078</v>
      </c>
      <c r="AD53" s="692">
        <f>Recovery_OX!R48</f>
        <v>0</v>
      </c>
      <c r="AE53" s="648"/>
      <c r="AF53" s="694">
        <f>(AC53-AD53)*(1-Recovery_OX!U48)</f>
        <v>0.15056610423941078</v>
      </c>
    </row>
    <row r="54" spans="2:32">
      <c r="B54" s="687">
        <f t="shared" si="1"/>
        <v>2037</v>
      </c>
      <c r="C54" s="688">
        <f>IF(Select2=1,Food!$K56,"")</f>
        <v>1.9791683203592057E-2</v>
      </c>
      <c r="D54" s="689">
        <f>IF(Select2=1,Paper!$K56,"")</f>
        <v>3.2057851731035723E-2</v>
      </c>
      <c r="E54" s="681">
        <f>IF(Select2=1,Nappies!$K56,"")</f>
        <v>2.7548336639044824E-2</v>
      </c>
      <c r="F54" s="689">
        <f>IF(Select2=1,Garden!$K56,"")</f>
        <v>0</v>
      </c>
      <c r="G54" s="681">
        <f>IF(Select2=1,Wood!$K56,"")</f>
        <v>0</v>
      </c>
      <c r="H54" s="689">
        <f>IF(Select2=1,Textiles!$K56,"")</f>
        <v>7.59009534906201E-3</v>
      </c>
      <c r="I54" s="690">
        <f>Sludge!K56</f>
        <v>0</v>
      </c>
      <c r="J54" s="690" t="str">
        <f>IF(Select2=2,MSW!$K56,"")</f>
        <v/>
      </c>
      <c r="K54" s="690">
        <f>Industry!$K56</f>
        <v>0</v>
      </c>
      <c r="L54" s="691">
        <f t="shared" si="3"/>
        <v>8.6987966922734611E-2</v>
      </c>
      <c r="M54" s="692">
        <f>Recovery_OX!C49</f>
        <v>0</v>
      </c>
      <c r="N54" s="648"/>
      <c r="O54" s="693">
        <f>(L54-M54)*(1-Recovery_OX!F49)</f>
        <v>8.6987966922734611E-2</v>
      </c>
      <c r="P54" s="640"/>
      <c r="Q54" s="650"/>
      <c r="S54" s="687">
        <f t="shared" si="2"/>
        <v>2037</v>
      </c>
      <c r="T54" s="688">
        <f>IF(Select2=1,Food!$W56,"")</f>
        <v>1.3241536487684252E-2</v>
      </c>
      <c r="U54" s="689">
        <f>IF(Select2=1,Paper!$W56,"")</f>
        <v>6.6235230849247359E-2</v>
      </c>
      <c r="V54" s="681">
        <f>IF(Select2=1,Nappies!$W56,"")</f>
        <v>0</v>
      </c>
      <c r="W54" s="689">
        <f>IF(Select2=1,Garden!$W56,"")</f>
        <v>0</v>
      </c>
      <c r="X54" s="681">
        <f>IF(Select2=1,Wood!$W56,"")</f>
        <v>4.9104122134176816E-2</v>
      </c>
      <c r="Y54" s="689">
        <f>IF(Select2=1,Textiles!$W56,"")</f>
        <v>8.317912711300831E-3</v>
      </c>
      <c r="Z54" s="683">
        <f>Sludge!W56</f>
        <v>0</v>
      </c>
      <c r="AA54" s="683" t="str">
        <f>IF(Select2=2,MSW!$W56,"")</f>
        <v/>
      </c>
      <c r="AB54" s="690">
        <f>Industry!$W56</f>
        <v>0</v>
      </c>
      <c r="AC54" s="691">
        <f t="shared" si="4"/>
        <v>0.13689880218240927</v>
      </c>
      <c r="AD54" s="692">
        <f>Recovery_OX!R49</f>
        <v>0</v>
      </c>
      <c r="AE54" s="648"/>
      <c r="AF54" s="694">
        <f>(AC54-AD54)*(1-Recovery_OX!U49)</f>
        <v>0.13689880218240927</v>
      </c>
    </row>
    <row r="55" spans="2:32">
      <c r="B55" s="687">
        <f t="shared" si="1"/>
        <v>2038</v>
      </c>
      <c r="C55" s="688">
        <f>IF(Select2=1,Food!$K57,"")</f>
        <v>1.3266761996154619E-2</v>
      </c>
      <c r="D55" s="689">
        <f>IF(Select2=1,Paper!$K57,"")</f>
        <v>2.9890542833478917E-2</v>
      </c>
      <c r="E55" s="681">
        <f>IF(Select2=1,Nappies!$K57,"")</f>
        <v>2.3241562378115185E-2</v>
      </c>
      <c r="F55" s="689">
        <f>IF(Select2=1,Garden!$K57,"")</f>
        <v>0</v>
      </c>
      <c r="G55" s="681">
        <f>IF(Select2=1,Wood!$K57,"")</f>
        <v>0</v>
      </c>
      <c r="H55" s="689">
        <f>IF(Select2=1,Textiles!$K57,"")</f>
        <v>7.0769579959623005E-3</v>
      </c>
      <c r="I55" s="690">
        <f>Sludge!K57</f>
        <v>0</v>
      </c>
      <c r="J55" s="690" t="str">
        <f>IF(Select2=2,MSW!$K57,"")</f>
        <v/>
      </c>
      <c r="K55" s="690">
        <f>Industry!$K57</f>
        <v>0</v>
      </c>
      <c r="L55" s="691">
        <f t="shared" si="3"/>
        <v>7.3475825203711015E-2</v>
      </c>
      <c r="M55" s="692">
        <f>Recovery_OX!C50</f>
        <v>0</v>
      </c>
      <c r="N55" s="648"/>
      <c r="O55" s="693">
        <f>(L55-M55)*(1-Recovery_OX!F50)</f>
        <v>7.3475825203711015E-2</v>
      </c>
      <c r="P55" s="640"/>
      <c r="Q55" s="650"/>
      <c r="S55" s="687">
        <f t="shared" si="2"/>
        <v>2038</v>
      </c>
      <c r="T55" s="688">
        <f>IF(Select2=1,Food!$W57,"")</f>
        <v>8.8760673480071054E-3</v>
      </c>
      <c r="U55" s="689">
        <f>IF(Select2=1,Paper!$W57,"")</f>
        <v>6.1757319903882057E-2</v>
      </c>
      <c r="V55" s="681">
        <f>IF(Select2=1,Nappies!$W57,"")</f>
        <v>0</v>
      </c>
      <c r="W55" s="689">
        <f>IF(Select2=1,Garden!$W57,"")</f>
        <v>0</v>
      </c>
      <c r="X55" s="681">
        <f>IF(Select2=1,Wood!$W57,"")</f>
        <v>4.7415206293334185E-2</v>
      </c>
      <c r="Y55" s="689">
        <f>IF(Select2=1,Textiles!$W57,"")</f>
        <v>7.7555704065340233E-3</v>
      </c>
      <c r="Z55" s="683">
        <f>Sludge!W57</f>
        <v>0</v>
      </c>
      <c r="AA55" s="683" t="str">
        <f>IF(Select2=2,MSW!$W57,"")</f>
        <v/>
      </c>
      <c r="AB55" s="690">
        <f>Industry!$W57</f>
        <v>0</v>
      </c>
      <c r="AC55" s="691">
        <f t="shared" si="4"/>
        <v>0.12580416395175736</v>
      </c>
      <c r="AD55" s="692">
        <f>Recovery_OX!R50</f>
        <v>0</v>
      </c>
      <c r="AE55" s="648"/>
      <c r="AF55" s="694">
        <f>(AC55-AD55)*(1-Recovery_OX!U50)</f>
        <v>0.12580416395175736</v>
      </c>
    </row>
    <row r="56" spans="2:32">
      <c r="B56" s="687">
        <f t="shared" si="1"/>
        <v>2039</v>
      </c>
      <c r="C56" s="688">
        <f>IF(Select2=1,Food!$K58,"")</f>
        <v>8.8929765120062329E-3</v>
      </c>
      <c r="D56" s="689">
        <f>IF(Select2=1,Paper!$K58,"")</f>
        <v>2.7869757411569773E-2</v>
      </c>
      <c r="E56" s="681">
        <f>IF(Select2=1,Nappies!$K58,"")</f>
        <v>1.9608088461145961E-2</v>
      </c>
      <c r="F56" s="689">
        <f>IF(Select2=1,Garden!$K58,"")</f>
        <v>0</v>
      </c>
      <c r="G56" s="681">
        <f>IF(Select2=1,Wood!$K58,"")</f>
        <v>0</v>
      </c>
      <c r="H56" s="689">
        <f>IF(Select2=1,Textiles!$K58,"")</f>
        <v>6.5985118991692335E-3</v>
      </c>
      <c r="I56" s="690">
        <f>Sludge!K58</f>
        <v>0</v>
      </c>
      <c r="J56" s="690" t="str">
        <f>IF(Select2=2,MSW!$K58,"")</f>
        <v/>
      </c>
      <c r="K56" s="690">
        <f>Industry!$K58</f>
        <v>0</v>
      </c>
      <c r="L56" s="691">
        <f t="shared" si="3"/>
        <v>6.2969334283891204E-2</v>
      </c>
      <c r="M56" s="692">
        <f>Recovery_OX!C51</f>
        <v>0</v>
      </c>
      <c r="N56" s="648"/>
      <c r="O56" s="693">
        <f>(L56-M56)*(1-Recovery_OX!F51)</f>
        <v>6.2969334283891204E-2</v>
      </c>
      <c r="P56" s="640"/>
      <c r="Q56" s="650"/>
      <c r="S56" s="687">
        <f t="shared" si="2"/>
        <v>2039</v>
      </c>
      <c r="T56" s="688">
        <f>IF(Select2=1,Food!$W58,"")</f>
        <v>5.9498058733315571E-3</v>
      </c>
      <c r="U56" s="689">
        <f>IF(Select2=1,Paper!$W58,"")</f>
        <v>5.7582143412334232E-2</v>
      </c>
      <c r="V56" s="681">
        <f>IF(Select2=1,Nappies!$W58,"")</f>
        <v>0</v>
      </c>
      <c r="W56" s="689">
        <f>IF(Select2=1,Garden!$W58,"")</f>
        <v>0</v>
      </c>
      <c r="X56" s="681">
        <f>IF(Select2=1,Wood!$W58,"")</f>
        <v>4.5784380009813337E-2</v>
      </c>
      <c r="Y56" s="689">
        <f>IF(Select2=1,Textiles!$W58,"")</f>
        <v>7.2312459168977876E-3</v>
      </c>
      <c r="Z56" s="683">
        <f>Sludge!W58</f>
        <v>0</v>
      </c>
      <c r="AA56" s="683" t="str">
        <f>IF(Select2=2,MSW!$W58,"")</f>
        <v/>
      </c>
      <c r="AB56" s="690">
        <f>Industry!$W58</f>
        <v>0</v>
      </c>
      <c r="AC56" s="691">
        <f t="shared" si="4"/>
        <v>0.11654757521237692</v>
      </c>
      <c r="AD56" s="692">
        <f>Recovery_OX!R51</f>
        <v>0</v>
      </c>
      <c r="AE56" s="648"/>
      <c r="AF56" s="694">
        <f>(AC56-AD56)*(1-Recovery_OX!U51)</f>
        <v>0.11654757521237692</v>
      </c>
    </row>
    <row r="57" spans="2:32">
      <c r="B57" s="687">
        <f t="shared" si="1"/>
        <v>2040</v>
      </c>
      <c r="C57" s="688">
        <f>IF(Select2=1,Food!$K59,"")</f>
        <v>5.9611404249218774E-3</v>
      </c>
      <c r="D57" s="689">
        <f>IF(Select2=1,Paper!$K59,"")</f>
        <v>2.5985589572825655E-2</v>
      </c>
      <c r="E57" s="681">
        <f>IF(Select2=1,Nappies!$K59,"")</f>
        <v>1.6542654355378376E-2</v>
      </c>
      <c r="F57" s="689">
        <f>IF(Select2=1,Garden!$K59,"")</f>
        <v>0</v>
      </c>
      <c r="G57" s="681">
        <f>IF(Select2=1,Wood!$K59,"")</f>
        <v>0</v>
      </c>
      <c r="H57" s="689">
        <f>IF(Select2=1,Textiles!$K59,"")</f>
        <v>6.1524117153612546E-3</v>
      </c>
      <c r="I57" s="690">
        <f>Sludge!K59</f>
        <v>0</v>
      </c>
      <c r="J57" s="690" t="str">
        <f>IF(Select2=2,MSW!$K59,"")</f>
        <v/>
      </c>
      <c r="K57" s="690">
        <f>Industry!$K59</f>
        <v>0</v>
      </c>
      <c r="L57" s="691">
        <f t="shared" si="3"/>
        <v>5.464179606848716E-2</v>
      </c>
      <c r="M57" s="692">
        <f>Recovery_OX!C52</f>
        <v>0</v>
      </c>
      <c r="N57" s="648"/>
      <c r="O57" s="693">
        <f>(L57-M57)*(1-Recovery_OX!F52)</f>
        <v>5.464179606848716E-2</v>
      </c>
      <c r="P57" s="640"/>
      <c r="Q57" s="650"/>
      <c r="S57" s="687">
        <f t="shared" si="2"/>
        <v>2040</v>
      </c>
      <c r="T57" s="688">
        <f>IF(Select2=1,Food!$W59,"")</f>
        <v>3.9882741469147269E-3</v>
      </c>
      <c r="U57" s="689">
        <f>IF(Select2=1,Paper!$W59,"")</f>
        <v>5.3689234654598447E-2</v>
      </c>
      <c r="V57" s="681">
        <f>IF(Select2=1,Nappies!$W59,"")</f>
        <v>0</v>
      </c>
      <c r="W57" s="689">
        <f>IF(Select2=1,Garden!$W59,"")</f>
        <v>0</v>
      </c>
      <c r="X57" s="681">
        <f>IF(Select2=1,Wood!$W59,"")</f>
        <v>4.420964531747041E-2</v>
      </c>
      <c r="Y57" s="689">
        <f>IF(Select2=1,Textiles!$W59,"")</f>
        <v>6.7423690031356192E-3</v>
      </c>
      <c r="Z57" s="683">
        <f>Sludge!W59</f>
        <v>0</v>
      </c>
      <c r="AA57" s="683" t="str">
        <f>IF(Select2=2,MSW!$W59,"")</f>
        <v/>
      </c>
      <c r="AB57" s="690">
        <f>Industry!$W59</f>
        <v>0</v>
      </c>
      <c r="AC57" s="691">
        <f t="shared" si="4"/>
        <v>0.1086295231221192</v>
      </c>
      <c r="AD57" s="692">
        <f>Recovery_OX!R52</f>
        <v>0</v>
      </c>
      <c r="AE57" s="648"/>
      <c r="AF57" s="694">
        <f>(AC57-AD57)*(1-Recovery_OX!U52)</f>
        <v>0.1086295231221192</v>
      </c>
    </row>
    <row r="58" spans="2:32">
      <c r="B58" s="687">
        <f t="shared" si="1"/>
        <v>2041</v>
      </c>
      <c r="C58" s="688">
        <f>IF(Select2=1,Food!$K60,"")</f>
        <v>3.9958719240585439E-3</v>
      </c>
      <c r="D58" s="689">
        <f>IF(Select2=1,Paper!$K60,"")</f>
        <v>2.4228803124315086E-2</v>
      </c>
      <c r="E58" s="681">
        <f>IF(Select2=1,Nappies!$K60,"")</f>
        <v>1.3956455452747662E-2</v>
      </c>
      <c r="F58" s="689">
        <f>IF(Select2=1,Garden!$K60,"")</f>
        <v>0</v>
      </c>
      <c r="G58" s="681">
        <f>IF(Select2=1,Wood!$K60,"")</f>
        <v>0</v>
      </c>
      <c r="H58" s="689">
        <f>IF(Select2=1,Textiles!$K60,"")</f>
        <v>5.7364706609197881E-3</v>
      </c>
      <c r="I58" s="690">
        <f>Sludge!K60</f>
        <v>0</v>
      </c>
      <c r="J58" s="690" t="str">
        <f>IF(Select2=2,MSW!$K60,"")</f>
        <v/>
      </c>
      <c r="K58" s="690">
        <f>Industry!$K60</f>
        <v>0</v>
      </c>
      <c r="L58" s="691">
        <f t="shared" si="3"/>
        <v>4.7917601162041079E-2</v>
      </c>
      <c r="M58" s="692">
        <f>Recovery_OX!C53</f>
        <v>0</v>
      </c>
      <c r="N58" s="648"/>
      <c r="O58" s="693">
        <f>(L58-M58)*(1-Recovery_OX!F53)</f>
        <v>4.7917601162041079E-2</v>
      </c>
      <c r="P58" s="640"/>
      <c r="Q58" s="650"/>
      <c r="S58" s="687">
        <f t="shared" si="2"/>
        <v>2041</v>
      </c>
      <c r="T58" s="688">
        <f>IF(Select2=1,Food!$W60,"")</f>
        <v>2.6734201097626297E-3</v>
      </c>
      <c r="U58" s="689">
        <f>IF(Select2=1,Paper!$W60,"")</f>
        <v>5.0059510587427865E-2</v>
      </c>
      <c r="V58" s="681">
        <f>IF(Select2=1,Nappies!$W60,"")</f>
        <v>0</v>
      </c>
      <c r="W58" s="689">
        <f>IF(Select2=1,Garden!$W60,"")</f>
        <v>0</v>
      </c>
      <c r="X58" s="681">
        <f>IF(Select2=1,Wood!$W60,"")</f>
        <v>4.2689072969375394E-2</v>
      </c>
      <c r="Y58" s="689">
        <f>IF(Select2=1,Textiles!$W60,"")</f>
        <v>6.2865431900490801E-3</v>
      </c>
      <c r="Z58" s="683">
        <f>Sludge!W60</f>
        <v>0</v>
      </c>
      <c r="AA58" s="683" t="str">
        <f>IF(Select2=2,MSW!$W60,"")</f>
        <v/>
      </c>
      <c r="AB58" s="690">
        <f>Industry!$W60</f>
        <v>0</v>
      </c>
      <c r="AC58" s="691">
        <f t="shared" si="4"/>
        <v>0.10170854685661497</v>
      </c>
      <c r="AD58" s="692">
        <f>Recovery_OX!R53</f>
        <v>0</v>
      </c>
      <c r="AE58" s="648"/>
      <c r="AF58" s="694">
        <f>(AC58-AD58)*(1-Recovery_OX!U53)</f>
        <v>0.10170854685661497</v>
      </c>
    </row>
    <row r="59" spans="2:32">
      <c r="B59" s="687">
        <f t="shared" si="1"/>
        <v>2042</v>
      </c>
      <c r="C59" s="688">
        <f>IF(Select2=1,Food!$K61,"")</f>
        <v>2.6785130520874416E-3</v>
      </c>
      <c r="D59" s="689">
        <f>IF(Select2=1,Paper!$K61,"")</f>
        <v>2.2590786296829316E-2</v>
      </c>
      <c r="E59" s="681">
        <f>IF(Select2=1,Nappies!$K61,"")</f>
        <v>1.1774570429877958E-2</v>
      </c>
      <c r="F59" s="689">
        <f>IF(Select2=1,Garden!$K61,"")</f>
        <v>0</v>
      </c>
      <c r="G59" s="681">
        <f>IF(Select2=1,Wood!$K61,"")</f>
        <v>0</v>
      </c>
      <c r="H59" s="689">
        <f>IF(Select2=1,Textiles!$K61,"")</f>
        <v>5.3486497923134011E-3</v>
      </c>
      <c r="I59" s="690">
        <f>Sludge!K61</f>
        <v>0</v>
      </c>
      <c r="J59" s="690" t="str">
        <f>IF(Select2=2,MSW!$K61,"")</f>
        <v/>
      </c>
      <c r="K59" s="690">
        <f>Industry!$K61</f>
        <v>0</v>
      </c>
      <c r="L59" s="691">
        <f t="shared" si="3"/>
        <v>4.2392519571108116E-2</v>
      </c>
      <c r="M59" s="692">
        <f>Recovery_OX!C54</f>
        <v>0</v>
      </c>
      <c r="N59" s="648"/>
      <c r="O59" s="693">
        <f>(L59-M59)*(1-Recovery_OX!F54)</f>
        <v>4.2392519571108116E-2</v>
      </c>
      <c r="P59" s="640"/>
      <c r="Q59" s="650"/>
      <c r="S59" s="687">
        <f t="shared" si="2"/>
        <v>2042</v>
      </c>
      <c r="T59" s="688">
        <f>IF(Select2=1,Food!$W61,"")</f>
        <v>1.7920470910486902E-3</v>
      </c>
      <c r="U59" s="689">
        <f>IF(Select2=1,Paper!$W61,"")</f>
        <v>4.6675178299234135E-2</v>
      </c>
      <c r="V59" s="681">
        <f>IF(Select2=1,Nappies!$W61,"")</f>
        <v>0</v>
      </c>
      <c r="W59" s="689">
        <f>IF(Select2=1,Garden!$W61,"")</f>
        <v>0</v>
      </c>
      <c r="X59" s="681">
        <f>IF(Select2=1,Wood!$W61,"")</f>
        <v>4.1220800074243356E-2</v>
      </c>
      <c r="Y59" s="689">
        <f>IF(Select2=1,Textiles!$W61,"")</f>
        <v>5.8615340189735882E-3</v>
      </c>
      <c r="Z59" s="683">
        <f>Sludge!W61</f>
        <v>0</v>
      </c>
      <c r="AA59" s="683" t="str">
        <f>IF(Select2=2,MSW!$W61,"")</f>
        <v/>
      </c>
      <c r="AB59" s="690">
        <f>Industry!$W61</f>
        <v>0</v>
      </c>
      <c r="AC59" s="691">
        <f t="shared" si="4"/>
        <v>9.554955948349976E-2</v>
      </c>
      <c r="AD59" s="692">
        <f>Recovery_OX!R54</f>
        <v>0</v>
      </c>
      <c r="AE59" s="648"/>
      <c r="AF59" s="694">
        <f>(AC59-AD59)*(1-Recovery_OX!U54)</f>
        <v>9.554955948349976E-2</v>
      </c>
    </row>
    <row r="60" spans="2:32">
      <c r="B60" s="687">
        <f t="shared" si="1"/>
        <v>2043</v>
      </c>
      <c r="C60" s="688">
        <f>IF(Select2=1,Food!$K62,"")</f>
        <v>1.7954609923823148E-3</v>
      </c>
      <c r="D60" s="689">
        <f>IF(Select2=1,Paper!$K62,"")</f>
        <v>2.1063509529979641E-2</v>
      </c>
      <c r="E60" s="681">
        <f>IF(Select2=1,Nappies!$K62,"")</f>
        <v>9.9337908022241895E-3</v>
      </c>
      <c r="F60" s="689">
        <f>IF(Select2=1,Garden!$K62,"")</f>
        <v>0</v>
      </c>
      <c r="G60" s="681">
        <f>IF(Select2=1,Wood!$K62,"")</f>
        <v>0</v>
      </c>
      <c r="H60" s="689">
        <f>IF(Select2=1,Textiles!$K62,"")</f>
        <v>4.9870480111942487E-3</v>
      </c>
      <c r="I60" s="690">
        <f>Sludge!K62</f>
        <v>0</v>
      </c>
      <c r="J60" s="690" t="str">
        <f>IF(Select2=2,MSW!$K62,"")</f>
        <v/>
      </c>
      <c r="K60" s="690">
        <f>Industry!$K62</f>
        <v>0</v>
      </c>
      <c r="L60" s="691">
        <f t="shared" si="3"/>
        <v>3.7779809335780394E-2</v>
      </c>
      <c r="M60" s="692">
        <f>Recovery_OX!C55</f>
        <v>0</v>
      </c>
      <c r="N60" s="648"/>
      <c r="O60" s="693">
        <f>(L60-M60)*(1-Recovery_OX!F55)</f>
        <v>3.7779809335780394E-2</v>
      </c>
      <c r="P60" s="640"/>
      <c r="Q60" s="650"/>
      <c r="S60" s="687">
        <f t="shared" si="2"/>
        <v>2043</v>
      </c>
      <c r="T60" s="688">
        <f>IF(Select2=1,Food!$W62,"")</f>
        <v>1.2012450885697916E-3</v>
      </c>
      <c r="U60" s="689">
        <f>IF(Select2=1,Paper!$W62,"")</f>
        <v>4.351964778921414E-2</v>
      </c>
      <c r="V60" s="681">
        <f>IF(Select2=1,Nappies!$W62,"")</f>
        <v>0</v>
      </c>
      <c r="W60" s="689">
        <f>IF(Select2=1,Garden!$W62,"")</f>
        <v>0</v>
      </c>
      <c r="X60" s="681">
        <f>IF(Select2=1,Wood!$W62,"")</f>
        <v>3.9803027814159689E-2</v>
      </c>
      <c r="Y60" s="689">
        <f>IF(Select2=1,Textiles!$W62,"")</f>
        <v>5.4652580944594487E-3</v>
      </c>
      <c r="Z60" s="683">
        <f>Sludge!W62</f>
        <v>0</v>
      </c>
      <c r="AA60" s="683" t="str">
        <f>IF(Select2=2,MSW!$W62,"")</f>
        <v/>
      </c>
      <c r="AB60" s="690">
        <f>Industry!$W62</f>
        <v>0</v>
      </c>
      <c r="AC60" s="691">
        <f t="shared" si="4"/>
        <v>8.9989178786403071E-2</v>
      </c>
      <c r="AD60" s="692">
        <f>Recovery_OX!R55</f>
        <v>0</v>
      </c>
      <c r="AE60" s="648"/>
      <c r="AF60" s="694">
        <f>(AC60-AD60)*(1-Recovery_OX!U55)</f>
        <v>8.9989178786403071E-2</v>
      </c>
    </row>
    <row r="61" spans="2:32">
      <c r="B61" s="687">
        <f t="shared" si="1"/>
        <v>2044</v>
      </c>
      <c r="C61" s="688">
        <f>IF(Select2=1,Food!$K63,"")</f>
        <v>1.2035334950689079E-3</v>
      </c>
      <c r="D61" s="689">
        <f>IF(Select2=1,Paper!$K63,"")</f>
        <v>1.963948611128306E-2</v>
      </c>
      <c r="E61" s="681">
        <f>IF(Select2=1,Nappies!$K63,"")</f>
        <v>8.3807897952653133E-3</v>
      </c>
      <c r="F61" s="689">
        <f>IF(Select2=1,Garden!$K63,"")</f>
        <v>0</v>
      </c>
      <c r="G61" s="681">
        <f>IF(Select2=1,Wood!$K63,"")</f>
        <v>0</v>
      </c>
      <c r="H61" s="689">
        <f>IF(Select2=1,Textiles!$K63,"")</f>
        <v>4.6498927452117674E-3</v>
      </c>
      <c r="I61" s="690">
        <f>Sludge!K63</f>
        <v>0</v>
      </c>
      <c r="J61" s="690" t="str">
        <f>IF(Select2=2,MSW!$K63,"")</f>
        <v/>
      </c>
      <c r="K61" s="690">
        <f>Industry!$K63</f>
        <v>0</v>
      </c>
      <c r="L61" s="691">
        <f t="shared" si="3"/>
        <v>3.3873702146829054E-2</v>
      </c>
      <c r="M61" s="692">
        <f>Recovery_OX!C56</f>
        <v>0</v>
      </c>
      <c r="N61" s="648"/>
      <c r="O61" s="693">
        <f>(L61-M61)*(1-Recovery_OX!F56)</f>
        <v>3.3873702146829054E-2</v>
      </c>
      <c r="P61" s="640"/>
      <c r="Q61" s="650"/>
      <c r="S61" s="687">
        <f t="shared" si="2"/>
        <v>2044</v>
      </c>
      <c r="T61" s="688">
        <f>IF(Select2=1,Food!$W63,"")</f>
        <v>8.0521866307018829E-4</v>
      </c>
      <c r="U61" s="689">
        <f>IF(Select2=1,Paper!$W63,"")</f>
        <v>4.0577450643146828E-2</v>
      </c>
      <c r="V61" s="681">
        <f>IF(Select2=1,Nappies!$W63,"")</f>
        <v>0</v>
      </c>
      <c r="W61" s="689">
        <f>IF(Select2=1,Garden!$W63,"")</f>
        <v>0</v>
      </c>
      <c r="X61" s="681">
        <f>IF(Select2=1,Wood!$W63,"")</f>
        <v>3.8434019240803155E-2</v>
      </c>
      <c r="Y61" s="689">
        <f>IF(Select2=1,Textiles!$W63,"")</f>
        <v>5.095772871464949E-3</v>
      </c>
      <c r="Z61" s="683">
        <f>Sludge!W63</f>
        <v>0</v>
      </c>
      <c r="AA61" s="683" t="str">
        <f>IF(Select2=2,MSW!$W63,"")</f>
        <v/>
      </c>
      <c r="AB61" s="690">
        <f>Industry!$W63</f>
        <v>0</v>
      </c>
      <c r="AC61" s="691">
        <f t="shared" si="4"/>
        <v>8.491246141848513E-2</v>
      </c>
      <c r="AD61" s="692">
        <f>Recovery_OX!R56</f>
        <v>0</v>
      </c>
      <c r="AE61" s="648"/>
      <c r="AF61" s="694">
        <f>(AC61-AD61)*(1-Recovery_OX!U56)</f>
        <v>8.491246141848513E-2</v>
      </c>
    </row>
    <row r="62" spans="2:32">
      <c r="B62" s="687">
        <f t="shared" si="1"/>
        <v>2045</v>
      </c>
      <c r="C62" s="688">
        <f>IF(Select2=1,Food!$K64,"")</f>
        <v>8.0675262782002426E-4</v>
      </c>
      <c r="D62" s="689">
        <f>IF(Select2=1,Paper!$K64,"")</f>
        <v>1.8311735476289032E-2</v>
      </c>
      <c r="E62" s="681">
        <f>IF(Select2=1,Nappies!$K64,"")</f>
        <v>7.0705774855553544E-3</v>
      </c>
      <c r="F62" s="689">
        <f>IF(Select2=1,Garden!$K64,"")</f>
        <v>0</v>
      </c>
      <c r="G62" s="681">
        <f>IF(Select2=1,Wood!$K64,"")</f>
        <v>0</v>
      </c>
      <c r="H62" s="689">
        <f>IF(Select2=1,Textiles!$K64,"")</f>
        <v>4.3355312588609562E-3</v>
      </c>
      <c r="I62" s="690">
        <f>Sludge!K64</f>
        <v>0</v>
      </c>
      <c r="J62" s="690" t="str">
        <f>IF(Select2=2,MSW!$K64,"")</f>
        <v/>
      </c>
      <c r="K62" s="690">
        <f>Industry!$K64</f>
        <v>0</v>
      </c>
      <c r="L62" s="691">
        <f t="shared" si="3"/>
        <v>3.0524596848525369E-2</v>
      </c>
      <c r="M62" s="692">
        <f>Recovery_OX!C57</f>
        <v>0</v>
      </c>
      <c r="N62" s="648"/>
      <c r="O62" s="693">
        <f>(L62-M62)*(1-Recovery_OX!F57)</f>
        <v>3.0524596848525369E-2</v>
      </c>
      <c r="P62" s="640"/>
      <c r="Q62" s="650"/>
      <c r="S62" s="687">
        <f t="shared" si="2"/>
        <v>2045</v>
      </c>
      <c r="T62" s="688">
        <f>IF(Select2=1,Food!$W64,"")</f>
        <v>5.3975421129796451E-4</v>
      </c>
      <c r="U62" s="689">
        <f>IF(Select2=1,Paper!$W64,"")</f>
        <v>3.7834164207208747E-2</v>
      </c>
      <c r="V62" s="681">
        <f>IF(Select2=1,Nappies!$W64,"")</f>
        <v>0</v>
      </c>
      <c r="W62" s="689">
        <f>IF(Select2=1,Garden!$W64,"")</f>
        <v>0</v>
      </c>
      <c r="X62" s="681">
        <f>IF(Select2=1,Wood!$W64,"")</f>
        <v>3.7112097147467049E-2</v>
      </c>
      <c r="Y62" s="689">
        <f>IF(Select2=1,Textiles!$W64,"")</f>
        <v>4.7512671329983068E-3</v>
      </c>
      <c r="Z62" s="683">
        <f>Sludge!W64</f>
        <v>0</v>
      </c>
      <c r="AA62" s="683" t="str">
        <f>IF(Select2=2,MSW!$W64,"")</f>
        <v/>
      </c>
      <c r="AB62" s="690">
        <f>Industry!$W64</f>
        <v>0</v>
      </c>
      <c r="AC62" s="691">
        <f t="shared" si="4"/>
        <v>8.0237282698972068E-2</v>
      </c>
      <c r="AD62" s="692">
        <f>Recovery_OX!R57</f>
        <v>0</v>
      </c>
      <c r="AE62" s="648"/>
      <c r="AF62" s="694">
        <f>(AC62-AD62)*(1-Recovery_OX!U57)</f>
        <v>8.0237282698972068E-2</v>
      </c>
    </row>
    <row r="63" spans="2:32">
      <c r="B63" s="687">
        <f t="shared" si="1"/>
        <v>2046</v>
      </c>
      <c r="C63" s="688">
        <f>IF(Select2=1,Food!$K65,"")</f>
        <v>5.4078245861969166E-4</v>
      </c>
      <c r="D63" s="689">
        <f>IF(Select2=1,Paper!$K65,"")</f>
        <v>1.7073748989844397E-2</v>
      </c>
      <c r="E63" s="681">
        <f>IF(Select2=1,Nappies!$K65,"")</f>
        <v>5.9651974575815787E-3</v>
      </c>
      <c r="F63" s="689">
        <f>IF(Select2=1,Garden!$K65,"")</f>
        <v>0</v>
      </c>
      <c r="G63" s="681">
        <f>IF(Select2=1,Wood!$K65,"")</f>
        <v>0</v>
      </c>
      <c r="H63" s="689">
        <f>IF(Select2=1,Textiles!$K65,"")</f>
        <v>4.0424225517710112E-3</v>
      </c>
      <c r="I63" s="690">
        <f>Sludge!K65</f>
        <v>0</v>
      </c>
      <c r="J63" s="690" t="str">
        <f>IF(Select2=2,MSW!$K65,"")</f>
        <v/>
      </c>
      <c r="K63" s="690">
        <f>Industry!$K65</f>
        <v>0</v>
      </c>
      <c r="L63" s="691">
        <f t="shared" si="3"/>
        <v>2.7622151457816678E-2</v>
      </c>
      <c r="M63" s="692">
        <f>Recovery_OX!C58</f>
        <v>0</v>
      </c>
      <c r="N63" s="648"/>
      <c r="O63" s="693">
        <f>(L63-M63)*(1-Recovery_OX!F58)</f>
        <v>2.7622151457816678E-2</v>
      </c>
      <c r="P63" s="640"/>
      <c r="Q63" s="650"/>
      <c r="S63" s="687">
        <f t="shared" si="2"/>
        <v>2046</v>
      </c>
      <c r="T63" s="688">
        <f>IF(Select2=1,Food!$W65,"")</f>
        <v>3.6180806776518184E-4</v>
      </c>
      <c r="U63" s="689">
        <f>IF(Select2=1,Paper!$W65,"")</f>
        <v>3.5276340888108271E-2</v>
      </c>
      <c r="V63" s="681">
        <f>IF(Select2=1,Nappies!$W65,"")</f>
        <v>0</v>
      </c>
      <c r="W63" s="689">
        <f>IF(Select2=1,Garden!$W65,"")</f>
        <v>0</v>
      </c>
      <c r="X63" s="681">
        <f>IF(Select2=1,Wood!$W65,"")</f>
        <v>3.5835642014271168E-2</v>
      </c>
      <c r="Y63" s="689">
        <f>IF(Select2=1,Textiles!$W65,"")</f>
        <v>4.4300521115298742E-3</v>
      </c>
      <c r="Z63" s="683">
        <f>Sludge!W65</f>
        <v>0</v>
      </c>
      <c r="AA63" s="683" t="str">
        <f>IF(Select2=2,MSW!$W65,"")</f>
        <v/>
      </c>
      <c r="AB63" s="690">
        <f>Industry!$W65</f>
        <v>0</v>
      </c>
      <c r="AC63" s="691">
        <f t="shared" si="4"/>
        <v>7.5903843081674485E-2</v>
      </c>
      <c r="AD63" s="692">
        <f>Recovery_OX!R58</f>
        <v>0</v>
      </c>
      <c r="AE63" s="648"/>
      <c r="AF63" s="694">
        <f>(AC63-AD63)*(1-Recovery_OX!U58)</f>
        <v>7.5903843081674485E-2</v>
      </c>
    </row>
    <row r="64" spans="2:32">
      <c r="B64" s="687">
        <f t="shared" si="1"/>
        <v>2047</v>
      </c>
      <c r="C64" s="688">
        <f>IF(Select2=1,Food!$K66,"")</f>
        <v>3.6249732255721795E-4</v>
      </c>
      <c r="D64" s="689">
        <f>IF(Select2=1,Paper!$K66,"")</f>
        <v>1.5919458040756344E-2</v>
      </c>
      <c r="E64" s="681">
        <f>IF(Select2=1,Nappies!$K66,"")</f>
        <v>5.0326272190117762E-3</v>
      </c>
      <c r="F64" s="689">
        <f>IF(Select2=1,Garden!$K66,"")</f>
        <v>0</v>
      </c>
      <c r="G64" s="681">
        <f>IF(Select2=1,Wood!$K66,"")</f>
        <v>0</v>
      </c>
      <c r="H64" s="689">
        <f>IF(Select2=1,Textiles!$K66,"")</f>
        <v>3.7691298047197249E-3</v>
      </c>
      <c r="I64" s="690">
        <f>Sludge!K66</f>
        <v>0</v>
      </c>
      <c r="J64" s="690" t="str">
        <f>IF(Select2=2,MSW!$K66,"")</f>
        <v/>
      </c>
      <c r="K64" s="690">
        <f>Industry!$K66</f>
        <v>0</v>
      </c>
      <c r="L64" s="691">
        <f t="shared" si="3"/>
        <v>2.508371238704506E-2</v>
      </c>
      <c r="M64" s="692">
        <f>Recovery_OX!C59</f>
        <v>0</v>
      </c>
      <c r="N64" s="648"/>
      <c r="O64" s="693">
        <f>(L64-M64)*(1-Recovery_OX!F59)</f>
        <v>2.508371238704506E-2</v>
      </c>
      <c r="P64" s="640"/>
      <c r="Q64" s="650"/>
      <c r="S64" s="687">
        <f t="shared" si="2"/>
        <v>2047</v>
      </c>
      <c r="T64" s="688">
        <f>IF(Select2=1,Food!$W66,"")</f>
        <v>2.4252720064042236E-4</v>
      </c>
      <c r="U64" s="689">
        <f>IF(Select2=1,Paper!$W66,"")</f>
        <v>3.2891442232967659E-2</v>
      </c>
      <c r="V64" s="681">
        <f>IF(Select2=1,Nappies!$W66,"")</f>
        <v>0</v>
      </c>
      <c r="W64" s="689">
        <f>IF(Select2=1,Garden!$W66,"")</f>
        <v>0</v>
      </c>
      <c r="X64" s="681">
        <f>IF(Select2=1,Wood!$W66,"")</f>
        <v>3.4603090024047448E-2</v>
      </c>
      <c r="Y64" s="689">
        <f>IF(Select2=1,Textiles!$W66,"")</f>
        <v>4.1305532106517516E-3</v>
      </c>
      <c r="Z64" s="683">
        <f>Sludge!W66</f>
        <v>0</v>
      </c>
      <c r="AA64" s="683" t="str">
        <f>IF(Select2=2,MSW!$W66,"")</f>
        <v/>
      </c>
      <c r="AB64" s="690">
        <f>Industry!$W66</f>
        <v>0</v>
      </c>
      <c r="AC64" s="691">
        <f t="shared" si="4"/>
        <v>7.1867612668307282E-2</v>
      </c>
      <c r="AD64" s="692">
        <f>Recovery_OX!R59</f>
        <v>0</v>
      </c>
      <c r="AE64" s="648"/>
      <c r="AF64" s="694">
        <f>(AC64-AD64)*(1-Recovery_OX!U59)</f>
        <v>7.1867612668307282E-2</v>
      </c>
    </row>
    <row r="65" spans="2:32">
      <c r="B65" s="687">
        <f t="shared" si="1"/>
        <v>2048</v>
      </c>
      <c r="C65" s="688">
        <f>IF(Select2=1,Food!$K67,"")</f>
        <v>2.4298922194435036E-4</v>
      </c>
      <c r="D65" s="689">
        <f>IF(Select2=1,Paper!$K67,"")</f>
        <v>1.4843204293453271E-2</v>
      </c>
      <c r="E65" s="681">
        <f>IF(Select2=1,Nappies!$K67,"")</f>
        <v>4.2458505197255393E-3</v>
      </c>
      <c r="F65" s="689">
        <f>IF(Select2=1,Garden!$K67,"")</f>
        <v>0</v>
      </c>
      <c r="G65" s="681">
        <f>IF(Select2=1,Wood!$K67,"")</f>
        <v>0</v>
      </c>
      <c r="H65" s="689">
        <f>IF(Select2=1,Textiles!$K67,"")</f>
        <v>3.5143133363439846E-3</v>
      </c>
      <c r="I65" s="690">
        <f>Sludge!K67</f>
        <v>0</v>
      </c>
      <c r="J65" s="690" t="str">
        <f>IF(Select2=2,MSW!$K67,"")</f>
        <v/>
      </c>
      <c r="K65" s="690">
        <f>Industry!$K67</f>
        <v>0</v>
      </c>
      <c r="L65" s="691">
        <f t="shared" si="3"/>
        <v>2.2846357371467146E-2</v>
      </c>
      <c r="M65" s="692">
        <f>Recovery_OX!C60</f>
        <v>0</v>
      </c>
      <c r="N65" s="648"/>
      <c r="O65" s="693">
        <f>(L65-M65)*(1-Recovery_OX!F60)</f>
        <v>2.2846357371467146E-2</v>
      </c>
      <c r="P65" s="640"/>
      <c r="Q65" s="650"/>
      <c r="S65" s="687">
        <f t="shared" si="2"/>
        <v>2048</v>
      </c>
      <c r="T65" s="688">
        <f>IF(Select2=1,Food!$W67,"")</f>
        <v>1.6257084429818265E-4</v>
      </c>
      <c r="U65" s="689">
        <f>IF(Select2=1,Paper!$W67,"")</f>
        <v>3.0667777465812552E-2</v>
      </c>
      <c r="V65" s="681">
        <f>IF(Select2=1,Nappies!$W67,"")</f>
        <v>0</v>
      </c>
      <c r="W65" s="689">
        <f>IF(Select2=1,Garden!$W67,"")</f>
        <v>0</v>
      </c>
      <c r="X65" s="681">
        <f>IF(Select2=1,Wood!$W67,"")</f>
        <v>3.3412931146468386E-2</v>
      </c>
      <c r="Y65" s="689">
        <f>IF(Select2=1,Textiles!$W67,"")</f>
        <v>3.8513022864043651E-3</v>
      </c>
      <c r="Z65" s="683">
        <f>Sludge!W67</f>
        <v>0</v>
      </c>
      <c r="AA65" s="683" t="str">
        <f>IF(Select2=2,MSW!$W67,"")</f>
        <v/>
      </c>
      <c r="AB65" s="690">
        <f>Industry!$W67</f>
        <v>0</v>
      </c>
      <c r="AC65" s="691">
        <f t="shared" si="4"/>
        <v>6.8094581742983482E-2</v>
      </c>
      <c r="AD65" s="692">
        <f>Recovery_OX!R60</f>
        <v>0</v>
      </c>
      <c r="AE65" s="648"/>
      <c r="AF65" s="694">
        <f>(AC65-AD65)*(1-Recovery_OX!U60)</f>
        <v>6.8094581742983482E-2</v>
      </c>
    </row>
    <row r="66" spans="2:32">
      <c r="B66" s="687">
        <f t="shared" si="1"/>
        <v>2049</v>
      </c>
      <c r="C66" s="688">
        <f>IF(Select2=1,Food!$K68,"")</f>
        <v>1.628805464399011E-4</v>
      </c>
      <c r="D66" s="689">
        <f>IF(Select2=1,Paper!$K68,"")</f>
        <v>1.3839711950817266E-2</v>
      </c>
      <c r="E66" s="681">
        <f>IF(Select2=1,Nappies!$K68,"")</f>
        <v>3.5820747000199068E-3</v>
      </c>
      <c r="F66" s="689">
        <f>IF(Select2=1,Garden!$K68,"")</f>
        <v>0</v>
      </c>
      <c r="G66" s="681">
        <f>IF(Select2=1,Wood!$K68,"")</f>
        <v>0</v>
      </c>
      <c r="H66" s="689">
        <f>IF(Select2=1,Textiles!$K68,"")</f>
        <v>3.2767240360201859E-3</v>
      </c>
      <c r="I66" s="690">
        <f>Sludge!K68</f>
        <v>0</v>
      </c>
      <c r="J66" s="690" t="str">
        <f>IF(Select2=2,MSW!$K68,"")</f>
        <v/>
      </c>
      <c r="K66" s="690">
        <f>Industry!$K68</f>
        <v>0</v>
      </c>
      <c r="L66" s="691">
        <f t="shared" si="3"/>
        <v>2.086139123329726E-2</v>
      </c>
      <c r="M66" s="692">
        <f>Recovery_OX!C61</f>
        <v>0</v>
      </c>
      <c r="N66" s="648"/>
      <c r="O66" s="693">
        <f>(L66-M66)*(1-Recovery_OX!F61)</f>
        <v>2.086139123329726E-2</v>
      </c>
      <c r="P66" s="640"/>
      <c r="Q66" s="650"/>
      <c r="S66" s="687">
        <f t="shared" si="2"/>
        <v>2049</v>
      </c>
      <c r="T66" s="688">
        <f>IF(Select2=1,Food!$W68,"")</f>
        <v>1.0897449583401055E-4</v>
      </c>
      <c r="U66" s="689">
        <f>IF(Select2=1,Paper!$W68,"")</f>
        <v>2.8594446179374528E-2</v>
      </c>
      <c r="V66" s="681">
        <f>IF(Select2=1,Nappies!$W68,"")</f>
        <v>0</v>
      </c>
      <c r="W66" s="689">
        <f>IF(Select2=1,Garden!$W68,"")</f>
        <v>0</v>
      </c>
      <c r="X66" s="681">
        <f>IF(Select2=1,Wood!$W68,"")</f>
        <v>3.2263707288071007E-2</v>
      </c>
      <c r="Y66" s="689">
        <f>IF(Select2=1,Textiles!$W68,"")</f>
        <v>3.5909304504330788E-3</v>
      </c>
      <c r="Z66" s="683">
        <f>Sludge!W68</f>
        <v>0</v>
      </c>
      <c r="AA66" s="683" t="str">
        <f>IF(Select2=2,MSW!$W68,"")</f>
        <v/>
      </c>
      <c r="AB66" s="690">
        <f>Industry!$W68</f>
        <v>0</v>
      </c>
      <c r="AC66" s="691">
        <f t="shared" si="4"/>
        <v>6.4558058413712621E-2</v>
      </c>
      <c r="AD66" s="692">
        <f>Recovery_OX!R61</f>
        <v>0</v>
      </c>
      <c r="AE66" s="648"/>
      <c r="AF66" s="694">
        <f>(AC66-AD66)*(1-Recovery_OX!U61)</f>
        <v>6.4558058413712621E-2</v>
      </c>
    </row>
    <row r="67" spans="2:32">
      <c r="B67" s="687">
        <f t="shared" si="1"/>
        <v>2050</v>
      </c>
      <c r="C67" s="688">
        <f>IF(Select2=1,Food!$K69,"")</f>
        <v>1.0918209538790461E-4</v>
      </c>
      <c r="D67" s="689">
        <f>IF(Select2=1,Paper!$K69,"")</f>
        <v>1.2904061892220514E-2</v>
      </c>
      <c r="E67" s="681">
        <f>IF(Select2=1,Nappies!$K69,"")</f>
        <v>3.0220703948268413E-3</v>
      </c>
      <c r="F67" s="689">
        <f>IF(Select2=1,Garden!$K69,"")</f>
        <v>0</v>
      </c>
      <c r="G67" s="681">
        <f>IF(Select2=1,Wood!$K69,"")</f>
        <v>0</v>
      </c>
      <c r="H67" s="689">
        <f>IF(Select2=1,Textiles!$K69,"")</f>
        <v>3.055197240722497E-3</v>
      </c>
      <c r="I67" s="690">
        <f>Sludge!K69</f>
        <v>0</v>
      </c>
      <c r="J67" s="690" t="str">
        <f>IF(Select2=2,MSW!$K69,"")</f>
        <v/>
      </c>
      <c r="K67" s="690">
        <f>Industry!$K69</f>
        <v>0</v>
      </c>
      <c r="L67" s="691">
        <f t="shared" si="3"/>
        <v>1.9090511623157756E-2</v>
      </c>
      <c r="M67" s="692">
        <f>Recovery_OX!C62</f>
        <v>0</v>
      </c>
      <c r="N67" s="648"/>
      <c r="O67" s="693">
        <f>(L67-M67)*(1-Recovery_OX!F62)</f>
        <v>1.9090511623157756E-2</v>
      </c>
      <c r="P67" s="640"/>
      <c r="Q67" s="650"/>
      <c r="S67" s="687">
        <f t="shared" si="2"/>
        <v>2050</v>
      </c>
      <c r="T67" s="688">
        <f>IF(Select2=1,Food!$W69,"")</f>
        <v>7.3047789064164533E-5</v>
      </c>
      <c r="U67" s="689">
        <f>IF(Select2=1,Paper!$W69,"")</f>
        <v>2.6661284901282063E-2</v>
      </c>
      <c r="V67" s="681">
        <f>IF(Select2=1,Nappies!$W69,"")</f>
        <v>0</v>
      </c>
      <c r="W67" s="689">
        <f>IF(Select2=1,Garden!$W69,"")</f>
        <v>0</v>
      </c>
      <c r="X67" s="681">
        <f>IF(Select2=1,Wood!$W69,"")</f>
        <v>3.1154010505910087E-2</v>
      </c>
      <c r="Y67" s="689">
        <f>IF(Select2=1,Textiles!$W69,"")</f>
        <v>3.3481613596958852E-3</v>
      </c>
      <c r="Z67" s="683">
        <f>Sludge!W69</f>
        <v>0</v>
      </c>
      <c r="AA67" s="683" t="str">
        <f>IF(Select2=2,MSW!$W69,"")</f>
        <v/>
      </c>
      <c r="AB67" s="690">
        <f>Industry!$W69</f>
        <v>0</v>
      </c>
      <c r="AC67" s="691">
        <f t="shared" si="4"/>
        <v>6.1236504555952198E-2</v>
      </c>
      <c r="AD67" s="692">
        <f>Recovery_OX!R62</f>
        <v>0</v>
      </c>
      <c r="AE67" s="648"/>
      <c r="AF67" s="694">
        <f>(AC67-AD67)*(1-Recovery_OX!U62)</f>
        <v>6.1236504555952198E-2</v>
      </c>
    </row>
    <row r="68" spans="2:32">
      <c r="B68" s="687">
        <f t="shared" si="1"/>
        <v>2051</v>
      </c>
      <c r="C68" s="688">
        <f>IF(Select2=1,Food!$K70,"")</f>
        <v>7.3186947206687773E-5</v>
      </c>
      <c r="D68" s="689">
        <f>IF(Select2=1,Paper!$K70,"")</f>
        <v>1.2031667559990262E-2</v>
      </c>
      <c r="E68" s="681">
        <f>IF(Select2=1,Nappies!$K70,"")</f>
        <v>2.5496144653929477E-3</v>
      </c>
      <c r="F68" s="689">
        <f>IF(Select2=1,Garden!$K70,"")</f>
        <v>0</v>
      </c>
      <c r="G68" s="681">
        <f>IF(Select2=1,Wood!$K70,"")</f>
        <v>0</v>
      </c>
      <c r="H68" s="689">
        <f>IF(Select2=1,Textiles!$K70,"")</f>
        <v>2.8486470258433619E-3</v>
      </c>
      <c r="I68" s="690">
        <f>Sludge!K70</f>
        <v>0</v>
      </c>
      <c r="J68" s="690" t="str">
        <f>IF(Select2=2,MSW!$K70,"")</f>
        <v/>
      </c>
      <c r="K68" s="690">
        <f>Industry!$K70</f>
        <v>0</v>
      </c>
      <c r="L68" s="691">
        <f t="shared" si="3"/>
        <v>1.7503115998433259E-2</v>
      </c>
      <c r="M68" s="692">
        <f>Recovery_OX!C63</f>
        <v>0</v>
      </c>
      <c r="N68" s="648"/>
      <c r="O68" s="693">
        <f>(L68-M68)*(1-Recovery_OX!F63)</f>
        <v>1.7503115998433259E-2</v>
      </c>
      <c r="P68" s="640"/>
      <c r="Q68" s="650"/>
      <c r="S68" s="687">
        <f t="shared" si="2"/>
        <v>2051</v>
      </c>
      <c r="T68" s="688">
        <f>IF(Select2=1,Food!$W70,"")</f>
        <v>4.8965397328292442E-5</v>
      </c>
      <c r="U68" s="689">
        <f>IF(Select2=1,Paper!$W70,"")</f>
        <v>2.4858817272707168E-2</v>
      </c>
      <c r="V68" s="681">
        <f>IF(Select2=1,Nappies!$W70,"")</f>
        <v>0</v>
      </c>
      <c r="W68" s="689">
        <f>IF(Select2=1,Garden!$W70,"")</f>
        <v>0</v>
      </c>
      <c r="X68" s="681">
        <f>IF(Select2=1,Wood!$W70,"")</f>
        <v>3.008248128265191E-2</v>
      </c>
      <c r="Y68" s="689">
        <f>IF(Select2=1,Textiles!$W70,"")</f>
        <v>3.1218049598283407E-3</v>
      </c>
      <c r="Z68" s="683">
        <f>Sludge!W70</f>
        <v>0</v>
      </c>
      <c r="AA68" s="683" t="str">
        <f>IF(Select2=2,MSW!$W70,"")</f>
        <v/>
      </c>
      <c r="AB68" s="690">
        <f>Industry!$W70</f>
        <v>0</v>
      </c>
      <c r="AC68" s="691">
        <f t="shared" si="4"/>
        <v>5.8112068912515712E-2</v>
      </c>
      <c r="AD68" s="692">
        <f>Recovery_OX!R63</f>
        <v>0</v>
      </c>
      <c r="AE68" s="648"/>
      <c r="AF68" s="694">
        <f>(AC68-AD68)*(1-Recovery_OX!U63)</f>
        <v>5.8112068912515712E-2</v>
      </c>
    </row>
    <row r="69" spans="2:32">
      <c r="B69" s="687">
        <f t="shared" si="1"/>
        <v>2052</v>
      </c>
      <c r="C69" s="688">
        <f>IF(Select2=1,Food!$K71,"")</f>
        <v>4.9058677820794857E-5</v>
      </c>
      <c r="D69" s="689">
        <f>IF(Select2=1,Paper!$K71,"")</f>
        <v>1.1218252476097802E-2</v>
      </c>
      <c r="E69" s="681">
        <f>IF(Select2=1,Nappies!$K71,"")</f>
        <v>2.151020020337228E-3</v>
      </c>
      <c r="F69" s="689">
        <f>IF(Select2=1,Garden!$K71,"")</f>
        <v>0</v>
      </c>
      <c r="G69" s="681">
        <f>IF(Select2=1,Wood!$K71,"")</f>
        <v>0</v>
      </c>
      <c r="H69" s="689">
        <f>IF(Select2=1,Textiles!$K71,"")</f>
        <v>2.6560608819898111E-3</v>
      </c>
      <c r="I69" s="690">
        <f>Sludge!K71</f>
        <v>0</v>
      </c>
      <c r="J69" s="690" t="str">
        <f>IF(Select2=2,MSW!$K71,"")</f>
        <v/>
      </c>
      <c r="K69" s="690">
        <f>Industry!$K71</f>
        <v>0</v>
      </c>
      <c r="L69" s="691">
        <f t="shared" si="3"/>
        <v>1.6074392056245636E-2</v>
      </c>
      <c r="M69" s="692">
        <f>Recovery_OX!C64</f>
        <v>0</v>
      </c>
      <c r="N69" s="648"/>
      <c r="O69" s="693">
        <f>(L69-M69)*(1-Recovery_OX!F64)</f>
        <v>1.6074392056245636E-2</v>
      </c>
      <c r="P69" s="640"/>
      <c r="Q69" s="650"/>
      <c r="S69" s="687">
        <f t="shared" si="2"/>
        <v>2052</v>
      </c>
      <c r="T69" s="688">
        <f>IF(Select2=1,Food!$W71,"")</f>
        <v>3.2822487391254355E-5</v>
      </c>
      <c r="U69" s="689">
        <f>IF(Select2=1,Paper!$W71,"")</f>
        <v>2.3178207595243402E-2</v>
      </c>
      <c r="V69" s="681">
        <f>IF(Select2=1,Nappies!$W71,"")</f>
        <v>0</v>
      </c>
      <c r="W69" s="689">
        <f>IF(Select2=1,Garden!$W71,"")</f>
        <v>0</v>
      </c>
      <c r="X69" s="681">
        <f>IF(Select2=1,Wood!$W71,"")</f>
        <v>2.9047806860995548E-2</v>
      </c>
      <c r="Y69" s="689">
        <f>IF(Select2=1,Textiles!$W71,"")</f>
        <v>2.9107516514956817E-3</v>
      </c>
      <c r="Z69" s="683">
        <f>Sludge!W71</f>
        <v>0</v>
      </c>
      <c r="AA69" s="683" t="str">
        <f>IF(Select2=2,MSW!$W71,"")</f>
        <v/>
      </c>
      <c r="AB69" s="690">
        <f>Industry!$W71</f>
        <v>0</v>
      </c>
      <c r="AC69" s="691">
        <f t="shared" si="4"/>
        <v>5.5169588595125885E-2</v>
      </c>
      <c r="AD69" s="692">
        <f>Recovery_OX!R64</f>
        <v>0</v>
      </c>
      <c r="AE69" s="648"/>
      <c r="AF69" s="694">
        <f>(AC69-AD69)*(1-Recovery_OX!U64)</f>
        <v>5.5169588595125885E-2</v>
      </c>
    </row>
    <row r="70" spans="2:32">
      <c r="B70" s="687">
        <f t="shared" si="1"/>
        <v>2053</v>
      </c>
      <c r="C70" s="688">
        <f>IF(Select2=1,Food!$K72,"")</f>
        <v>3.2885015175282805E-5</v>
      </c>
      <c r="D70" s="689">
        <f>IF(Select2=1,Paper!$K72,"")</f>
        <v>1.0459829278858192E-2</v>
      </c>
      <c r="E70" s="681">
        <f>IF(Select2=1,Nappies!$K72,"")</f>
        <v>1.8147399109529573E-3</v>
      </c>
      <c r="F70" s="689">
        <f>IF(Select2=1,Garden!$K72,"")</f>
        <v>0</v>
      </c>
      <c r="G70" s="681">
        <f>IF(Select2=1,Wood!$K72,"")</f>
        <v>0</v>
      </c>
      <c r="H70" s="689">
        <f>IF(Select2=1,Textiles!$K72,"")</f>
        <v>2.476494751661242E-3</v>
      </c>
      <c r="I70" s="690">
        <f>Sludge!K72</f>
        <v>0</v>
      </c>
      <c r="J70" s="690" t="str">
        <f>IF(Select2=2,MSW!$K72,"")</f>
        <v/>
      </c>
      <c r="K70" s="690">
        <f>Industry!$K72</f>
        <v>0</v>
      </c>
      <c r="L70" s="691">
        <f t="shared" si="3"/>
        <v>1.4783948956647676E-2</v>
      </c>
      <c r="M70" s="692">
        <f>Recovery_OX!C65</f>
        <v>0</v>
      </c>
      <c r="N70" s="648"/>
      <c r="O70" s="693">
        <f>(L70-M70)*(1-Recovery_OX!F65)</f>
        <v>1.4783948956647676E-2</v>
      </c>
      <c r="P70" s="640"/>
      <c r="Q70" s="650"/>
      <c r="S70" s="687">
        <f t="shared" si="2"/>
        <v>2053</v>
      </c>
      <c r="T70" s="688">
        <f>IF(Select2=1,Food!$W72,"")</f>
        <v>2.2001571259109815E-5</v>
      </c>
      <c r="U70" s="689">
        <f>IF(Select2=1,Paper!$W72,"")</f>
        <v>2.161121751830206E-2</v>
      </c>
      <c r="V70" s="681">
        <f>IF(Select2=1,Nappies!$W72,"")</f>
        <v>0</v>
      </c>
      <c r="W70" s="689">
        <f>IF(Select2=1,Garden!$W72,"")</f>
        <v>0</v>
      </c>
      <c r="X70" s="681">
        <f>IF(Select2=1,Wood!$W72,"")</f>
        <v>2.8048719635380998E-2</v>
      </c>
      <c r="Y70" s="689">
        <f>IF(Select2=1,Textiles!$W72,"")</f>
        <v>2.7139668511356064E-3</v>
      </c>
      <c r="Z70" s="683">
        <f>Sludge!W72</f>
        <v>0</v>
      </c>
      <c r="AA70" s="683" t="str">
        <f>IF(Select2=2,MSW!$W72,"")</f>
        <v/>
      </c>
      <c r="AB70" s="690">
        <f>Industry!$W72</f>
        <v>0</v>
      </c>
      <c r="AC70" s="691">
        <f t="shared" si="4"/>
        <v>5.2395905576077775E-2</v>
      </c>
      <c r="AD70" s="692">
        <f>Recovery_OX!R65</f>
        <v>0</v>
      </c>
      <c r="AE70" s="648"/>
      <c r="AF70" s="694">
        <f>(AC70-AD70)*(1-Recovery_OX!U65)</f>
        <v>5.2395905576077775E-2</v>
      </c>
    </row>
    <row r="71" spans="2:32">
      <c r="B71" s="687">
        <f t="shared" si="1"/>
        <v>2054</v>
      </c>
      <c r="C71" s="688">
        <f>IF(Select2=1,Food!$K73,"")</f>
        <v>2.2043484886178269E-5</v>
      </c>
      <c r="D71" s="689">
        <f>IF(Select2=1,Paper!$K73,"")</f>
        <v>9.7526801768786711E-3</v>
      </c>
      <c r="E71" s="681">
        <f>IF(Select2=1,Nappies!$K73,"")</f>
        <v>1.5310322141442643E-3</v>
      </c>
      <c r="F71" s="689">
        <f>IF(Select2=1,Garden!$K73,"")</f>
        <v>0</v>
      </c>
      <c r="G71" s="681">
        <f>IF(Select2=1,Wood!$K73,"")</f>
        <v>0</v>
      </c>
      <c r="H71" s="689">
        <f>IF(Select2=1,Textiles!$K73,"")</f>
        <v>2.3090684014784582E-3</v>
      </c>
      <c r="I71" s="690">
        <f>Sludge!K73</f>
        <v>0</v>
      </c>
      <c r="J71" s="690" t="str">
        <f>IF(Select2=2,MSW!$K73,"")</f>
        <v/>
      </c>
      <c r="K71" s="690">
        <f>Industry!$K73</f>
        <v>0</v>
      </c>
      <c r="L71" s="691">
        <f t="shared" si="3"/>
        <v>1.3614824277387572E-2</v>
      </c>
      <c r="M71" s="692">
        <f>Recovery_OX!C66</f>
        <v>0</v>
      </c>
      <c r="N71" s="648"/>
      <c r="O71" s="693">
        <f>(L71-M71)*(1-Recovery_OX!F66)</f>
        <v>1.3614824277387572E-2</v>
      </c>
      <c r="P71" s="640"/>
      <c r="Q71" s="650"/>
      <c r="S71" s="687">
        <f t="shared" si="2"/>
        <v>2054</v>
      </c>
      <c r="T71" s="688">
        <f>IF(Select2=1,Food!$W73,"")</f>
        <v>1.4748094259262889E-5</v>
      </c>
      <c r="U71" s="689">
        <f>IF(Select2=1,Paper!$W73,"")</f>
        <v>2.0150165654708004E-2</v>
      </c>
      <c r="V71" s="681">
        <f>IF(Select2=1,Nappies!$W73,"")</f>
        <v>0</v>
      </c>
      <c r="W71" s="689">
        <f>IF(Select2=1,Garden!$W73,"")</f>
        <v>0</v>
      </c>
      <c r="X71" s="681">
        <f>IF(Select2=1,Wood!$W73,"")</f>
        <v>2.7083995599013845E-2</v>
      </c>
      <c r="Y71" s="689">
        <f>IF(Select2=1,Textiles!$W73,"")</f>
        <v>2.530485919428446E-3</v>
      </c>
      <c r="Z71" s="683">
        <f>Sludge!W73</f>
        <v>0</v>
      </c>
      <c r="AA71" s="683" t="str">
        <f>IF(Select2=2,MSW!$W73,"")</f>
        <v/>
      </c>
      <c r="AB71" s="690">
        <f>Industry!$W73</f>
        <v>0</v>
      </c>
      <c r="AC71" s="691">
        <f t="shared" si="4"/>
        <v>4.9779395267409557E-2</v>
      </c>
      <c r="AD71" s="692">
        <f>Recovery_OX!R66</f>
        <v>0</v>
      </c>
      <c r="AE71" s="648"/>
      <c r="AF71" s="694">
        <f>(AC71-AD71)*(1-Recovery_OX!U66)</f>
        <v>4.9779395267409557E-2</v>
      </c>
    </row>
    <row r="72" spans="2:32">
      <c r="B72" s="687">
        <f t="shared" si="1"/>
        <v>2055</v>
      </c>
      <c r="C72" s="688">
        <f>IF(Select2=1,Food!$K74,"")</f>
        <v>1.4776189803688937E-5</v>
      </c>
      <c r="D72" s="689">
        <f>IF(Select2=1,Paper!$K74,"")</f>
        <v>9.0933387244409233E-3</v>
      </c>
      <c r="E72" s="681">
        <f>IF(Select2=1,Nappies!$K74,"")</f>
        <v>1.2916780121491759E-3</v>
      </c>
      <c r="F72" s="689">
        <f>IF(Select2=1,Garden!$K74,"")</f>
        <v>0</v>
      </c>
      <c r="G72" s="681">
        <f>IF(Select2=1,Wood!$K74,"")</f>
        <v>0</v>
      </c>
      <c r="H72" s="689">
        <f>IF(Select2=1,Textiles!$K74,"")</f>
        <v>2.152961107278621E-3</v>
      </c>
      <c r="I72" s="690">
        <f>Sludge!K74</f>
        <v>0</v>
      </c>
      <c r="J72" s="690" t="str">
        <f>IF(Select2=2,MSW!$K74,"")</f>
        <v/>
      </c>
      <c r="K72" s="690">
        <f>Industry!$K74</f>
        <v>0</v>
      </c>
      <c r="L72" s="691">
        <f t="shared" si="3"/>
        <v>1.2552754033672411E-2</v>
      </c>
      <c r="M72" s="692">
        <f>Recovery_OX!C67</f>
        <v>0</v>
      </c>
      <c r="N72" s="648"/>
      <c r="O72" s="693">
        <f>(L72-M72)*(1-Recovery_OX!F67)</f>
        <v>1.2552754033672411E-2</v>
      </c>
      <c r="P72" s="640"/>
      <c r="Q72" s="650"/>
      <c r="S72" s="687">
        <f t="shared" si="2"/>
        <v>2055</v>
      </c>
      <c r="T72" s="688">
        <f>IF(Select2=1,Food!$W74,"")</f>
        <v>9.8859432228070487E-6</v>
      </c>
      <c r="U72" s="689">
        <f>IF(Select2=1,Paper!$W74,"")</f>
        <v>1.878788992653084E-2</v>
      </c>
      <c r="V72" s="681">
        <f>IF(Select2=1,Nappies!$W74,"")</f>
        <v>0</v>
      </c>
      <c r="W72" s="689">
        <f>IF(Select2=1,Garden!$W74,"")</f>
        <v>0</v>
      </c>
      <c r="X72" s="681">
        <f>IF(Select2=1,Wood!$W74,"")</f>
        <v>2.6152452844303863E-2</v>
      </c>
      <c r="Y72" s="689">
        <f>IF(Select2=1,Textiles!$W74,"")</f>
        <v>2.3594094326341046E-3</v>
      </c>
      <c r="Z72" s="683">
        <f>Sludge!W74</f>
        <v>0</v>
      </c>
      <c r="AA72" s="683" t="str">
        <f>IF(Select2=2,MSW!$W74,"")</f>
        <v/>
      </c>
      <c r="AB72" s="690">
        <f>Industry!$W74</f>
        <v>0</v>
      </c>
      <c r="AC72" s="691">
        <f t="shared" si="4"/>
        <v>4.7309638146691611E-2</v>
      </c>
      <c r="AD72" s="692">
        <f>Recovery_OX!R67</f>
        <v>0</v>
      </c>
      <c r="AE72" s="648"/>
      <c r="AF72" s="694">
        <f>(AC72-AD72)*(1-Recovery_OX!U67)</f>
        <v>4.7309638146691611E-2</v>
      </c>
    </row>
    <row r="73" spans="2:32">
      <c r="B73" s="687">
        <f t="shared" si="1"/>
        <v>2056</v>
      </c>
      <c r="C73" s="688">
        <f>IF(Select2=1,Food!$K75,"")</f>
        <v>9.9047762294401137E-6</v>
      </c>
      <c r="D73" s="689">
        <f>IF(Select2=1,Paper!$K75,"")</f>
        <v>8.4785728289801555E-3</v>
      </c>
      <c r="E73" s="681">
        <f>IF(Select2=1,Nappies!$K75,"")</f>
        <v>1.0897432932214161E-3</v>
      </c>
      <c r="F73" s="689">
        <f>IF(Select2=1,Garden!$K75,"")</f>
        <v>0</v>
      </c>
      <c r="G73" s="681">
        <f>IF(Select2=1,Wood!$K75,"")</f>
        <v>0</v>
      </c>
      <c r="H73" s="689">
        <f>IF(Select2=1,Textiles!$K75,"")</f>
        <v>2.0074076309244539E-3</v>
      </c>
      <c r="I73" s="690">
        <f>Sludge!K75</f>
        <v>0</v>
      </c>
      <c r="J73" s="690" t="str">
        <f>IF(Select2=2,MSW!$K75,"")</f>
        <v/>
      </c>
      <c r="K73" s="690">
        <f>Industry!$K75</f>
        <v>0</v>
      </c>
      <c r="L73" s="691">
        <f t="shared" si="3"/>
        <v>1.1585628529355466E-2</v>
      </c>
      <c r="M73" s="692">
        <f>Recovery_OX!C68</f>
        <v>0</v>
      </c>
      <c r="N73" s="648"/>
      <c r="O73" s="693">
        <f>(L73-M73)*(1-Recovery_OX!F68)</f>
        <v>1.1585628529355466E-2</v>
      </c>
      <c r="P73" s="640"/>
      <c r="Q73" s="650"/>
      <c r="S73" s="687">
        <f t="shared" si="2"/>
        <v>2056</v>
      </c>
      <c r="T73" s="688">
        <f>IF(Select2=1,Food!$W75,"")</f>
        <v>6.626745916217738E-6</v>
      </c>
      <c r="U73" s="689">
        <f>IF(Select2=1,Paper!$W75,"")</f>
        <v>1.7517712456570578E-2</v>
      </c>
      <c r="V73" s="681">
        <f>IF(Select2=1,Nappies!$W75,"")</f>
        <v>0</v>
      </c>
      <c r="W73" s="689">
        <f>IF(Select2=1,Garden!$W75,"")</f>
        <v>0</v>
      </c>
      <c r="X73" s="681">
        <f>IF(Select2=1,Wood!$W75,"")</f>
        <v>2.525295011488041E-2</v>
      </c>
      <c r="Y73" s="689">
        <f>IF(Select2=1,Textiles!$W75,"")</f>
        <v>2.1998987736158385E-3</v>
      </c>
      <c r="Z73" s="683">
        <f>Sludge!W75</f>
        <v>0</v>
      </c>
      <c r="AA73" s="683" t="str">
        <f>IF(Select2=2,MSW!$W75,"")</f>
        <v/>
      </c>
      <c r="AB73" s="690">
        <f>Industry!$W75</f>
        <v>0</v>
      </c>
      <c r="AC73" s="691">
        <f t="shared" si="4"/>
        <v>4.4977188090983042E-2</v>
      </c>
      <c r="AD73" s="692">
        <f>Recovery_OX!R68</f>
        <v>0</v>
      </c>
      <c r="AE73" s="648"/>
      <c r="AF73" s="694">
        <f>(AC73-AD73)*(1-Recovery_OX!U68)</f>
        <v>4.4977188090983042E-2</v>
      </c>
    </row>
    <row r="74" spans="2:32">
      <c r="B74" s="687">
        <f t="shared" si="1"/>
        <v>2057</v>
      </c>
      <c r="C74" s="688">
        <f>IF(Select2=1,Food!$K76,"")</f>
        <v>6.6393700580910026E-6</v>
      </c>
      <c r="D74" s="689">
        <f>IF(Select2=1,Paper!$K76,"")</f>
        <v>7.9053689073635882E-3</v>
      </c>
      <c r="E74" s="681">
        <f>IF(Select2=1,Nappies!$K76,"")</f>
        <v>9.1937807561278501E-4</v>
      </c>
      <c r="F74" s="689">
        <f>IF(Select2=1,Garden!$K76,"")</f>
        <v>0</v>
      </c>
      <c r="G74" s="681">
        <f>IF(Select2=1,Wood!$K76,"")</f>
        <v>0</v>
      </c>
      <c r="H74" s="689">
        <f>IF(Select2=1,Textiles!$K76,"")</f>
        <v>1.8716944691060016E-3</v>
      </c>
      <c r="I74" s="690">
        <f>Sludge!K76</f>
        <v>0</v>
      </c>
      <c r="J74" s="690" t="str">
        <f>IF(Select2=2,MSW!$K76,"")</f>
        <v/>
      </c>
      <c r="K74" s="690">
        <f>Industry!$K76</f>
        <v>0</v>
      </c>
      <c r="L74" s="691">
        <f t="shared" si="3"/>
        <v>1.0703080822140467E-2</v>
      </c>
      <c r="M74" s="692">
        <f>Recovery_OX!C69</f>
        <v>0</v>
      </c>
      <c r="N74" s="648"/>
      <c r="O74" s="693">
        <f>(L74-M74)*(1-Recovery_OX!F69)</f>
        <v>1.0703080822140467E-2</v>
      </c>
      <c r="P74" s="640"/>
      <c r="Q74" s="650"/>
      <c r="S74" s="687">
        <f t="shared" si="2"/>
        <v>2057</v>
      </c>
      <c r="T74" s="688">
        <f>IF(Select2=1,Food!$W76,"")</f>
        <v>4.4420406276255593E-6</v>
      </c>
      <c r="U74" s="689">
        <f>IF(Select2=1,Paper!$W76,"")</f>
        <v>1.6333406833395854E-2</v>
      </c>
      <c r="V74" s="681">
        <f>IF(Select2=1,Nappies!$W76,"")</f>
        <v>0</v>
      </c>
      <c r="W74" s="689">
        <f>IF(Select2=1,Garden!$W76,"")</f>
        <v>0</v>
      </c>
      <c r="X74" s="681">
        <f>IF(Select2=1,Wood!$W76,"")</f>
        <v>2.4384385407410659E-2</v>
      </c>
      <c r="Y74" s="689">
        <f>IF(Select2=1,Textiles!$W76,"")</f>
        <v>2.0511720209380824E-3</v>
      </c>
      <c r="Z74" s="683">
        <f>Sludge!W76</f>
        <v>0</v>
      </c>
      <c r="AA74" s="683" t="str">
        <f>IF(Select2=2,MSW!$W76,"")</f>
        <v/>
      </c>
      <c r="AB74" s="690">
        <f>Industry!$W76</f>
        <v>0</v>
      </c>
      <c r="AC74" s="691">
        <f t="shared" si="4"/>
        <v>4.2773406302372217E-2</v>
      </c>
      <c r="AD74" s="692">
        <f>Recovery_OX!R69</f>
        <v>0</v>
      </c>
      <c r="AE74" s="648"/>
      <c r="AF74" s="694">
        <f>(AC74-AD74)*(1-Recovery_OX!U69)</f>
        <v>4.2773406302372217E-2</v>
      </c>
    </row>
    <row r="75" spans="2:32">
      <c r="B75" s="687">
        <f t="shared" si="1"/>
        <v>2058</v>
      </c>
      <c r="C75" s="688">
        <f>IF(Select2=1,Food!$K77,"")</f>
        <v>4.4505028429872058E-6</v>
      </c>
      <c r="D75" s="689">
        <f>IF(Select2=1,Paper!$K77,"")</f>
        <v>7.3709171133024493E-3</v>
      </c>
      <c r="E75" s="681">
        <f>IF(Select2=1,Nappies!$K77,"")</f>
        <v>7.7564693554459639E-4</v>
      </c>
      <c r="F75" s="689">
        <f>IF(Select2=1,Garden!$K77,"")</f>
        <v>0</v>
      </c>
      <c r="G75" s="681">
        <f>IF(Select2=1,Wood!$K77,"")</f>
        <v>0</v>
      </c>
      <c r="H75" s="689">
        <f>IF(Select2=1,Textiles!$K77,"")</f>
        <v>1.7451563557465805E-3</v>
      </c>
      <c r="I75" s="690">
        <f>Sludge!K77</f>
        <v>0</v>
      </c>
      <c r="J75" s="690" t="str">
        <f>IF(Select2=2,MSW!$K77,"")</f>
        <v/>
      </c>
      <c r="K75" s="690">
        <f>Industry!$K77</f>
        <v>0</v>
      </c>
      <c r="L75" s="691">
        <f t="shared" si="3"/>
        <v>9.8961709074366147E-3</v>
      </c>
      <c r="M75" s="692">
        <f>Recovery_OX!C70</f>
        <v>0</v>
      </c>
      <c r="N75" s="648"/>
      <c r="O75" s="693">
        <f>(L75-M75)*(1-Recovery_OX!F70)</f>
        <v>9.8961709074366147E-3</v>
      </c>
      <c r="P75" s="640"/>
      <c r="Q75" s="650"/>
      <c r="S75" s="687">
        <f t="shared" si="2"/>
        <v>2058</v>
      </c>
      <c r="T75" s="688">
        <f>IF(Select2=1,Food!$W77,"")</f>
        <v>2.9775888780021449E-6</v>
      </c>
      <c r="U75" s="689">
        <f>IF(Select2=1,Paper!$W77,"")</f>
        <v>1.5229167589467879E-2</v>
      </c>
      <c r="V75" s="681">
        <f>IF(Select2=1,Nappies!$W77,"")</f>
        <v>0</v>
      </c>
      <c r="W75" s="689">
        <f>IF(Select2=1,Garden!$W77,"")</f>
        <v>0</v>
      </c>
      <c r="X75" s="681">
        <f>IF(Select2=1,Wood!$W77,"")</f>
        <v>2.3545694621507698E-2</v>
      </c>
      <c r="Y75" s="689">
        <f>IF(Select2=1,Textiles!$W77,"")</f>
        <v>1.9125001158866626E-3</v>
      </c>
      <c r="Z75" s="683">
        <f>Sludge!W77</f>
        <v>0</v>
      </c>
      <c r="AA75" s="683" t="str">
        <f>IF(Select2=2,MSW!$W77,"")</f>
        <v/>
      </c>
      <c r="AB75" s="690">
        <f>Industry!$W77</f>
        <v>0</v>
      </c>
      <c r="AC75" s="691">
        <f t="shared" si="4"/>
        <v>4.0690339915740247E-2</v>
      </c>
      <c r="AD75" s="692">
        <f>Recovery_OX!R70</f>
        <v>0</v>
      </c>
      <c r="AE75" s="648"/>
      <c r="AF75" s="694">
        <f>(AC75-AD75)*(1-Recovery_OX!U70)</f>
        <v>4.0690339915740247E-2</v>
      </c>
    </row>
    <row r="76" spans="2:32">
      <c r="B76" s="687">
        <f t="shared" si="1"/>
        <v>2059</v>
      </c>
      <c r="C76" s="688">
        <f>IF(Select2=1,Food!$K78,"")</f>
        <v>2.9832612705929279E-6</v>
      </c>
      <c r="D76" s="689">
        <f>IF(Select2=1,Paper!$K78,"")</f>
        <v>6.8725975634821943E-3</v>
      </c>
      <c r="E76" s="681">
        <f>IF(Select2=1,Nappies!$K78,"")</f>
        <v>6.5438602961977914E-4</v>
      </c>
      <c r="F76" s="689">
        <f>IF(Select2=1,Garden!$K78,"")</f>
        <v>0</v>
      </c>
      <c r="G76" s="681">
        <f>IF(Select2=1,Wood!$K78,"")</f>
        <v>0</v>
      </c>
      <c r="H76" s="689">
        <f>IF(Select2=1,Textiles!$K78,"")</f>
        <v>1.6271730008676983E-3</v>
      </c>
      <c r="I76" s="690">
        <f>Sludge!K78</f>
        <v>0</v>
      </c>
      <c r="J76" s="690" t="str">
        <f>IF(Select2=2,MSW!$K78,"")</f>
        <v/>
      </c>
      <c r="K76" s="690">
        <f>Industry!$K78</f>
        <v>0</v>
      </c>
      <c r="L76" s="691">
        <f t="shared" si="3"/>
        <v>9.1571398552402657E-3</v>
      </c>
      <c r="M76" s="692">
        <f>Recovery_OX!C71</f>
        <v>0</v>
      </c>
      <c r="N76" s="648"/>
      <c r="O76" s="693">
        <f>(L76-M76)*(1-Recovery_OX!F71)</f>
        <v>9.1571398552402657E-3</v>
      </c>
      <c r="P76" s="640"/>
      <c r="Q76" s="650"/>
      <c r="S76" s="687">
        <f t="shared" si="2"/>
        <v>2059</v>
      </c>
      <c r="T76" s="688">
        <f>IF(Select2=1,Food!$W78,"")</f>
        <v>1.9959375137776057E-6</v>
      </c>
      <c r="U76" s="689">
        <f>IF(Select2=1,Paper!$W78,"")</f>
        <v>1.4199581742731818E-2</v>
      </c>
      <c r="V76" s="681">
        <f>IF(Select2=1,Nappies!$W78,"")</f>
        <v>0</v>
      </c>
      <c r="W76" s="689">
        <f>IF(Select2=1,Garden!$W78,"")</f>
        <v>0</v>
      </c>
      <c r="X76" s="681">
        <f>IF(Select2=1,Wood!$W78,"")</f>
        <v>2.2735850256074483E-2</v>
      </c>
      <c r="Y76" s="689">
        <f>IF(Select2=1,Textiles!$W78,"")</f>
        <v>1.7832032886221339E-3</v>
      </c>
      <c r="Z76" s="683">
        <f>Sludge!W78</f>
        <v>0</v>
      </c>
      <c r="AA76" s="683" t="str">
        <f>IF(Select2=2,MSW!$W78,"")</f>
        <v/>
      </c>
      <c r="AB76" s="690">
        <f>Industry!$W78</f>
        <v>0</v>
      </c>
      <c r="AC76" s="691">
        <f t="shared" si="4"/>
        <v>3.8720631224942216E-2</v>
      </c>
      <c r="AD76" s="692">
        <f>Recovery_OX!R71</f>
        <v>0</v>
      </c>
      <c r="AE76" s="648"/>
      <c r="AF76" s="694">
        <f>(AC76-AD76)*(1-Recovery_OX!U71)</f>
        <v>3.8720631224942216E-2</v>
      </c>
    </row>
    <row r="77" spans="2:32">
      <c r="B77" s="687">
        <f t="shared" si="1"/>
        <v>2060</v>
      </c>
      <c r="C77" s="688">
        <f>IF(Select2=1,Food!$K79,"")</f>
        <v>1.9997398322401916E-6</v>
      </c>
      <c r="D77" s="689">
        <f>IF(Select2=1,Paper!$K79,"")</f>
        <v>6.4079674948914764E-3</v>
      </c>
      <c r="E77" s="681">
        <f>IF(Select2=1,Nappies!$K79,"")</f>
        <v>5.5208246966240659E-4</v>
      </c>
      <c r="F77" s="689">
        <f>IF(Select2=1,Garden!$K79,"")</f>
        <v>0</v>
      </c>
      <c r="G77" s="681">
        <f>IF(Select2=1,Wood!$K79,"")</f>
        <v>0</v>
      </c>
      <c r="H77" s="689">
        <f>IF(Select2=1,Textiles!$K79,"")</f>
        <v>1.5171660499268577E-3</v>
      </c>
      <c r="I77" s="690">
        <f>Sludge!K79</f>
        <v>0</v>
      </c>
      <c r="J77" s="690" t="str">
        <f>IF(Select2=2,MSW!$K79,"")</f>
        <v/>
      </c>
      <c r="K77" s="690">
        <f>Industry!$K79</f>
        <v>0</v>
      </c>
      <c r="L77" s="691">
        <f t="shared" si="3"/>
        <v>8.4792157543129819E-3</v>
      </c>
      <c r="M77" s="692">
        <f>Recovery_OX!C72</f>
        <v>0</v>
      </c>
      <c r="N77" s="648"/>
      <c r="O77" s="693">
        <f>(L77-M77)*(1-Recovery_OX!F72)</f>
        <v>8.4792157543129819E-3</v>
      </c>
      <c r="P77" s="640"/>
      <c r="Q77" s="650"/>
      <c r="S77" s="687">
        <f t="shared" si="2"/>
        <v>2060</v>
      </c>
      <c r="T77" s="688">
        <f>IF(Select2=1,Food!$W79,"")</f>
        <v>1.3379169261196641E-6</v>
      </c>
      <c r="U77" s="689">
        <f>IF(Select2=1,Paper!$W79,"")</f>
        <v>1.3239602262172483E-2</v>
      </c>
      <c r="V77" s="681">
        <f>IF(Select2=1,Nappies!$W79,"")</f>
        <v>0</v>
      </c>
      <c r="W77" s="689">
        <f>IF(Select2=1,Garden!$W79,"")</f>
        <v>0</v>
      </c>
      <c r="X77" s="681">
        <f>IF(Select2=1,Wood!$W79,"")</f>
        <v>2.1953860150486504E-2</v>
      </c>
      <c r="Y77" s="689">
        <f>IF(Select2=1,Textiles!$W79,"")</f>
        <v>1.6626477259472409E-3</v>
      </c>
      <c r="Z77" s="683">
        <f>Sludge!W79</f>
        <v>0</v>
      </c>
      <c r="AA77" s="683" t="str">
        <f>IF(Select2=2,MSW!$W79,"")</f>
        <v/>
      </c>
      <c r="AB77" s="690">
        <f>Industry!$W79</f>
        <v>0</v>
      </c>
      <c r="AC77" s="691">
        <f t="shared" si="4"/>
        <v>3.6857448055532351E-2</v>
      </c>
      <c r="AD77" s="692">
        <f>Recovery_OX!R72</f>
        <v>0</v>
      </c>
      <c r="AE77" s="648"/>
      <c r="AF77" s="694">
        <f>(AC77-AD77)*(1-Recovery_OX!U72)</f>
        <v>3.6857448055532351E-2</v>
      </c>
    </row>
    <row r="78" spans="2:32">
      <c r="B78" s="687">
        <f t="shared" si="1"/>
        <v>2061</v>
      </c>
      <c r="C78" s="688">
        <f>IF(Select2=1,Food!$K80,"")</f>
        <v>1.3404656964065468E-6</v>
      </c>
      <c r="D78" s="689">
        <f>IF(Select2=1,Paper!$K80,"")</f>
        <v>5.9747492903950133E-3</v>
      </c>
      <c r="E78" s="681">
        <f>IF(Select2=1,Nappies!$K80,"")</f>
        <v>4.6577255551381283E-4</v>
      </c>
      <c r="F78" s="689">
        <f>IF(Select2=1,Garden!$K80,"")</f>
        <v>0</v>
      </c>
      <c r="G78" s="681">
        <f>IF(Select2=1,Wood!$K80,"")</f>
        <v>0</v>
      </c>
      <c r="H78" s="689">
        <f>IF(Select2=1,Textiles!$K80,"")</f>
        <v>1.4145962487229216E-3</v>
      </c>
      <c r="I78" s="690">
        <f>Sludge!K80</f>
        <v>0</v>
      </c>
      <c r="J78" s="690" t="str">
        <f>IF(Select2=2,MSW!$K80,"")</f>
        <v/>
      </c>
      <c r="K78" s="690">
        <f>Industry!$K80</f>
        <v>0</v>
      </c>
      <c r="L78" s="691">
        <f t="shared" si="3"/>
        <v>7.8564585603281539E-3</v>
      </c>
      <c r="M78" s="692">
        <f>Recovery_OX!C73</f>
        <v>0</v>
      </c>
      <c r="N78" s="648"/>
      <c r="O78" s="693">
        <f>(L78-M78)*(1-Recovery_OX!F73)</f>
        <v>7.8564585603281539E-3</v>
      </c>
      <c r="P78" s="640"/>
      <c r="Q78" s="650"/>
      <c r="S78" s="687">
        <f t="shared" si="2"/>
        <v>2061</v>
      </c>
      <c r="T78" s="688">
        <f>IF(Select2=1,Food!$W80,"")</f>
        <v>8.9683253550839426E-7</v>
      </c>
      <c r="U78" s="689">
        <f>IF(Select2=1,Paper!$W80,"")</f>
        <v>1.2344523327262437E-2</v>
      </c>
      <c r="V78" s="681">
        <f>IF(Select2=1,Nappies!$W80,"")</f>
        <v>0</v>
      </c>
      <c r="W78" s="689">
        <f>IF(Select2=1,Garden!$W80,"")</f>
        <v>0</v>
      </c>
      <c r="X78" s="681">
        <f>IF(Select2=1,Wood!$W80,"")</f>
        <v>2.1198766269070919E-2</v>
      </c>
      <c r="Y78" s="689">
        <f>IF(Select2=1,Textiles!$W80,"")</f>
        <v>1.5502424643538864E-3</v>
      </c>
      <c r="Z78" s="683">
        <f>Sludge!W80</f>
        <v>0</v>
      </c>
      <c r="AA78" s="683" t="str">
        <f>IF(Select2=2,MSW!$W80,"")</f>
        <v/>
      </c>
      <c r="AB78" s="690">
        <f>Industry!$W80</f>
        <v>0</v>
      </c>
      <c r="AC78" s="691">
        <f t="shared" si="4"/>
        <v>3.509442889322275E-2</v>
      </c>
      <c r="AD78" s="692">
        <f>Recovery_OX!R73</f>
        <v>0</v>
      </c>
      <c r="AE78" s="648"/>
      <c r="AF78" s="694">
        <f>(AC78-AD78)*(1-Recovery_OX!U73)</f>
        <v>3.509442889322275E-2</v>
      </c>
    </row>
    <row r="79" spans="2:32">
      <c r="B79" s="687">
        <f t="shared" si="1"/>
        <v>2062</v>
      </c>
      <c r="C79" s="688">
        <f>IF(Select2=1,Food!$K81,"")</f>
        <v>8.9854102732443174E-7</v>
      </c>
      <c r="D79" s="689">
        <f>IF(Select2=1,Paper!$K81,"")</f>
        <v>5.57081931385176E-3</v>
      </c>
      <c r="E79" s="681">
        <f>IF(Select2=1,Nappies!$K81,"")</f>
        <v>3.9295591762318984E-4</v>
      </c>
      <c r="F79" s="689">
        <f>IF(Select2=1,Garden!$K81,"")</f>
        <v>0</v>
      </c>
      <c r="G79" s="681">
        <f>IF(Select2=1,Wood!$K81,"")</f>
        <v>0</v>
      </c>
      <c r="H79" s="689">
        <f>IF(Select2=1,Textiles!$K81,"")</f>
        <v>1.3189607999713898E-3</v>
      </c>
      <c r="I79" s="690">
        <f>Sludge!K81</f>
        <v>0</v>
      </c>
      <c r="J79" s="690" t="str">
        <f>IF(Select2=2,MSW!$K81,"")</f>
        <v/>
      </c>
      <c r="K79" s="690">
        <f>Industry!$K81</f>
        <v>0</v>
      </c>
      <c r="L79" s="691">
        <f t="shared" si="3"/>
        <v>7.2836345724736637E-3</v>
      </c>
      <c r="M79" s="692">
        <f>Recovery_OX!C74</f>
        <v>0</v>
      </c>
      <c r="N79" s="648"/>
      <c r="O79" s="693">
        <f>(L79-M79)*(1-Recovery_OX!F74)</f>
        <v>7.2836345724736637E-3</v>
      </c>
      <c r="P79" s="640"/>
      <c r="Q79" s="650"/>
      <c r="S79" s="687">
        <f t="shared" si="2"/>
        <v>2062</v>
      </c>
      <c r="T79" s="688">
        <f>IF(Select2=1,Food!$W81,"")</f>
        <v>6.0116482648824583E-7</v>
      </c>
      <c r="U79" s="689">
        <f>IF(Select2=1,Paper!$W81,"")</f>
        <v>1.1509957260024311E-2</v>
      </c>
      <c r="V79" s="681">
        <f>IF(Select2=1,Nappies!$W81,"")</f>
        <v>0</v>
      </c>
      <c r="W79" s="689">
        <f>IF(Select2=1,Garden!$W81,"")</f>
        <v>0</v>
      </c>
      <c r="X79" s="681">
        <f>IF(Select2=1,Wood!$W81,"")</f>
        <v>2.0469643527393083E-2</v>
      </c>
      <c r="Y79" s="689">
        <f>IF(Select2=1,Textiles!$W81,"")</f>
        <v>1.4454364931193308E-3</v>
      </c>
      <c r="Z79" s="683">
        <f>Sludge!W81</f>
        <v>0</v>
      </c>
      <c r="AA79" s="683" t="str">
        <f>IF(Select2=2,MSW!$W81,"")</f>
        <v/>
      </c>
      <c r="AB79" s="690">
        <f>Industry!$W81</f>
        <v>0</v>
      </c>
      <c r="AC79" s="691">
        <f t="shared" si="4"/>
        <v>3.3425638445363212E-2</v>
      </c>
      <c r="AD79" s="692">
        <f>Recovery_OX!R74</f>
        <v>0</v>
      </c>
      <c r="AE79" s="648"/>
      <c r="AF79" s="694">
        <f>(AC79-AD79)*(1-Recovery_OX!U74)</f>
        <v>3.3425638445363212E-2</v>
      </c>
    </row>
    <row r="80" spans="2:32">
      <c r="B80" s="687">
        <f t="shared" si="1"/>
        <v>2063</v>
      </c>
      <c r="C80" s="688">
        <f>IF(Select2=1,Food!$K82,"")</f>
        <v>6.0231006280102382E-7</v>
      </c>
      <c r="D80" s="689">
        <f>IF(Select2=1,Paper!$K82,"")</f>
        <v>5.194197500048077E-3</v>
      </c>
      <c r="E80" s="681">
        <f>IF(Select2=1,Nappies!$K82,"")</f>
        <v>3.3152308217203205E-4</v>
      </c>
      <c r="F80" s="689">
        <f>IF(Select2=1,Garden!$K82,"")</f>
        <v>0</v>
      </c>
      <c r="G80" s="681">
        <f>IF(Select2=1,Wood!$K82,"")</f>
        <v>0</v>
      </c>
      <c r="H80" s="689">
        <f>IF(Select2=1,Textiles!$K82,"")</f>
        <v>1.2297908985915294E-3</v>
      </c>
      <c r="I80" s="690">
        <f>Sludge!K82</f>
        <v>0</v>
      </c>
      <c r="J80" s="690" t="str">
        <f>IF(Select2=2,MSW!$K82,"")</f>
        <v/>
      </c>
      <c r="K80" s="690">
        <f>Industry!$K82</f>
        <v>0</v>
      </c>
      <c r="L80" s="691">
        <f t="shared" si="3"/>
        <v>6.7561137908744399E-3</v>
      </c>
      <c r="M80" s="692">
        <f>Recovery_OX!C75</f>
        <v>0</v>
      </c>
      <c r="N80" s="648"/>
      <c r="O80" s="693">
        <f>(L80-M80)*(1-Recovery_OX!F75)</f>
        <v>6.7561137908744399E-3</v>
      </c>
      <c r="P80" s="640"/>
      <c r="Q80" s="650"/>
      <c r="S80" s="687">
        <f t="shared" si="2"/>
        <v>2063</v>
      </c>
      <c r="T80" s="688">
        <f>IF(Select2=1,Food!$W82,"")</f>
        <v>4.0297283416660812E-7</v>
      </c>
      <c r="U80" s="689">
        <f>IF(Select2=1,Paper!$W82,"")</f>
        <v>1.0731813016628268E-2</v>
      </c>
      <c r="V80" s="681">
        <f>IF(Select2=1,Nappies!$W82,"")</f>
        <v>0</v>
      </c>
      <c r="W80" s="689">
        <f>IF(Select2=1,Garden!$W82,"")</f>
        <v>0</v>
      </c>
      <c r="X80" s="681">
        <f>IF(Select2=1,Wood!$W82,"")</f>
        <v>1.9765598658912399E-2</v>
      </c>
      <c r="Y80" s="689">
        <f>IF(Select2=1,Textiles!$W82,"")</f>
        <v>1.3477160532509905E-3</v>
      </c>
      <c r="Z80" s="683">
        <f>Sludge!W82</f>
        <v>0</v>
      </c>
      <c r="AA80" s="683" t="str">
        <f>IF(Select2=2,MSW!$W82,"")</f>
        <v/>
      </c>
      <c r="AB80" s="690">
        <f>Industry!$W82</f>
        <v>0</v>
      </c>
      <c r="AC80" s="691">
        <f t="shared" si="4"/>
        <v>3.1845530701625824E-2</v>
      </c>
      <c r="AD80" s="692">
        <f>Recovery_OX!R75</f>
        <v>0</v>
      </c>
      <c r="AE80" s="648"/>
      <c r="AF80" s="694">
        <f>(AC80-AD80)*(1-Recovery_OX!U75)</f>
        <v>3.1845530701625824E-2</v>
      </c>
    </row>
    <row r="81" spans="2:32">
      <c r="B81" s="687">
        <f t="shared" si="1"/>
        <v>2064</v>
      </c>
      <c r="C81" s="688">
        <f>IF(Select2=1,Food!$K83,"")</f>
        <v>4.0374050902451105E-7</v>
      </c>
      <c r="D81" s="689">
        <f>IF(Select2=1,Paper!$K83,"")</f>
        <v>4.8430376484157531E-3</v>
      </c>
      <c r="E81" s="681">
        <f>IF(Select2=1,Nappies!$K83,"")</f>
        <v>2.7969436031813528E-4</v>
      </c>
      <c r="F81" s="689">
        <f>IF(Select2=1,Garden!$K83,"")</f>
        <v>0</v>
      </c>
      <c r="G81" s="681">
        <f>IF(Select2=1,Wood!$K83,"")</f>
        <v>0</v>
      </c>
      <c r="H81" s="689">
        <f>IF(Select2=1,Textiles!$K83,"")</f>
        <v>1.1466494336233248E-3</v>
      </c>
      <c r="I81" s="690">
        <f>Sludge!K83</f>
        <v>0</v>
      </c>
      <c r="J81" s="690" t="str">
        <f>IF(Select2=2,MSW!$K83,"")</f>
        <v/>
      </c>
      <c r="K81" s="690">
        <f>Industry!$K83</f>
        <v>0</v>
      </c>
      <c r="L81" s="691">
        <f t="shared" si="3"/>
        <v>6.2697851828662377E-3</v>
      </c>
      <c r="M81" s="692">
        <f>Recovery_OX!C76</f>
        <v>0</v>
      </c>
      <c r="N81" s="648"/>
      <c r="O81" s="693">
        <f>(L81-M81)*(1-Recovery_OX!F76)</f>
        <v>6.2697851828662377E-3</v>
      </c>
      <c r="P81" s="640"/>
      <c r="Q81" s="650"/>
      <c r="S81" s="687">
        <f t="shared" si="2"/>
        <v>2064</v>
      </c>
      <c r="T81" s="688">
        <f>IF(Select2=1,Food!$W83,"")</f>
        <v>2.7012076874967278E-7</v>
      </c>
      <c r="U81" s="689">
        <f>IF(Select2=1,Paper!$W83,"")</f>
        <v>1.0006276133090408E-2</v>
      </c>
      <c r="V81" s="681">
        <f>IF(Select2=1,Nappies!$W83,"")</f>
        <v>0</v>
      </c>
      <c r="W81" s="689">
        <f>IF(Select2=1,Garden!$W83,"")</f>
        <v>0</v>
      </c>
      <c r="X81" s="681">
        <f>IF(Select2=1,Wood!$W83,"")</f>
        <v>1.9085769120619107E-2</v>
      </c>
      <c r="Y81" s="689">
        <f>IF(Select2=1,Textiles!$W83,"")</f>
        <v>1.2566021190392597E-3</v>
      </c>
      <c r="Z81" s="683">
        <f>Sludge!W83</f>
        <v>0</v>
      </c>
      <c r="AA81" s="683" t="str">
        <f>IF(Select2=2,MSW!$W83,"")</f>
        <v/>
      </c>
      <c r="AB81" s="690">
        <f>Industry!$W83</f>
        <v>0</v>
      </c>
      <c r="AC81" s="691">
        <f t="shared" ref="AC81:AC97" si="5">SUM(T81:AA81)</f>
        <v>3.0348917493517525E-2</v>
      </c>
      <c r="AD81" s="692">
        <f>Recovery_OX!R76</f>
        <v>0</v>
      </c>
      <c r="AE81" s="648"/>
      <c r="AF81" s="694">
        <f>(AC81-AD81)*(1-Recovery_OX!U76)</f>
        <v>3.0348917493517525E-2</v>
      </c>
    </row>
    <row r="82" spans="2:32">
      <c r="B82" s="687">
        <f t="shared" ref="B82:B97" si="6">B81+1</f>
        <v>2065</v>
      </c>
      <c r="C82" s="688">
        <f>IF(Select2=1,Food!$K84,"")</f>
        <v>2.7063535659576267E-7</v>
      </c>
      <c r="D82" s="689">
        <f>IF(Select2=1,Paper!$K84,"")</f>
        <v>4.5156183729546844E-3</v>
      </c>
      <c r="E82" s="681">
        <f>IF(Select2=1,Nappies!$K84,"")</f>
        <v>2.3596829120084247E-4</v>
      </c>
      <c r="F82" s="689">
        <f>IF(Select2=1,Garden!$K84,"")</f>
        <v>0</v>
      </c>
      <c r="G82" s="681">
        <f>IF(Select2=1,Wood!$K84,"")</f>
        <v>0</v>
      </c>
      <c r="H82" s="689">
        <f>IF(Select2=1,Textiles!$K84,"")</f>
        <v>1.069128845509044E-3</v>
      </c>
      <c r="I82" s="690">
        <f>Sludge!K84</f>
        <v>0</v>
      </c>
      <c r="J82" s="690" t="str">
        <f>IF(Select2=2,MSW!$K84,"")</f>
        <v/>
      </c>
      <c r="K82" s="690">
        <f>Industry!$K84</f>
        <v>0</v>
      </c>
      <c r="L82" s="691">
        <f t="shared" si="3"/>
        <v>5.8209861450211663E-3</v>
      </c>
      <c r="M82" s="692">
        <f>Recovery_OX!C77</f>
        <v>0</v>
      </c>
      <c r="N82" s="648"/>
      <c r="O82" s="693">
        <f>(L82-M82)*(1-Recovery_OX!F77)</f>
        <v>5.8209861450211663E-3</v>
      </c>
      <c r="P82" s="640"/>
      <c r="Q82" s="650"/>
      <c r="S82" s="687">
        <f t="shared" ref="S82:S97" si="7">S81+1</f>
        <v>2065</v>
      </c>
      <c r="T82" s="688">
        <f>IF(Select2=1,Food!$W84,"")</f>
        <v>1.8106736614346297E-7</v>
      </c>
      <c r="U82" s="689">
        <f>IF(Select2=1,Paper!$W84,"")</f>
        <v>9.3297900267658874E-3</v>
      </c>
      <c r="V82" s="681">
        <f>IF(Select2=1,Nappies!$W84,"")</f>
        <v>0</v>
      </c>
      <c r="W82" s="689">
        <f>IF(Select2=1,Garden!$W84,"")</f>
        <v>0</v>
      </c>
      <c r="X82" s="681">
        <f>IF(Select2=1,Wood!$W84,"")</f>
        <v>1.8429322036311219E-2</v>
      </c>
      <c r="Y82" s="689">
        <f>IF(Select2=1,Textiles!$W84,"")</f>
        <v>1.1716480498729243E-3</v>
      </c>
      <c r="Z82" s="683">
        <f>Sludge!W84</f>
        <v>0</v>
      </c>
      <c r="AA82" s="683" t="str">
        <f>IF(Select2=2,MSW!$W84,"")</f>
        <v/>
      </c>
      <c r="AB82" s="690">
        <f>Industry!$W84</f>
        <v>0</v>
      </c>
      <c r="AC82" s="691">
        <f t="shared" si="5"/>
        <v>2.8930941180316173E-2</v>
      </c>
      <c r="AD82" s="692">
        <f>Recovery_OX!R77</f>
        <v>0</v>
      </c>
      <c r="AE82" s="648"/>
      <c r="AF82" s="694">
        <f>(AC82-AD82)*(1-Recovery_OX!U77)</f>
        <v>2.8930941180316173E-2</v>
      </c>
    </row>
    <row r="83" spans="2:32">
      <c r="B83" s="687">
        <f t="shared" si="6"/>
        <v>2066</v>
      </c>
      <c r="C83" s="688">
        <f>IF(Select2=1,Food!$K85,"")</f>
        <v>1.8141230469214331E-7</v>
      </c>
      <c r="D83" s="689">
        <f>IF(Select2=1,Paper!$K85,"")</f>
        <v>4.210334663996701E-3</v>
      </c>
      <c r="E83" s="681">
        <f>IF(Select2=1,Nappies!$K85,"")</f>
        <v>1.9907814511852082E-4</v>
      </c>
      <c r="F83" s="689">
        <f>IF(Select2=1,Garden!$K85,"")</f>
        <v>0</v>
      </c>
      <c r="G83" s="681">
        <f>IF(Select2=1,Wood!$K85,"")</f>
        <v>0</v>
      </c>
      <c r="H83" s="689">
        <f>IF(Select2=1,Textiles!$K85,"")</f>
        <v>9.9684912823581385E-4</v>
      </c>
      <c r="I83" s="690">
        <f>Sludge!K85</f>
        <v>0</v>
      </c>
      <c r="J83" s="690" t="str">
        <f>IF(Select2=2,MSW!$K85,"")</f>
        <v/>
      </c>
      <c r="K83" s="690">
        <f>Industry!$K85</f>
        <v>0</v>
      </c>
      <c r="L83" s="691">
        <f t="shared" ref="L83:L97" si="8">SUM(C83:K83)</f>
        <v>5.4064433496557275E-3</v>
      </c>
      <c r="M83" s="692">
        <f>Recovery_OX!C78</f>
        <v>0</v>
      </c>
      <c r="N83" s="648"/>
      <c r="O83" s="693">
        <f>(L83-M83)*(1-Recovery_OX!F78)</f>
        <v>5.4064433496557275E-3</v>
      </c>
      <c r="P83" s="640"/>
      <c r="Q83" s="650"/>
      <c r="S83" s="687">
        <f t="shared" si="7"/>
        <v>2066</v>
      </c>
      <c r="T83" s="688">
        <f>IF(Select2=1,Food!$W85,"")</f>
        <v>1.2137308520883804E-7</v>
      </c>
      <c r="U83" s="689">
        <f>IF(Select2=1,Paper!$W85,"")</f>
        <v>8.6990385619766641E-3</v>
      </c>
      <c r="V83" s="681">
        <f>IF(Select2=1,Nappies!$W85,"")</f>
        <v>0</v>
      </c>
      <c r="W83" s="689">
        <f>IF(Select2=1,Garden!$W85,"")</f>
        <v>0</v>
      </c>
      <c r="X83" s="681">
        <f>IF(Select2=1,Wood!$W85,"")</f>
        <v>1.7795453176217037E-2</v>
      </c>
      <c r="Y83" s="689">
        <f>IF(Select2=1,Textiles!$W85,"")</f>
        <v>1.0924374008063709E-3</v>
      </c>
      <c r="Z83" s="683">
        <f>Sludge!W85</f>
        <v>0</v>
      </c>
      <c r="AA83" s="683" t="str">
        <f>IF(Select2=2,MSW!$W85,"")</f>
        <v/>
      </c>
      <c r="AB83" s="690">
        <f>Industry!$W85</f>
        <v>0</v>
      </c>
      <c r="AC83" s="691">
        <f t="shared" si="5"/>
        <v>2.7587050512085282E-2</v>
      </c>
      <c r="AD83" s="692">
        <f>Recovery_OX!R78</f>
        <v>0</v>
      </c>
      <c r="AE83" s="648"/>
      <c r="AF83" s="694">
        <f>(AC83-AD83)*(1-Recovery_OX!U78)</f>
        <v>2.7587050512085282E-2</v>
      </c>
    </row>
    <row r="84" spans="2:32">
      <c r="B84" s="687">
        <f t="shared" si="6"/>
        <v>2067</v>
      </c>
      <c r="C84" s="688">
        <f>IF(Select2=1,Food!$K86,"")</f>
        <v>1.2160430443266893E-7</v>
      </c>
      <c r="D84" s="689">
        <f>IF(Select2=1,Paper!$K86,"")</f>
        <v>3.9256900204463121E-3</v>
      </c>
      <c r="E84" s="681">
        <f>IF(Select2=1,Nappies!$K86,"")</f>
        <v>1.679552267897651E-4</v>
      </c>
      <c r="F84" s="689">
        <f>IF(Select2=1,Garden!$K86,"")</f>
        <v>0</v>
      </c>
      <c r="G84" s="681">
        <f>IF(Select2=1,Wood!$K86,"")</f>
        <v>0</v>
      </c>
      <c r="H84" s="689">
        <f>IF(Select2=1,Textiles!$K86,"")</f>
        <v>9.2945596654570506E-4</v>
      </c>
      <c r="I84" s="690">
        <f>Sludge!K86</f>
        <v>0</v>
      </c>
      <c r="J84" s="690" t="str">
        <f>IF(Select2=2,MSW!$K86,"")</f>
        <v/>
      </c>
      <c r="K84" s="690">
        <f>Industry!$K86</f>
        <v>0</v>
      </c>
      <c r="L84" s="691">
        <f t="shared" si="8"/>
        <v>5.0232228180862142E-3</v>
      </c>
      <c r="M84" s="692">
        <f>Recovery_OX!C79</f>
        <v>0</v>
      </c>
      <c r="N84" s="648"/>
      <c r="O84" s="693">
        <f>(L84-M84)*(1-Recovery_OX!F79)</f>
        <v>5.0232228180862142E-3</v>
      </c>
      <c r="P84" s="640"/>
      <c r="Q84" s="650"/>
      <c r="S84" s="687">
        <f t="shared" si="7"/>
        <v>2067</v>
      </c>
      <c r="T84" s="688">
        <f>IF(Select2=1,Food!$W86,"")</f>
        <v>8.1358812064675903E-8</v>
      </c>
      <c r="U84" s="689">
        <f>IF(Select2=1,Paper!$W86,"")</f>
        <v>8.1109297943105698E-3</v>
      </c>
      <c r="V84" s="681">
        <f>IF(Select2=1,Nappies!$W86,"")</f>
        <v>0</v>
      </c>
      <c r="W84" s="689">
        <f>IF(Select2=1,Garden!$W86,"")</f>
        <v>0</v>
      </c>
      <c r="X84" s="681">
        <f>IF(Select2=1,Wood!$W86,"")</f>
        <v>1.7183385971713087E-2</v>
      </c>
      <c r="Y84" s="689">
        <f>IF(Select2=1,Textiles!$W86,"")</f>
        <v>1.0185818811459775E-3</v>
      </c>
      <c r="Z84" s="683">
        <f>Sludge!W86</f>
        <v>0</v>
      </c>
      <c r="AA84" s="683" t="str">
        <f>IF(Select2=2,MSW!$W86,"")</f>
        <v/>
      </c>
      <c r="AB84" s="690">
        <f>Industry!$W86</f>
        <v>0</v>
      </c>
      <c r="AC84" s="691">
        <f t="shared" si="5"/>
        <v>2.6312979005981698E-2</v>
      </c>
      <c r="AD84" s="692">
        <f>Recovery_OX!R79</f>
        <v>0</v>
      </c>
      <c r="AE84" s="648"/>
      <c r="AF84" s="694">
        <f>(AC84-AD84)*(1-Recovery_OX!U79)</f>
        <v>2.6312979005981698E-2</v>
      </c>
    </row>
    <row r="85" spans="2:32">
      <c r="B85" s="687">
        <f t="shared" si="6"/>
        <v>2068</v>
      </c>
      <c r="C85" s="688">
        <f>IF(Select2=1,Food!$K87,"")</f>
        <v>8.1513802945438529E-8</v>
      </c>
      <c r="D85" s="689">
        <f>IF(Select2=1,Paper!$K87,"")</f>
        <v>3.6602891139305969E-3</v>
      </c>
      <c r="E85" s="681">
        <f>IF(Select2=1,Nappies!$K87,"")</f>
        <v>1.4169791560599123E-4</v>
      </c>
      <c r="F85" s="689">
        <f>IF(Select2=1,Garden!$K87,"")</f>
        <v>0</v>
      </c>
      <c r="G85" s="681">
        <f>IF(Select2=1,Wood!$K87,"")</f>
        <v>0</v>
      </c>
      <c r="H85" s="689">
        <f>IF(Select2=1,Textiles!$K87,"")</f>
        <v>8.6661899908192525E-4</v>
      </c>
      <c r="I85" s="690">
        <f>Sludge!K87</f>
        <v>0</v>
      </c>
      <c r="J85" s="690" t="str">
        <f>IF(Select2=2,MSW!$K87,"")</f>
        <v/>
      </c>
      <c r="K85" s="690">
        <f>Industry!$K87</f>
        <v>0</v>
      </c>
      <c r="L85" s="691">
        <f t="shared" si="8"/>
        <v>4.6686875424214588E-3</v>
      </c>
      <c r="M85" s="692">
        <f>Recovery_OX!C80</f>
        <v>0</v>
      </c>
      <c r="N85" s="648"/>
      <c r="O85" s="693">
        <f>(L85-M85)*(1-Recovery_OX!F80)</f>
        <v>4.6686875424214588E-3</v>
      </c>
      <c r="P85" s="640"/>
      <c r="Q85" s="650"/>
      <c r="S85" s="687">
        <f t="shared" si="7"/>
        <v>2068</v>
      </c>
      <c r="T85" s="688">
        <f>IF(Select2=1,Food!$W87,"")</f>
        <v>5.4536442648598481E-8</v>
      </c>
      <c r="U85" s="689">
        <f>IF(Select2=1,Paper!$W87,"")</f>
        <v>7.5625808139061996E-3</v>
      </c>
      <c r="V85" s="681">
        <f>IF(Select2=1,Nappies!$W87,"")</f>
        <v>0</v>
      </c>
      <c r="W85" s="689">
        <f>IF(Select2=1,Garden!$W87,"")</f>
        <v>0</v>
      </c>
      <c r="X85" s="681">
        <f>IF(Select2=1,Wood!$W87,"")</f>
        <v>1.6592370563930446E-2</v>
      </c>
      <c r="Y85" s="689">
        <f>IF(Select2=1,Textiles!$W87,"")</f>
        <v>9.4971945104868464E-4</v>
      </c>
      <c r="Z85" s="683">
        <f>Sludge!W87</f>
        <v>0</v>
      </c>
      <c r="AA85" s="683" t="str">
        <f>IF(Select2=2,MSW!$W87,"")</f>
        <v/>
      </c>
      <c r="AB85" s="690">
        <f>Industry!$W87</f>
        <v>0</v>
      </c>
      <c r="AC85" s="691">
        <f t="shared" si="5"/>
        <v>2.5104725365327981E-2</v>
      </c>
      <c r="AD85" s="692">
        <f>Recovery_OX!R80</f>
        <v>0</v>
      </c>
      <c r="AE85" s="648"/>
      <c r="AF85" s="694">
        <f>(AC85-AD85)*(1-Recovery_OX!U80)</f>
        <v>2.5104725365327981E-2</v>
      </c>
    </row>
    <row r="86" spans="2:32">
      <c r="B86" s="687">
        <f t="shared" si="6"/>
        <v>2069</v>
      </c>
      <c r="C86" s="688">
        <f>IF(Select2=1,Food!$K88,"")</f>
        <v>5.4640336142926387E-8</v>
      </c>
      <c r="D86" s="689">
        <f>IF(Select2=1,Paper!$K88,"")</f>
        <v>3.4128309488979077E-3</v>
      </c>
      <c r="E86" s="681">
        <f>IF(Select2=1,Nappies!$K88,"")</f>
        <v>1.1954554598181844E-4</v>
      </c>
      <c r="F86" s="689">
        <f>IF(Select2=1,Garden!$K88,"")</f>
        <v>0</v>
      </c>
      <c r="G86" s="681">
        <f>IF(Select2=1,Wood!$K88,"")</f>
        <v>0</v>
      </c>
      <c r="H86" s="689">
        <f>IF(Select2=1,Textiles!$K88,"")</f>
        <v>8.0803019895706572E-4</v>
      </c>
      <c r="I86" s="690">
        <f>Sludge!K88</f>
        <v>0</v>
      </c>
      <c r="J86" s="690" t="str">
        <f>IF(Select2=2,MSW!$K88,"")</f>
        <v/>
      </c>
      <c r="K86" s="690">
        <f>Industry!$K88</f>
        <v>0</v>
      </c>
      <c r="L86" s="691">
        <f t="shared" si="8"/>
        <v>4.3404613341729344E-3</v>
      </c>
      <c r="M86" s="692">
        <f>Recovery_OX!C81</f>
        <v>0</v>
      </c>
      <c r="N86" s="648"/>
      <c r="O86" s="693">
        <f>(L86-M86)*(1-Recovery_OX!F81)</f>
        <v>4.3404613341729344E-3</v>
      </c>
      <c r="P86" s="640"/>
      <c r="Q86" s="650"/>
      <c r="S86" s="687">
        <f t="shared" si="7"/>
        <v>2069</v>
      </c>
      <c r="T86" s="688">
        <f>IF(Select2=1,Food!$W88,"")</f>
        <v>3.6556870746828532E-8</v>
      </c>
      <c r="U86" s="689">
        <f>IF(Select2=1,Paper!$W88,"")</f>
        <v>7.0513036134254355E-3</v>
      </c>
      <c r="V86" s="681">
        <f>IF(Select2=1,Nappies!$W88,"")</f>
        <v>0</v>
      </c>
      <c r="W86" s="689">
        <f>IF(Select2=1,Garden!$W88,"")</f>
        <v>0</v>
      </c>
      <c r="X86" s="681">
        <f>IF(Select2=1,Wood!$W88,"")</f>
        <v>1.6021682885083849E-2</v>
      </c>
      <c r="Y86" s="689">
        <f>IF(Select2=1,Textiles!$W88,"")</f>
        <v>8.8551254680226338E-4</v>
      </c>
      <c r="Z86" s="683">
        <f>Sludge!W88</f>
        <v>0</v>
      </c>
      <c r="AA86" s="683" t="str">
        <f>IF(Select2=2,MSW!$W88,"")</f>
        <v/>
      </c>
      <c r="AB86" s="690">
        <f>Industry!$W88</f>
        <v>0</v>
      </c>
      <c r="AC86" s="691">
        <f t="shared" si="5"/>
        <v>2.3958535602182297E-2</v>
      </c>
      <c r="AD86" s="692">
        <f>Recovery_OX!R81</f>
        <v>0</v>
      </c>
      <c r="AE86" s="648"/>
      <c r="AF86" s="694">
        <f>(AC86-AD86)*(1-Recovery_OX!U81)</f>
        <v>2.3958535602182297E-2</v>
      </c>
    </row>
    <row r="87" spans="2:32">
      <c r="B87" s="687">
        <f t="shared" si="6"/>
        <v>2070</v>
      </c>
      <c r="C87" s="688">
        <f>IF(Select2=1,Food!$K89,"")</f>
        <v>3.6626512638729219E-8</v>
      </c>
      <c r="D87" s="689">
        <f>IF(Select2=1,Paper!$K89,"")</f>
        <v>3.1821024851361622E-3</v>
      </c>
      <c r="E87" s="681">
        <f>IF(Select2=1,Nappies!$K89,"")</f>
        <v>1.0085637112566541E-4</v>
      </c>
      <c r="F87" s="689">
        <f>IF(Select2=1,Garden!$K89,"")</f>
        <v>0</v>
      </c>
      <c r="G87" s="681">
        <f>IF(Select2=1,Wood!$K89,"")</f>
        <v>0</v>
      </c>
      <c r="H87" s="689">
        <f>IF(Select2=1,Textiles!$K89,"")</f>
        <v>7.5340236380494181E-4</v>
      </c>
      <c r="I87" s="690">
        <f>Sludge!K89</f>
        <v>0</v>
      </c>
      <c r="J87" s="690" t="str">
        <f>IF(Select2=2,MSW!$K89,"")</f>
        <v/>
      </c>
      <c r="K87" s="690">
        <f>Industry!$K89</f>
        <v>0</v>
      </c>
      <c r="L87" s="691">
        <f t="shared" si="8"/>
        <v>4.0363978465794079E-3</v>
      </c>
      <c r="M87" s="692">
        <f>Recovery_OX!C82</f>
        <v>0</v>
      </c>
      <c r="N87" s="648"/>
      <c r="O87" s="693">
        <f>(L87-M87)*(1-Recovery_OX!F82)</f>
        <v>4.0363978465794079E-3</v>
      </c>
      <c r="P87" s="640"/>
      <c r="Q87" s="650"/>
      <c r="S87" s="687">
        <f t="shared" si="7"/>
        <v>2070</v>
      </c>
      <c r="T87" s="688">
        <f>IF(Select2=1,Food!$W89,"")</f>
        <v>2.4504803281933021E-8</v>
      </c>
      <c r="U87" s="689">
        <f>IF(Select2=1,Paper!$W89,"")</f>
        <v>6.5745919114383582E-3</v>
      </c>
      <c r="V87" s="681">
        <f>IF(Select2=1,Nappies!$W89,"")</f>
        <v>0</v>
      </c>
      <c r="W87" s="689">
        <f>IF(Select2=1,Garden!$W89,"")</f>
        <v>0</v>
      </c>
      <c r="X87" s="681">
        <f>IF(Select2=1,Wood!$W89,"")</f>
        <v>1.5470623771398118E-2</v>
      </c>
      <c r="Y87" s="689">
        <f>IF(Select2=1,Textiles!$W89,"")</f>
        <v>8.2564642608760723E-4</v>
      </c>
      <c r="Z87" s="683">
        <f>Sludge!W89</f>
        <v>0</v>
      </c>
      <c r="AA87" s="683" t="str">
        <f>IF(Select2=2,MSW!$W89,"")</f>
        <v/>
      </c>
      <c r="AB87" s="690">
        <f>Industry!$W89</f>
        <v>0</v>
      </c>
      <c r="AC87" s="691">
        <f t="shared" si="5"/>
        <v>2.2870886613727368E-2</v>
      </c>
      <c r="AD87" s="692">
        <f>Recovery_OX!R82</f>
        <v>0</v>
      </c>
      <c r="AE87" s="648"/>
      <c r="AF87" s="694">
        <f>(AC87-AD87)*(1-Recovery_OX!U82)</f>
        <v>2.2870886613727368E-2</v>
      </c>
    </row>
    <row r="88" spans="2:32">
      <c r="B88" s="687">
        <f t="shared" si="6"/>
        <v>2071</v>
      </c>
      <c r="C88" s="688">
        <f>IF(Select2=1,Food!$K90,"")</f>
        <v>2.4551485638117901E-8</v>
      </c>
      <c r="D88" s="689">
        <f>IF(Select2=1,Paper!$K90,"")</f>
        <v>2.9669726914483175E-3</v>
      </c>
      <c r="E88" s="681">
        <f>IF(Select2=1,Nappies!$K90,"")</f>
        <v>8.5088971848311308E-5</v>
      </c>
      <c r="F88" s="689">
        <f>IF(Select2=1,Garden!$K90,"")</f>
        <v>0</v>
      </c>
      <c r="G88" s="681">
        <f>IF(Select2=1,Wood!$K90,"")</f>
        <v>0</v>
      </c>
      <c r="H88" s="689">
        <f>IF(Select2=1,Textiles!$K90,"")</f>
        <v>7.0246770791426065E-4</v>
      </c>
      <c r="I88" s="690">
        <f>Sludge!K90</f>
        <v>0</v>
      </c>
      <c r="J88" s="690" t="str">
        <f>IF(Select2=2,MSW!$K90,"")</f>
        <v/>
      </c>
      <c r="K88" s="690">
        <f>Industry!$K90</f>
        <v>0</v>
      </c>
      <c r="L88" s="691">
        <f t="shared" si="8"/>
        <v>3.7545539226965271E-3</v>
      </c>
      <c r="M88" s="692">
        <f>Recovery_OX!C83</f>
        <v>0</v>
      </c>
      <c r="N88" s="648"/>
      <c r="O88" s="693">
        <f>(L88-M88)*(1-Recovery_OX!F83)</f>
        <v>3.7545539226965271E-3</v>
      </c>
      <c r="P88" s="640"/>
      <c r="Q88" s="650"/>
      <c r="S88" s="687">
        <f t="shared" si="7"/>
        <v>2071</v>
      </c>
      <c r="T88" s="688">
        <f>IF(Select2=1,Food!$W90,"")</f>
        <v>1.6426060864039629E-8</v>
      </c>
      <c r="U88" s="689">
        <f>IF(Select2=1,Paper!$W90,"")</f>
        <v>6.1301088666287622E-3</v>
      </c>
      <c r="V88" s="681">
        <f>IF(Select2=1,Nappies!$W90,"")</f>
        <v>0</v>
      </c>
      <c r="W88" s="689">
        <f>IF(Select2=1,Garden!$W90,"")</f>
        <v>0</v>
      </c>
      <c r="X88" s="681">
        <f>IF(Select2=1,Wood!$W90,"")</f>
        <v>1.4938518106545083E-2</v>
      </c>
      <c r="Y88" s="689">
        <f>IF(Select2=1,Textiles!$W90,"")</f>
        <v>7.6982762511151816E-4</v>
      </c>
      <c r="Z88" s="683">
        <f>Sludge!W90</f>
        <v>0</v>
      </c>
      <c r="AA88" s="683" t="str">
        <f>IF(Select2=2,MSW!$W90,"")</f>
        <v/>
      </c>
      <c r="AB88" s="690">
        <f>Industry!$W90</f>
        <v>0</v>
      </c>
      <c r="AC88" s="691">
        <f t="shared" si="5"/>
        <v>2.1838471024346228E-2</v>
      </c>
      <c r="AD88" s="692">
        <f>Recovery_OX!R83</f>
        <v>0</v>
      </c>
      <c r="AE88" s="648"/>
      <c r="AF88" s="694">
        <f>(AC88-AD88)*(1-Recovery_OX!U83)</f>
        <v>2.1838471024346228E-2</v>
      </c>
    </row>
    <row r="89" spans="2:32">
      <c r="B89" s="687">
        <f t="shared" si="6"/>
        <v>2072</v>
      </c>
      <c r="C89" s="688">
        <f>IF(Select2=1,Food!$K91,"")</f>
        <v>1.6457352983186528E-8</v>
      </c>
      <c r="D89" s="689">
        <f>IF(Select2=1,Paper!$K91,"")</f>
        <v>2.7663870013361286E-3</v>
      </c>
      <c r="E89" s="681">
        <f>IF(Select2=1,Nappies!$K91,"")</f>
        <v>7.1786571828780406E-5</v>
      </c>
      <c r="F89" s="689">
        <f>IF(Select2=1,Garden!$K91,"")</f>
        <v>0</v>
      </c>
      <c r="G89" s="681">
        <f>IF(Select2=1,Wood!$K91,"")</f>
        <v>0</v>
      </c>
      <c r="H89" s="689">
        <f>IF(Select2=1,Textiles!$K91,"")</f>
        <v>6.5497654954275336E-4</v>
      </c>
      <c r="I89" s="690">
        <f>Sludge!K91</f>
        <v>0</v>
      </c>
      <c r="J89" s="690" t="str">
        <f>IF(Select2=2,MSW!$K91,"")</f>
        <v/>
      </c>
      <c r="K89" s="690">
        <f>Industry!$K91</f>
        <v>0</v>
      </c>
      <c r="L89" s="691">
        <f t="shared" si="8"/>
        <v>3.4931665800606452E-3</v>
      </c>
      <c r="M89" s="692">
        <f>Recovery_OX!C84</f>
        <v>0</v>
      </c>
      <c r="N89" s="648"/>
      <c r="O89" s="693">
        <f>(L89-M89)*(1-Recovery_OX!F84)</f>
        <v>3.4931665800606452E-3</v>
      </c>
      <c r="P89" s="640"/>
      <c r="Q89" s="650"/>
      <c r="S89" s="687">
        <f t="shared" si="7"/>
        <v>2072</v>
      </c>
      <c r="T89" s="688">
        <f>IF(Select2=1,Food!$W91,"")</f>
        <v>1.1010717874567256E-8</v>
      </c>
      <c r="U89" s="689">
        <f>IF(Select2=1,Paper!$W91,"")</f>
        <v>5.7156756225953155E-3</v>
      </c>
      <c r="V89" s="681">
        <f>IF(Select2=1,Nappies!$W91,"")</f>
        <v>0</v>
      </c>
      <c r="W89" s="689">
        <f>IF(Select2=1,Garden!$W91,"")</f>
        <v>0</v>
      </c>
      <c r="X89" s="681">
        <f>IF(Select2=1,Wood!$W91,"")</f>
        <v>1.4424713994541658E-2</v>
      </c>
      <c r="Y89" s="689">
        <f>IF(Select2=1,Textiles!$W91,"")</f>
        <v>7.1778252004685273E-4</v>
      </c>
      <c r="Z89" s="683">
        <f>Sludge!W91</f>
        <v>0</v>
      </c>
      <c r="AA89" s="683" t="str">
        <f>IF(Select2=2,MSW!$W91,"")</f>
        <v/>
      </c>
      <c r="AB89" s="690">
        <f>Industry!$W91</f>
        <v>0</v>
      </c>
      <c r="AC89" s="691">
        <f t="shared" si="5"/>
        <v>2.08581831479017E-2</v>
      </c>
      <c r="AD89" s="692">
        <f>Recovery_OX!R84</f>
        <v>0</v>
      </c>
      <c r="AE89" s="648"/>
      <c r="AF89" s="694">
        <f>(AC89-AD89)*(1-Recovery_OX!U84)</f>
        <v>2.08581831479017E-2</v>
      </c>
    </row>
    <row r="90" spans="2:32">
      <c r="B90" s="687">
        <f t="shared" si="6"/>
        <v>2073</v>
      </c>
      <c r="C90" s="688">
        <f>IF(Select2=1,Food!$K92,"")</f>
        <v>1.1031693609314359E-8</v>
      </c>
      <c r="D90" s="689">
        <f>IF(Select2=1,Paper!$K92,"")</f>
        <v>2.5793621435139546E-3</v>
      </c>
      <c r="E90" s="681">
        <f>IF(Select2=1,Nappies!$K92,"")</f>
        <v>6.0563804956011158E-5</v>
      </c>
      <c r="F90" s="689">
        <f>IF(Select2=1,Garden!$K92,"")</f>
        <v>0</v>
      </c>
      <c r="G90" s="681">
        <f>IF(Select2=1,Wood!$K92,"")</f>
        <v>0</v>
      </c>
      <c r="H90" s="689">
        <f>IF(Select2=1,Textiles!$K92,"")</f>
        <v>6.1069608697698549E-4</v>
      </c>
      <c r="I90" s="690">
        <f>Sludge!K92</f>
        <v>0</v>
      </c>
      <c r="J90" s="690" t="str">
        <f>IF(Select2=2,MSW!$K92,"")</f>
        <v/>
      </c>
      <c r="K90" s="690">
        <f>Industry!$K92</f>
        <v>0</v>
      </c>
      <c r="L90" s="691">
        <f t="shared" si="8"/>
        <v>3.2506330671405606E-3</v>
      </c>
      <c r="M90" s="692">
        <f>Recovery_OX!C85</f>
        <v>0</v>
      </c>
      <c r="N90" s="648"/>
      <c r="O90" s="693">
        <f>(L90-M90)*(1-Recovery_OX!F85)</f>
        <v>3.2506330671405606E-3</v>
      </c>
      <c r="P90" s="640"/>
      <c r="Q90" s="650"/>
      <c r="S90" s="687">
        <f t="shared" si="7"/>
        <v>2073</v>
      </c>
      <c r="T90" s="688">
        <f>IF(Select2=1,Food!$W92,"")</f>
        <v>7.3807049125653602E-9</v>
      </c>
      <c r="U90" s="689">
        <f>IF(Select2=1,Paper!$W92,"")</f>
        <v>5.3292606270949556E-3</v>
      </c>
      <c r="V90" s="681">
        <f>IF(Select2=1,Nappies!$W92,"")</f>
        <v>0</v>
      </c>
      <c r="W90" s="689">
        <f>IF(Select2=1,Garden!$W92,"")</f>
        <v>0</v>
      </c>
      <c r="X90" s="681">
        <f>IF(Select2=1,Wood!$W92,"")</f>
        <v>1.3928581961095742E-2</v>
      </c>
      <c r="Y90" s="689">
        <f>IF(Select2=1,Textiles!$W92,"")</f>
        <v>6.6925598572820295E-4</v>
      </c>
      <c r="Z90" s="683">
        <f>Sludge!W92</f>
        <v>0</v>
      </c>
      <c r="AA90" s="683" t="str">
        <f>IF(Select2=2,MSW!$W92,"")</f>
        <v/>
      </c>
      <c r="AB90" s="690">
        <f>Industry!$W92</f>
        <v>0</v>
      </c>
      <c r="AC90" s="691">
        <f t="shared" si="5"/>
        <v>1.9927105954623815E-2</v>
      </c>
      <c r="AD90" s="692">
        <f>Recovery_OX!R85</f>
        <v>0</v>
      </c>
      <c r="AE90" s="648"/>
      <c r="AF90" s="694">
        <f>(AC90-AD90)*(1-Recovery_OX!U85)</f>
        <v>1.9927105954623815E-2</v>
      </c>
    </row>
    <row r="91" spans="2:32">
      <c r="B91" s="687">
        <f t="shared" si="6"/>
        <v>2074</v>
      </c>
      <c r="C91" s="688">
        <f>IF(Select2=1,Food!$K93,"")</f>
        <v>7.3947653680466704E-9</v>
      </c>
      <c r="D91" s="689">
        <f>IF(Select2=1,Paper!$K93,"")</f>
        <v>2.4049813219117707E-3</v>
      </c>
      <c r="E91" s="681">
        <f>IF(Select2=1,Nappies!$K93,"")</f>
        <v>5.1095551400592311E-5</v>
      </c>
      <c r="F91" s="689">
        <f>IF(Select2=1,Garden!$K93,"")</f>
        <v>0</v>
      </c>
      <c r="G91" s="681">
        <f>IF(Select2=1,Wood!$K93,"")</f>
        <v>0</v>
      </c>
      <c r="H91" s="689">
        <f>IF(Select2=1,Textiles!$K93,"")</f>
        <v>5.6940925733808671E-4</v>
      </c>
      <c r="I91" s="690">
        <f>Sludge!K93</f>
        <v>0</v>
      </c>
      <c r="J91" s="690" t="str">
        <f>IF(Select2=2,MSW!$K93,"")</f>
        <v/>
      </c>
      <c r="K91" s="690">
        <f>Industry!$K93</f>
        <v>0</v>
      </c>
      <c r="L91" s="691">
        <f t="shared" si="8"/>
        <v>3.0254935254158183E-3</v>
      </c>
      <c r="M91" s="692">
        <f>Recovery_OX!C86</f>
        <v>0</v>
      </c>
      <c r="N91" s="648"/>
      <c r="O91" s="693">
        <f>(L91-M91)*(1-Recovery_OX!F86)</f>
        <v>3.0254935254158183E-3</v>
      </c>
      <c r="P91" s="640"/>
      <c r="Q91" s="650"/>
      <c r="S91" s="687">
        <f t="shared" si="7"/>
        <v>2074</v>
      </c>
      <c r="T91" s="688">
        <f>IF(Select2=1,Food!$W93,"")</f>
        <v>4.9474344567662811E-9</v>
      </c>
      <c r="U91" s="689">
        <f>IF(Select2=1,Paper!$W93,"")</f>
        <v>4.9689696733714352E-3</v>
      </c>
      <c r="V91" s="681">
        <f>IF(Select2=1,Nappies!$W93,"")</f>
        <v>0</v>
      </c>
      <c r="W91" s="689">
        <f>IF(Select2=1,Garden!$W93,"")</f>
        <v>0</v>
      </c>
      <c r="X91" s="681">
        <f>IF(Select2=1,Wood!$W93,"")</f>
        <v>1.3449514182421485E-2</v>
      </c>
      <c r="Y91" s="689">
        <f>IF(Select2=1,Textiles!$W93,"")</f>
        <v>6.2401014502803985E-4</v>
      </c>
      <c r="Z91" s="683">
        <f>Sludge!W93</f>
        <v>0</v>
      </c>
      <c r="AA91" s="683" t="str">
        <f>IF(Select2=2,MSW!$W93,"")</f>
        <v/>
      </c>
      <c r="AB91" s="690">
        <f>Industry!$W93</f>
        <v>0</v>
      </c>
      <c r="AC91" s="691">
        <f t="shared" si="5"/>
        <v>1.9042498948255417E-2</v>
      </c>
      <c r="AD91" s="692">
        <f>Recovery_OX!R86</f>
        <v>0</v>
      </c>
      <c r="AE91" s="648"/>
      <c r="AF91" s="694">
        <f>(AC91-AD91)*(1-Recovery_OX!U86)</f>
        <v>1.9042498948255417E-2</v>
      </c>
    </row>
    <row r="92" spans="2:32">
      <c r="B92" s="687">
        <f t="shared" si="6"/>
        <v>2075</v>
      </c>
      <c r="C92" s="688">
        <f>IF(Select2=1,Food!$K94,"")</f>
        <v>4.9568594619317958E-9</v>
      </c>
      <c r="D92" s="689">
        <f>IF(Select2=1,Paper!$K94,"")</f>
        <v>2.2423897215397733E-3</v>
      </c>
      <c r="E92" s="681">
        <f>IF(Select2=1,Nappies!$K94,"")</f>
        <v>4.3107519001271809E-5</v>
      </c>
      <c r="F92" s="689">
        <f>IF(Select2=1,Garden!$K94,"")</f>
        <v>0</v>
      </c>
      <c r="G92" s="681">
        <f>IF(Select2=1,Wood!$K94,"")</f>
        <v>0</v>
      </c>
      <c r="H92" s="689">
        <f>IF(Select2=1,Textiles!$K94,"")</f>
        <v>5.3091367253926781E-4</v>
      </c>
      <c r="I92" s="690">
        <f>Sludge!K94</f>
        <v>0</v>
      </c>
      <c r="J92" s="690" t="str">
        <f>IF(Select2=2,MSW!$K94,"")</f>
        <v/>
      </c>
      <c r="K92" s="690">
        <f>Industry!$K94</f>
        <v>0</v>
      </c>
      <c r="L92" s="691">
        <f t="shared" si="8"/>
        <v>2.8164158699397748E-3</v>
      </c>
      <c r="M92" s="692">
        <f>Recovery_OX!C87</f>
        <v>0</v>
      </c>
      <c r="N92" s="648"/>
      <c r="O92" s="693">
        <f>(L92-M92)*(1-Recovery_OX!F87)</f>
        <v>2.8164158699397748E-3</v>
      </c>
      <c r="P92" s="640"/>
      <c r="Q92" s="650"/>
      <c r="S92" s="687">
        <f t="shared" si="7"/>
        <v>2075</v>
      </c>
      <c r="T92" s="688">
        <f>IF(Select2=1,Food!$W94,"")</f>
        <v>3.316364492817882E-9</v>
      </c>
      <c r="U92" s="689">
        <f>IF(Select2=1,Paper!$W94,"")</f>
        <v>4.6330366147516039E-3</v>
      </c>
      <c r="V92" s="681">
        <f>IF(Select2=1,Nappies!$W94,"")</f>
        <v>0</v>
      </c>
      <c r="W92" s="689">
        <f>IF(Select2=1,Garden!$W94,"")</f>
        <v>0</v>
      </c>
      <c r="X92" s="681">
        <f>IF(Select2=1,Wood!$W94,"")</f>
        <v>1.2986923740579141E-2</v>
      </c>
      <c r="Y92" s="689">
        <f>IF(Select2=1,Textiles!$W94,"")</f>
        <v>5.8182320278275888E-4</v>
      </c>
      <c r="Z92" s="683">
        <f>Sludge!W94</f>
        <v>0</v>
      </c>
      <c r="AA92" s="683" t="str">
        <f>IF(Select2=2,MSW!$W94,"")</f>
        <v/>
      </c>
      <c r="AB92" s="690">
        <f>Industry!$W94</f>
        <v>0</v>
      </c>
      <c r="AC92" s="691">
        <f t="shared" si="5"/>
        <v>1.8201786874477995E-2</v>
      </c>
      <c r="AD92" s="692">
        <f>Recovery_OX!R87</f>
        <v>0</v>
      </c>
      <c r="AE92" s="648"/>
      <c r="AF92" s="694">
        <f>(AC92-AD92)*(1-Recovery_OX!U87)</f>
        <v>1.8201786874477995E-2</v>
      </c>
    </row>
    <row r="93" spans="2:32">
      <c r="B93" s="687">
        <f t="shared" si="6"/>
        <v>2076</v>
      </c>
      <c r="C93" s="688">
        <f>IF(Select2=1,Food!$K95,"")</f>
        <v>3.3226822627143155E-9</v>
      </c>
      <c r="D93" s="689">
        <f>IF(Select2=1,Paper!$K95,"")</f>
        <v>2.0907903181843048E-3</v>
      </c>
      <c r="E93" s="681">
        <f>IF(Select2=1,Nappies!$K95,"")</f>
        <v>3.6368297112133102E-5</v>
      </c>
      <c r="F93" s="689">
        <f>IF(Select2=1,Garden!$K95,"")</f>
        <v>0</v>
      </c>
      <c r="G93" s="681">
        <f>IF(Select2=1,Wood!$K95,"")</f>
        <v>0</v>
      </c>
      <c r="H93" s="689">
        <f>IF(Select2=1,Textiles!$K95,"")</f>
        <v>4.9502062717918368E-4</v>
      </c>
      <c r="I93" s="690">
        <f>Sludge!K95</f>
        <v>0</v>
      </c>
      <c r="J93" s="690" t="str">
        <f>IF(Select2=2,MSW!$K95,"")</f>
        <v/>
      </c>
      <c r="K93" s="690">
        <f>Industry!$K95</f>
        <v>0</v>
      </c>
      <c r="L93" s="691">
        <f t="shared" si="8"/>
        <v>2.6221825651578843E-3</v>
      </c>
      <c r="M93" s="692">
        <f>Recovery_OX!C88</f>
        <v>0</v>
      </c>
      <c r="N93" s="648"/>
      <c r="O93" s="693">
        <f>(L93-M93)*(1-Recovery_OX!F88)</f>
        <v>2.6221825651578843E-3</v>
      </c>
      <c r="P93" s="640"/>
      <c r="Q93" s="650"/>
      <c r="S93" s="687">
        <f t="shared" si="7"/>
        <v>2076</v>
      </c>
      <c r="T93" s="688">
        <f>IF(Select2=1,Food!$W95,"")</f>
        <v>2.2230255994966426E-9</v>
      </c>
      <c r="U93" s="689">
        <f>IF(Select2=1,Paper!$W95,"")</f>
        <v>4.3198147069923717E-3</v>
      </c>
      <c r="V93" s="681">
        <f>IF(Select2=1,Nappies!$W95,"")</f>
        <v>0</v>
      </c>
      <c r="W93" s="689">
        <f>IF(Select2=1,Garden!$W95,"")</f>
        <v>0</v>
      </c>
      <c r="X93" s="681">
        <f>IF(Select2=1,Wood!$W95,"")</f>
        <v>1.2540243904427192E-2</v>
      </c>
      <c r="Y93" s="689">
        <f>IF(Select2=1,Textiles!$W95,"")</f>
        <v>5.4248835855252972E-4</v>
      </c>
      <c r="Z93" s="683">
        <f>Sludge!W95</f>
        <v>0</v>
      </c>
      <c r="AA93" s="683" t="str">
        <f>IF(Select2=2,MSW!$W95,"")</f>
        <v/>
      </c>
      <c r="AB93" s="690">
        <f>Industry!$W95</f>
        <v>0</v>
      </c>
      <c r="AC93" s="691">
        <f t="shared" si="5"/>
        <v>1.7402549192997691E-2</v>
      </c>
      <c r="AD93" s="692">
        <f>Recovery_OX!R88</f>
        <v>0</v>
      </c>
      <c r="AE93" s="648"/>
      <c r="AF93" s="694">
        <f>(AC93-AD93)*(1-Recovery_OX!U88)</f>
        <v>1.7402549192997691E-2</v>
      </c>
    </row>
    <row r="94" spans="2:32">
      <c r="B94" s="687">
        <f t="shared" si="6"/>
        <v>2077</v>
      </c>
      <c r="C94" s="688">
        <f>IF(Select2=1,Food!$K96,"")</f>
        <v>2.2272605273044621E-9</v>
      </c>
      <c r="D94" s="689">
        <f>IF(Select2=1,Paper!$K96,"")</f>
        <v>1.949439971394237E-3</v>
      </c>
      <c r="E94" s="681">
        <f>IF(Select2=1,Nappies!$K96,"")</f>
        <v>3.0682652713030565E-5</v>
      </c>
      <c r="F94" s="689">
        <f>IF(Select2=1,Garden!$K96,"")</f>
        <v>0</v>
      </c>
      <c r="G94" s="681">
        <f>IF(Select2=1,Wood!$K96,"")</f>
        <v>0</v>
      </c>
      <c r="H94" s="689">
        <f>IF(Select2=1,Textiles!$K96,"")</f>
        <v>4.6155417350783731E-4</v>
      </c>
      <c r="I94" s="690">
        <f>Sludge!K96</f>
        <v>0</v>
      </c>
      <c r="J94" s="690" t="str">
        <f>IF(Select2=2,MSW!$K96,"")</f>
        <v/>
      </c>
      <c r="K94" s="690">
        <f>Industry!$K96</f>
        <v>0</v>
      </c>
      <c r="L94" s="691">
        <f t="shared" si="8"/>
        <v>2.4416790248756324E-3</v>
      </c>
      <c r="M94" s="692">
        <f>Recovery_OX!C89</f>
        <v>0</v>
      </c>
      <c r="N94" s="648"/>
      <c r="O94" s="693">
        <f>(L94-M94)*(1-Recovery_OX!F89)</f>
        <v>2.4416790248756324E-3</v>
      </c>
      <c r="P94" s="640"/>
      <c r="Q94" s="650"/>
      <c r="S94" s="687">
        <f t="shared" si="7"/>
        <v>2077</v>
      </c>
      <c r="T94" s="688">
        <f>IF(Select2=1,Food!$W96,"")</f>
        <v>1.490138622192994E-9</v>
      </c>
      <c r="U94" s="689">
        <f>IF(Select2=1,Paper!$W96,"")</f>
        <v>4.0277685359385116E-3</v>
      </c>
      <c r="V94" s="681">
        <f>IF(Select2=1,Nappies!$W96,"")</f>
        <v>0</v>
      </c>
      <c r="W94" s="689">
        <f>IF(Select2=1,Garden!$W96,"")</f>
        <v>0</v>
      </c>
      <c r="X94" s="681">
        <f>IF(Select2=1,Wood!$W96,"")</f>
        <v>1.2108927435305832E-2</v>
      </c>
      <c r="Y94" s="689">
        <f>IF(Select2=1,Textiles!$W96,"")</f>
        <v>5.0581279288530083E-4</v>
      </c>
      <c r="Z94" s="683">
        <f>Sludge!W96</f>
        <v>0</v>
      </c>
      <c r="AA94" s="683" t="str">
        <f>IF(Select2=2,MSW!$W96,"")</f>
        <v/>
      </c>
      <c r="AB94" s="690">
        <f>Industry!$W96</f>
        <v>0</v>
      </c>
      <c r="AC94" s="691">
        <f t="shared" si="5"/>
        <v>1.6642510254268265E-2</v>
      </c>
      <c r="AD94" s="692">
        <f>Recovery_OX!R89</f>
        <v>0</v>
      </c>
      <c r="AE94" s="648"/>
      <c r="AF94" s="694">
        <f>(AC94-AD94)*(1-Recovery_OX!U89)</f>
        <v>1.6642510254268265E-2</v>
      </c>
    </row>
    <row r="95" spans="2:32">
      <c r="B95" s="687">
        <f t="shared" si="6"/>
        <v>2078</v>
      </c>
      <c r="C95" s="688">
        <f>IF(Select2=1,Food!$K97,"")</f>
        <v>1.4929773791960893E-9</v>
      </c>
      <c r="D95" s="689">
        <f>IF(Select2=1,Paper!$K97,"")</f>
        <v>1.8176457816056152E-3</v>
      </c>
      <c r="E95" s="681">
        <f>IF(Select2=1,Nappies!$K97,"")</f>
        <v>2.5885874573829471E-5</v>
      </c>
      <c r="F95" s="689">
        <f>IF(Select2=1,Garden!$K97,"")</f>
        <v>0</v>
      </c>
      <c r="G95" s="681">
        <f>IF(Select2=1,Wood!$K97,"")</f>
        <v>0</v>
      </c>
      <c r="H95" s="689">
        <f>IF(Select2=1,Textiles!$K97,"")</f>
        <v>4.3035025893050526E-4</v>
      </c>
      <c r="I95" s="690">
        <f>Sludge!K97</f>
        <v>0</v>
      </c>
      <c r="J95" s="690" t="str">
        <f>IF(Select2=2,MSW!$K97,"")</f>
        <v/>
      </c>
      <c r="K95" s="690">
        <f>Industry!$K97</f>
        <v>0</v>
      </c>
      <c r="L95" s="691">
        <f t="shared" si="8"/>
        <v>2.2738834080873291E-3</v>
      </c>
      <c r="M95" s="692">
        <f>Recovery_OX!C90</f>
        <v>0</v>
      </c>
      <c r="N95" s="648"/>
      <c r="O95" s="693">
        <f>(L95-M95)*(1-Recovery_OX!F90)</f>
        <v>2.2738834080873291E-3</v>
      </c>
      <c r="P95" s="640"/>
      <c r="Q95" s="650"/>
      <c r="S95" s="687">
        <f t="shared" si="7"/>
        <v>2078</v>
      </c>
      <c r="T95" s="688">
        <f>IF(Select2=1,Food!$W97,"")</f>
        <v>9.9886978982789182E-10</v>
      </c>
      <c r="U95" s="689">
        <f>IF(Select2=1,Paper!$W97,"")</f>
        <v>3.755466490920698E-3</v>
      </c>
      <c r="V95" s="681">
        <f>IF(Select2=1,Nappies!$W97,"")</f>
        <v>0</v>
      </c>
      <c r="W95" s="689">
        <f>IF(Select2=1,Garden!$W97,"")</f>
        <v>0</v>
      </c>
      <c r="X95" s="681">
        <f>IF(Select2=1,Wood!$W97,"")</f>
        <v>1.1692445916601154E-2</v>
      </c>
      <c r="Y95" s="689">
        <f>IF(Select2=1,Textiles!$W97,"")</f>
        <v>4.7161672211562197E-4</v>
      </c>
      <c r="Z95" s="683">
        <f>Sludge!W97</f>
        <v>0</v>
      </c>
      <c r="AA95" s="683" t="str">
        <f>IF(Select2=2,MSW!$W97,"")</f>
        <v/>
      </c>
      <c r="AB95" s="690">
        <f>Industry!$W97</f>
        <v>0</v>
      </c>
      <c r="AC95" s="691">
        <f t="shared" si="5"/>
        <v>1.5919530128507265E-2</v>
      </c>
      <c r="AD95" s="692">
        <f>Recovery_OX!R90</f>
        <v>0</v>
      </c>
      <c r="AE95" s="648"/>
      <c r="AF95" s="694">
        <f>(AC95-AD95)*(1-Recovery_OX!U90)</f>
        <v>1.5919530128507265E-2</v>
      </c>
    </row>
    <row r="96" spans="2:32">
      <c r="B96" s="687">
        <f t="shared" si="6"/>
        <v>2079</v>
      </c>
      <c r="C96" s="688">
        <f>IF(Select2=1,Food!$K98,"")</f>
        <v>1.0007726655528907E-9</v>
      </c>
      <c r="D96" s="689">
        <f>IF(Select2=1,Paper!$K98,"")</f>
        <v>1.6947616935471925E-3</v>
      </c>
      <c r="E96" s="681">
        <f>IF(Select2=1,Nappies!$K98,"")</f>
        <v>2.1839001624766831E-5</v>
      </c>
      <c r="F96" s="689">
        <f>IF(Select2=1,Garden!$K98,"")</f>
        <v>0</v>
      </c>
      <c r="G96" s="681">
        <f>IF(Select2=1,Wood!$K98,"")</f>
        <v>0</v>
      </c>
      <c r="H96" s="689">
        <f>IF(Select2=1,Textiles!$K98,"")</f>
        <v>4.0125592182172778E-4</v>
      </c>
      <c r="I96" s="690">
        <f>Sludge!K98</f>
        <v>0</v>
      </c>
      <c r="J96" s="690" t="str">
        <f>IF(Select2=2,MSW!$K98,"")</f>
        <v/>
      </c>
      <c r="K96" s="690">
        <f>Industry!$K98</f>
        <v>0</v>
      </c>
      <c r="L96" s="691">
        <f t="shared" si="8"/>
        <v>2.1178576177663527E-3</v>
      </c>
      <c r="M96" s="692">
        <f>Recovery_OX!C91</f>
        <v>0</v>
      </c>
      <c r="N96" s="648"/>
      <c r="O96" s="693">
        <f>(L96-M96)*(1-Recovery_OX!F91)</f>
        <v>2.1178576177663527E-3</v>
      </c>
      <c r="P96" s="638"/>
      <c r="S96" s="687">
        <f t="shared" si="7"/>
        <v>2079</v>
      </c>
      <c r="T96" s="688">
        <f>IF(Select2=1,Food!$W98,"")</f>
        <v>6.6956244350104176E-10</v>
      </c>
      <c r="U96" s="689">
        <f>IF(Select2=1,Paper!$W98,"")</f>
        <v>3.5015737469983373E-3</v>
      </c>
      <c r="V96" s="681">
        <f>IF(Select2=1,Nappies!$W98,"")</f>
        <v>0</v>
      </c>
      <c r="W96" s="689">
        <f>IF(Select2=1,Garden!$W98,"")</f>
        <v>0</v>
      </c>
      <c r="X96" s="681">
        <f>IF(Select2=1,Wood!$W98,"")</f>
        <v>1.1290289106368739E-2</v>
      </c>
      <c r="Y96" s="689">
        <f>IF(Select2=1,Textiles!$W98,"")</f>
        <v>4.3973251706490692E-4</v>
      </c>
      <c r="Z96" s="683">
        <f>Sludge!W98</f>
        <v>0</v>
      </c>
      <c r="AA96" s="683" t="str">
        <f>IF(Select2=2,MSW!$W98,"")</f>
        <v/>
      </c>
      <c r="AB96" s="690">
        <f>Industry!$W98</f>
        <v>0</v>
      </c>
      <c r="AC96" s="691">
        <f t="shared" si="5"/>
        <v>1.5231596039994426E-2</v>
      </c>
      <c r="AD96" s="692">
        <f>Recovery_OX!R91</f>
        <v>0</v>
      </c>
      <c r="AE96" s="648"/>
      <c r="AF96" s="694">
        <f>(AC96-AD96)*(1-Recovery_OX!U91)</f>
        <v>1.5231596039994426E-2</v>
      </c>
    </row>
    <row r="97" spans="2:32" ht="13.5" thickBot="1">
      <c r="B97" s="695">
        <f t="shared" si="6"/>
        <v>2080</v>
      </c>
      <c r="C97" s="696">
        <f>IF(Select2=1,Food!$K99,"")</f>
        <v>6.7083797924462314E-10</v>
      </c>
      <c r="D97" s="697">
        <f>IF(Select2=1,Paper!$K99,"")</f>
        <v>1.5801853292767409E-3</v>
      </c>
      <c r="E97" s="697">
        <f>IF(Select2=1,Nappies!$K99,"")</f>
        <v>1.8424797300407033E-5</v>
      </c>
      <c r="F97" s="697">
        <f>IF(Select2=1,Garden!$K99,"")</f>
        <v>0</v>
      </c>
      <c r="G97" s="697">
        <f>IF(Select2=1,Wood!$K99,"")</f>
        <v>0</v>
      </c>
      <c r="H97" s="697">
        <f>IF(Select2=1,Textiles!$K99,"")</f>
        <v>3.7412854170724335E-4</v>
      </c>
      <c r="I97" s="698">
        <f>Sludge!K99</f>
        <v>0</v>
      </c>
      <c r="J97" s="698" t="str">
        <f>IF(Select2=2,MSW!$K99,"")</f>
        <v/>
      </c>
      <c r="K97" s="690">
        <f>Industry!$K99</f>
        <v>0</v>
      </c>
      <c r="L97" s="691">
        <f t="shared" si="8"/>
        <v>1.9727393391223706E-3</v>
      </c>
      <c r="M97" s="699">
        <f>Recovery_OX!C92</f>
        <v>0</v>
      </c>
      <c r="N97" s="648"/>
      <c r="O97" s="700">
        <f>(L97-M97)*(1-Recovery_OX!F92)</f>
        <v>1.9727393391223706E-3</v>
      </c>
      <c r="S97" s="695">
        <f t="shared" si="7"/>
        <v>2080</v>
      </c>
      <c r="T97" s="696">
        <f>IF(Select2=1,Food!$W99,"")</f>
        <v>4.4882112795135349E-10</v>
      </c>
      <c r="U97" s="697">
        <f>IF(Select2=1,Paper!$W99,"")</f>
        <v>3.2648457216461636E-3</v>
      </c>
      <c r="V97" s="697">
        <f>IF(Select2=1,Nappies!$W99,"")</f>
        <v>0</v>
      </c>
      <c r="W97" s="697">
        <f>IF(Select2=1,Garden!$W99,"")</f>
        <v>0</v>
      </c>
      <c r="X97" s="697">
        <f>IF(Select2=1,Wood!$W99,"")</f>
        <v>1.0901964312223456E-2</v>
      </c>
      <c r="Y97" s="697">
        <f>IF(Select2=1,Textiles!$W99,"")</f>
        <v>4.1000388132300615E-4</v>
      </c>
      <c r="Z97" s="698">
        <f>Sludge!W99</f>
        <v>0</v>
      </c>
      <c r="AA97" s="698" t="str">
        <f>IF(Select2=2,MSW!$W99,"")</f>
        <v/>
      </c>
      <c r="AB97" s="690">
        <f>Industry!$W99</f>
        <v>0</v>
      </c>
      <c r="AC97" s="701">
        <f t="shared" si="5"/>
        <v>1.4576814364013754E-2</v>
      </c>
      <c r="AD97" s="699">
        <f>Recovery_OX!R92</f>
        <v>0</v>
      </c>
      <c r="AE97" s="648"/>
      <c r="AF97" s="702">
        <f>(AC97-AD97)*(1-Recovery_OX!U92)</f>
        <v>1.4576814364013754E-2</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834" t="s">
        <v>284</v>
      </c>
      <c r="D8" s="835"/>
      <c r="E8" s="836"/>
      <c r="F8" s="834" t="s">
        <v>285</v>
      </c>
      <c r="G8" s="835"/>
      <c r="H8" s="837"/>
      <c r="I8" s="435"/>
      <c r="J8" s="834" t="s">
        <v>286</v>
      </c>
      <c r="K8" s="835"/>
      <c r="L8" s="837"/>
      <c r="M8" s="838" t="s">
        <v>287</v>
      </c>
      <c r="N8" s="839"/>
      <c r="O8" s="840"/>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v>1950</v>
      </c>
      <c r="C12" s="462">
        <f>Stored_C!E18</f>
        <v>0</v>
      </c>
      <c r="D12" s="463">
        <f>Stored_C!F18+Stored_C!L18</f>
        <v>0</v>
      </c>
      <c r="E12" s="464">
        <f>Stored_C!G18+Stored_C!M18</f>
        <v>0</v>
      </c>
      <c r="F12" s="465">
        <f>F11+HWP!C12</f>
        <v>0</v>
      </c>
      <c r="G12" s="463">
        <f>G11+HWP!D12</f>
        <v>0</v>
      </c>
      <c r="H12" s="464">
        <f>H11+HWP!E12</f>
        <v>0</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0</v>
      </c>
      <c r="E13" s="473">
        <f>Stored_C!G19+Stored_C!M19</f>
        <v>0</v>
      </c>
      <c r="F13" s="474">
        <f>F12+HWP!C13</f>
        <v>0</v>
      </c>
      <c r="G13" s="472">
        <f>G12+HWP!D13</f>
        <v>0</v>
      </c>
      <c r="H13" s="473">
        <f>H12+HWP!E13</f>
        <v>0</v>
      </c>
      <c r="I13" s="456"/>
      <c r="J13" s="475">
        <f>Garden!J20</f>
        <v>0</v>
      </c>
      <c r="K13" s="476">
        <f>Paper!J20</f>
        <v>0</v>
      </c>
      <c r="L13" s="477">
        <f>Wood!J20</f>
        <v>0</v>
      </c>
      <c r="M13" s="478">
        <f>J13*(1-Recovery_OX!E13)*(1-Recovery_OX!F13)</f>
        <v>0</v>
      </c>
      <c r="N13" s="476">
        <f>K13*(1-Recovery_OX!E13)*(1-Recovery_OX!F13)</f>
        <v>0</v>
      </c>
      <c r="O13" s="477">
        <f>L13*(1-Recovery_OX!E13)*(1-Recovery_OX!F13)</f>
        <v>0</v>
      </c>
    </row>
    <row r="14" spans="2:15">
      <c r="B14" s="470">
        <f t="shared" ref="B14:B77" si="0">B13+1</f>
        <v>1952</v>
      </c>
      <c r="C14" s="471">
        <f>Stored_C!E20</f>
        <v>0</v>
      </c>
      <c r="D14" s="472">
        <f>Stored_C!F20+Stored_C!L20</f>
        <v>2.0296104576000003E-2</v>
      </c>
      <c r="E14" s="473">
        <f>Stored_C!G20+Stored_C!M20</f>
        <v>1.6744286275199999E-2</v>
      </c>
      <c r="F14" s="474">
        <f>F13+HWP!C14</f>
        <v>0</v>
      </c>
      <c r="G14" s="472">
        <f>G13+HWP!D14</f>
        <v>2.0296104576000003E-2</v>
      </c>
      <c r="H14" s="473">
        <f>H13+HWP!E14</f>
        <v>1.6744286275199999E-2</v>
      </c>
      <c r="I14" s="456"/>
      <c r="J14" s="475">
        <f>Garden!J21</f>
        <v>0</v>
      </c>
      <c r="K14" s="476">
        <f>Paper!J21</f>
        <v>0</v>
      </c>
      <c r="L14" s="477">
        <f>Wood!J21</f>
        <v>0</v>
      </c>
      <c r="M14" s="478">
        <f>J14*(1-Recovery_OX!E14)*(1-Recovery_OX!F14)</f>
        <v>0</v>
      </c>
      <c r="N14" s="476">
        <f>K14*(1-Recovery_OX!E14)*(1-Recovery_OX!F14)</f>
        <v>0</v>
      </c>
      <c r="O14" s="477">
        <f>L14*(1-Recovery_OX!E14)*(1-Recovery_OX!F14)</f>
        <v>0</v>
      </c>
    </row>
    <row r="15" spans="2:15">
      <c r="B15" s="470">
        <f t="shared" si="0"/>
        <v>1953</v>
      </c>
      <c r="C15" s="471">
        <f>Stored_C!E21</f>
        <v>0</v>
      </c>
      <c r="D15" s="472">
        <f>Stored_C!F21+Stored_C!L21</f>
        <v>2.0644111488000005E-2</v>
      </c>
      <c r="E15" s="473">
        <f>Stored_C!G21+Stored_C!M21</f>
        <v>1.7031391977600001E-2</v>
      </c>
      <c r="F15" s="474">
        <f>F14+HWP!C15</f>
        <v>0</v>
      </c>
      <c r="G15" s="472">
        <f>G14+HWP!D15</f>
        <v>4.0940216064000008E-2</v>
      </c>
      <c r="H15" s="473">
        <f>H14+HWP!E15</f>
        <v>3.37756782528E-2</v>
      </c>
      <c r="I15" s="456"/>
      <c r="J15" s="475">
        <f>Garden!J22</f>
        <v>0</v>
      </c>
      <c r="K15" s="476">
        <f>Paper!J22</f>
        <v>4.6521380226581602E-3</v>
      </c>
      <c r="L15" s="477">
        <f>Wood!J22</f>
        <v>0</v>
      </c>
      <c r="M15" s="478">
        <f>J15*(1-Recovery_OX!E15)*(1-Recovery_OX!F15)</f>
        <v>0</v>
      </c>
      <c r="N15" s="476">
        <f>K15*(1-Recovery_OX!E15)*(1-Recovery_OX!F15)</f>
        <v>4.6521380226581602E-3</v>
      </c>
      <c r="O15" s="477">
        <f>L15*(1-Recovery_OX!E15)*(1-Recovery_OX!F15)</f>
        <v>0</v>
      </c>
    </row>
    <row r="16" spans="2:15">
      <c r="B16" s="470">
        <f t="shared" si="0"/>
        <v>1954</v>
      </c>
      <c r="C16" s="471">
        <f>Stored_C!E22</f>
        <v>0</v>
      </c>
      <c r="D16" s="472">
        <f>Stored_C!F22+Stored_C!L22</f>
        <v>2.1472353408000001E-2</v>
      </c>
      <c r="E16" s="473">
        <f>Stored_C!G22+Stored_C!M22</f>
        <v>1.77146915616E-2</v>
      </c>
      <c r="F16" s="474">
        <f>F15+HWP!C16</f>
        <v>0</v>
      </c>
      <c r="G16" s="472">
        <f>G15+HWP!D16</f>
        <v>6.241256947200001E-2</v>
      </c>
      <c r="H16" s="473">
        <f>H15+HWP!E16</f>
        <v>5.14903698144E-2</v>
      </c>
      <c r="I16" s="456"/>
      <c r="J16" s="475">
        <f>Garden!J23</f>
        <v>0</v>
      </c>
      <c r="K16" s="476">
        <f>Paper!J23</f>
        <v>9.0695305927565861E-3</v>
      </c>
      <c r="L16" s="477">
        <f>Wood!J23</f>
        <v>0</v>
      </c>
      <c r="M16" s="478">
        <f>J16*(1-Recovery_OX!E16)*(1-Recovery_OX!F16)</f>
        <v>0</v>
      </c>
      <c r="N16" s="476">
        <f>K16*(1-Recovery_OX!E16)*(1-Recovery_OX!F16)</f>
        <v>9.0695305927565861E-3</v>
      </c>
      <c r="O16" s="477">
        <f>L16*(1-Recovery_OX!E16)*(1-Recovery_OX!F16)</f>
        <v>0</v>
      </c>
    </row>
    <row r="17" spans="2:15">
      <c r="B17" s="470">
        <f t="shared" si="0"/>
        <v>1955</v>
      </c>
      <c r="C17" s="471">
        <f>Stored_C!E23</f>
        <v>0</v>
      </c>
      <c r="D17" s="472">
        <f>Stored_C!F23+Stored_C!L23</f>
        <v>2.2244289408000006E-2</v>
      </c>
      <c r="E17" s="473">
        <f>Stored_C!G23+Stored_C!M23</f>
        <v>1.8351538761600002E-2</v>
      </c>
      <c r="F17" s="474">
        <f>F16+HWP!C17</f>
        <v>0</v>
      </c>
      <c r="G17" s="472">
        <f>G16+HWP!D17</f>
        <v>8.4656858880000019E-2</v>
      </c>
      <c r="H17" s="473">
        <f>H16+HWP!E17</f>
        <v>6.9841908576000006E-2</v>
      </c>
      <c r="I17" s="456"/>
      <c r="J17" s="475">
        <f>Garden!J24</f>
        <v>0</v>
      </c>
      <c r="K17" s="476">
        <f>Paper!J24</f>
        <v>1.3378124226262047E-2</v>
      </c>
      <c r="L17" s="477">
        <f>Wood!J24</f>
        <v>0</v>
      </c>
      <c r="M17" s="478">
        <f>J17*(1-Recovery_OX!E17)*(1-Recovery_OX!F17)</f>
        <v>0</v>
      </c>
      <c r="N17" s="476">
        <f>K17*(1-Recovery_OX!E17)*(1-Recovery_OX!F17)</f>
        <v>1.3378124226262047E-2</v>
      </c>
      <c r="O17" s="477">
        <f>L17*(1-Recovery_OX!E17)*(1-Recovery_OX!F17)</f>
        <v>0</v>
      </c>
    </row>
    <row r="18" spans="2:15">
      <c r="B18" s="470">
        <f t="shared" si="0"/>
        <v>1956</v>
      </c>
      <c r="C18" s="471">
        <f>Stored_C!E24</f>
        <v>0</v>
      </c>
      <c r="D18" s="472">
        <f>Stored_C!F24+Stored_C!L24</f>
        <v>2.2487313024000002E-2</v>
      </c>
      <c r="E18" s="473">
        <f>Stored_C!G24+Stored_C!M24</f>
        <v>1.8552033244800002E-2</v>
      </c>
      <c r="F18" s="474">
        <f>F17+HWP!C18</f>
        <v>0</v>
      </c>
      <c r="G18" s="472">
        <f>G17+HWP!D18</f>
        <v>0.10714417190400002</v>
      </c>
      <c r="H18" s="473">
        <f>H17+HWP!E18</f>
        <v>8.8393941820800015E-2</v>
      </c>
      <c r="I18" s="456"/>
      <c r="J18" s="475">
        <f>Garden!J25</f>
        <v>0</v>
      </c>
      <c r="K18" s="476">
        <f>Paper!J25</f>
        <v>1.7572368335402939E-2</v>
      </c>
      <c r="L18" s="477">
        <f>Wood!J25</f>
        <v>0</v>
      </c>
      <c r="M18" s="478">
        <f>J18*(1-Recovery_OX!E18)*(1-Recovery_OX!F18)</f>
        <v>0</v>
      </c>
      <c r="N18" s="476">
        <f>K18*(1-Recovery_OX!E18)*(1-Recovery_OX!F18)</f>
        <v>1.7572368335402939E-2</v>
      </c>
      <c r="O18" s="477">
        <f>L18*(1-Recovery_OX!E18)*(1-Recovery_OX!F18)</f>
        <v>0</v>
      </c>
    </row>
    <row r="19" spans="2:15">
      <c r="B19" s="470">
        <f t="shared" si="0"/>
        <v>1957</v>
      </c>
      <c r="C19" s="471">
        <f>Stored_C!E25</f>
        <v>0</v>
      </c>
      <c r="D19" s="472">
        <f>Stored_C!F25+Stored_C!L25</f>
        <v>2.2723252992000006E-2</v>
      </c>
      <c r="E19" s="473">
        <f>Stored_C!G25+Stored_C!M25</f>
        <v>1.8746683718400003E-2</v>
      </c>
      <c r="F19" s="474">
        <f>F18+HWP!C19</f>
        <v>0</v>
      </c>
      <c r="G19" s="472">
        <f>G18+HWP!D19</f>
        <v>0.12986742489600003</v>
      </c>
      <c r="H19" s="473">
        <f>H18+HWP!E19</f>
        <v>0.10714062553920002</v>
      </c>
      <c r="I19" s="456"/>
      <c r="J19" s="475">
        <f>Garden!J26</f>
        <v>0</v>
      </c>
      <c r="K19" s="476">
        <f>Paper!J26</f>
        <v>2.1538759877908015E-2</v>
      </c>
      <c r="L19" s="477">
        <f>Wood!J26</f>
        <v>0</v>
      </c>
      <c r="M19" s="478">
        <f>J19*(1-Recovery_OX!E19)*(1-Recovery_OX!F19)</f>
        <v>0</v>
      </c>
      <c r="N19" s="476">
        <f>K19*(1-Recovery_OX!E19)*(1-Recovery_OX!F19)</f>
        <v>2.1538759877908015E-2</v>
      </c>
      <c r="O19" s="477">
        <f>L19*(1-Recovery_OX!E19)*(1-Recovery_OX!F19)</f>
        <v>0</v>
      </c>
    </row>
    <row r="20" spans="2:15">
      <c r="B20" s="470">
        <f t="shared" si="0"/>
        <v>1958</v>
      </c>
      <c r="C20" s="471">
        <f>Stored_C!E26</f>
        <v>0</v>
      </c>
      <c r="D20" s="472">
        <f>Stored_C!F26+Stored_C!L26</f>
        <v>2.2949929728000005E-2</v>
      </c>
      <c r="E20" s="473">
        <f>Stored_C!G26+Stored_C!M26</f>
        <v>1.8933692025600007E-2</v>
      </c>
      <c r="F20" s="474">
        <f>F19+HWP!C20</f>
        <v>0</v>
      </c>
      <c r="G20" s="472">
        <f>G19+HWP!D20</f>
        <v>0.15281735462400003</v>
      </c>
      <c r="H20" s="473">
        <f>H19+HWP!E20</f>
        <v>0.12607431756480003</v>
      </c>
      <c r="I20" s="456"/>
      <c r="J20" s="475">
        <f>Garden!J27</f>
        <v>0</v>
      </c>
      <c r="K20" s="476">
        <f>Paper!J27</f>
        <v>2.5291079428778448E-2</v>
      </c>
      <c r="L20" s="477">
        <f>Wood!J27</f>
        <v>0</v>
      </c>
      <c r="M20" s="478">
        <f>J20*(1-Recovery_OX!E20)*(1-Recovery_OX!F20)</f>
        <v>0</v>
      </c>
      <c r="N20" s="476">
        <f>K20*(1-Recovery_OX!E20)*(1-Recovery_OX!F20)</f>
        <v>2.5291079428778448E-2</v>
      </c>
      <c r="O20" s="477">
        <f>L20*(1-Recovery_OX!E20)*(1-Recovery_OX!F20)</f>
        <v>0</v>
      </c>
    </row>
    <row r="21" spans="2:15">
      <c r="B21" s="470">
        <f t="shared" si="0"/>
        <v>1959</v>
      </c>
      <c r="C21" s="471">
        <f>Stored_C!E27</f>
        <v>0</v>
      </c>
      <c r="D21" s="472">
        <f>Stored_C!F27+Stored_C!L27</f>
        <v>2.3163892224000004E-2</v>
      </c>
      <c r="E21" s="473">
        <f>Stored_C!G27+Stored_C!M27</f>
        <v>1.9110211084800002E-2</v>
      </c>
      <c r="F21" s="474">
        <f>F20+HWP!C21</f>
        <v>0</v>
      </c>
      <c r="G21" s="472">
        <f>G20+HWP!D21</f>
        <v>0.17598124684800004</v>
      </c>
      <c r="H21" s="473">
        <f>H20+HWP!E21</f>
        <v>0.14518452864960002</v>
      </c>
      <c r="I21" s="456"/>
      <c r="J21" s="475">
        <f>Garden!J28</f>
        <v>0</v>
      </c>
      <c r="K21" s="476">
        <f>Paper!J28</f>
        <v>2.8841676321240496E-2</v>
      </c>
      <c r="L21" s="477">
        <f>Wood!J28</f>
        <v>0</v>
      </c>
      <c r="M21" s="478">
        <f>J21*(1-Recovery_OX!E21)*(1-Recovery_OX!F21)</f>
        <v>0</v>
      </c>
      <c r="N21" s="476">
        <f>K21*(1-Recovery_OX!E21)*(1-Recovery_OX!F21)</f>
        <v>2.8841676321240496E-2</v>
      </c>
      <c r="O21" s="477">
        <f>L21*(1-Recovery_OX!E21)*(1-Recovery_OX!F21)</f>
        <v>0</v>
      </c>
    </row>
    <row r="22" spans="2:15">
      <c r="B22" s="470">
        <f t="shared" si="0"/>
        <v>1960</v>
      </c>
      <c r="C22" s="471">
        <f>Stored_C!E28</f>
        <v>0</v>
      </c>
      <c r="D22" s="472">
        <f>Stored_C!F28+Stored_C!L28</f>
        <v>2.5959208704000005E-2</v>
      </c>
      <c r="E22" s="473">
        <f>Stored_C!G28+Stored_C!M28</f>
        <v>2.1416347180800002E-2</v>
      </c>
      <c r="F22" s="474">
        <f>F21+HWP!C22</f>
        <v>0</v>
      </c>
      <c r="G22" s="472">
        <f>G21+HWP!D22</f>
        <v>0.20194045555200005</v>
      </c>
      <c r="H22" s="473">
        <f>H21+HWP!E22</f>
        <v>0.16660087583040001</v>
      </c>
      <c r="I22" s="456"/>
      <c r="J22" s="475">
        <f>Garden!J29</f>
        <v>0</v>
      </c>
      <c r="K22" s="476">
        <f>Paper!J29</f>
        <v>3.2201273980186573E-2</v>
      </c>
      <c r="L22" s="477">
        <f>Wood!J29</f>
        <v>0</v>
      </c>
      <c r="M22" s="478">
        <f>J22*(1-Recovery_OX!E22)*(1-Recovery_OX!F22)</f>
        <v>0</v>
      </c>
      <c r="N22" s="476">
        <f>K22*(1-Recovery_OX!E22)*(1-Recovery_OX!F22)</f>
        <v>3.2201273980186573E-2</v>
      </c>
      <c r="O22" s="477">
        <f>L22*(1-Recovery_OX!E22)*(1-Recovery_OX!F22)</f>
        <v>0</v>
      </c>
    </row>
    <row r="23" spans="2:15">
      <c r="B23" s="470">
        <f t="shared" si="0"/>
        <v>1961</v>
      </c>
      <c r="C23" s="471">
        <f>Stored_C!E29</f>
        <v>0</v>
      </c>
      <c r="D23" s="472">
        <f>Stored_C!F29+Stored_C!L29</f>
        <v>2.4103887360000006E-2</v>
      </c>
      <c r="E23" s="473">
        <f>Stored_C!G29+Stored_C!M29</f>
        <v>1.9885707072000006E-2</v>
      </c>
      <c r="F23" s="474">
        <f>F22+HWP!C23</f>
        <v>0</v>
      </c>
      <c r="G23" s="472">
        <f>G22+HWP!D23</f>
        <v>0.22604434291200004</v>
      </c>
      <c r="H23" s="473">
        <f>H22+HWP!E23</f>
        <v>0.1864865829024</v>
      </c>
      <c r="I23" s="456"/>
      <c r="J23" s="475">
        <f>Garden!J30</f>
        <v>0</v>
      </c>
      <c r="K23" s="476">
        <f>Paper!J30</f>
        <v>3.5974465915792807E-2</v>
      </c>
      <c r="L23" s="477">
        <f>Wood!J30</f>
        <v>0</v>
      </c>
      <c r="M23" s="478">
        <f>J23*(1-Recovery_OX!E23)*(1-Recovery_OX!F23)</f>
        <v>0</v>
      </c>
      <c r="N23" s="476">
        <f>K23*(1-Recovery_OX!E23)*(1-Recovery_OX!F23)</f>
        <v>3.5974465915792807E-2</v>
      </c>
      <c r="O23" s="477">
        <f>L23*(1-Recovery_OX!E23)*(1-Recovery_OX!F23)</f>
        <v>0</v>
      </c>
    </row>
    <row r="24" spans="2:15">
      <c r="B24" s="470">
        <f t="shared" si="0"/>
        <v>1962</v>
      </c>
      <c r="C24" s="471">
        <f>Stored_C!E30</f>
        <v>0</v>
      </c>
      <c r="D24" s="472">
        <f>Stored_C!F30+Stored_C!L30</f>
        <v>2.4443374080000007E-2</v>
      </c>
      <c r="E24" s="473">
        <f>Stored_C!G30+Stored_C!M30</f>
        <v>2.0165783616000008E-2</v>
      </c>
      <c r="F24" s="474">
        <f>F23+HWP!C24</f>
        <v>0</v>
      </c>
      <c r="G24" s="472">
        <f>G23+HWP!D24</f>
        <v>0.25048771699200006</v>
      </c>
      <c r="H24" s="473">
        <f>H23+HWP!E24</f>
        <v>0.20665236651840002</v>
      </c>
      <c r="I24" s="456"/>
      <c r="J24" s="475">
        <f>Garden!J31</f>
        <v>0</v>
      </c>
      <c r="K24" s="476">
        <f>Paper!J31</f>
        <v>3.9067302346350509E-2</v>
      </c>
      <c r="L24" s="477">
        <f>Wood!J31</f>
        <v>0</v>
      </c>
      <c r="M24" s="478">
        <f>J24*(1-Recovery_OX!E24)*(1-Recovery_OX!F24)</f>
        <v>0</v>
      </c>
      <c r="N24" s="476">
        <f>K24*(1-Recovery_OX!E24)*(1-Recovery_OX!F24)</f>
        <v>3.9067302346350509E-2</v>
      </c>
      <c r="O24" s="477">
        <f>L24*(1-Recovery_OX!E24)*(1-Recovery_OX!F24)</f>
        <v>0</v>
      </c>
    </row>
    <row r="25" spans="2:15">
      <c r="B25" s="470">
        <f t="shared" si="0"/>
        <v>1963</v>
      </c>
      <c r="C25" s="471">
        <f>Stored_C!E31</f>
        <v>0</v>
      </c>
      <c r="D25" s="472">
        <f>Stored_C!F31+Stored_C!L31</f>
        <v>2.4801849600000005E-2</v>
      </c>
      <c r="E25" s="473">
        <f>Stored_C!G31+Stored_C!M31</f>
        <v>2.0461525920000001E-2</v>
      </c>
      <c r="F25" s="474">
        <f>F24+HWP!C25</f>
        <v>0</v>
      </c>
      <c r="G25" s="472">
        <f>G24+HWP!D25</f>
        <v>0.27528956659200005</v>
      </c>
      <c r="H25" s="473">
        <f>H24+HWP!E25</f>
        <v>0.22711389243840002</v>
      </c>
      <c r="I25" s="456"/>
      <c r="J25" s="475">
        <f>Garden!J32</f>
        <v>0</v>
      </c>
      <c r="K25" s="476">
        <f>Paper!J32</f>
        <v>4.2028858806895622E-2</v>
      </c>
      <c r="L25" s="477">
        <f>Wood!J32</f>
        <v>0</v>
      </c>
      <c r="M25" s="478">
        <f>J25*(1-Recovery_OX!E25)*(1-Recovery_OX!F25)</f>
        <v>0</v>
      </c>
      <c r="N25" s="476">
        <f>K25*(1-Recovery_OX!E25)*(1-Recovery_OX!F25)</f>
        <v>4.2028858806895622E-2</v>
      </c>
      <c r="O25" s="477">
        <f>L25*(1-Recovery_OX!E25)*(1-Recovery_OX!F25)</f>
        <v>0</v>
      </c>
    </row>
    <row r="26" spans="2:15">
      <c r="B26" s="470">
        <f t="shared" si="0"/>
        <v>1964</v>
      </c>
      <c r="C26" s="471">
        <f>Stored_C!E32</f>
        <v>0</v>
      </c>
      <c r="D26" s="472">
        <f>Stored_C!F32+Stored_C!L32</f>
        <v>2.5117889280000007E-2</v>
      </c>
      <c r="E26" s="473">
        <f>Stored_C!G32+Stored_C!M32</f>
        <v>2.0722258656000008E-2</v>
      </c>
      <c r="F26" s="474">
        <f>F25+HWP!C26</f>
        <v>0</v>
      </c>
      <c r="G26" s="472">
        <f>G25+HWP!D26</f>
        <v>0.30040745587200007</v>
      </c>
      <c r="H26" s="473">
        <f>H25+HWP!E26</f>
        <v>0.24783615109440002</v>
      </c>
      <c r="I26" s="456"/>
      <c r="J26" s="475">
        <f>Garden!J33</f>
        <v>0</v>
      </c>
      <c r="K26" s="476">
        <f>Paper!J33</f>
        <v>4.487236312109126E-2</v>
      </c>
      <c r="L26" s="477">
        <f>Wood!J33</f>
        <v>0</v>
      </c>
      <c r="M26" s="478">
        <f>J26*(1-Recovery_OX!E26)*(1-Recovery_OX!F26)</f>
        <v>0</v>
      </c>
      <c r="N26" s="476">
        <f>K26*(1-Recovery_OX!E26)*(1-Recovery_OX!F26)</f>
        <v>4.487236312109126E-2</v>
      </c>
      <c r="O26" s="477">
        <f>L26*(1-Recovery_OX!E26)*(1-Recovery_OX!F26)</f>
        <v>0</v>
      </c>
    </row>
    <row r="27" spans="2:15">
      <c r="B27" s="470">
        <f t="shared" si="0"/>
        <v>1965</v>
      </c>
      <c r="C27" s="471">
        <f>Stored_C!E33</f>
        <v>0</v>
      </c>
      <c r="D27" s="472">
        <f>Stored_C!F33+Stored_C!L33</f>
        <v>2.5467283200000003E-2</v>
      </c>
      <c r="E27" s="473">
        <f>Stored_C!G33+Stored_C!M33</f>
        <v>2.1010508640000005E-2</v>
      </c>
      <c r="F27" s="474">
        <f>F26+HWP!C27</f>
        <v>0</v>
      </c>
      <c r="G27" s="472">
        <f>G26+HWP!D27</f>
        <v>0.3258747390720001</v>
      </c>
      <c r="H27" s="473">
        <f>H26+HWP!E27</f>
        <v>0.26884665973440003</v>
      </c>
      <c r="I27" s="456"/>
      <c r="J27" s="475">
        <f>Garden!J34</f>
        <v>0</v>
      </c>
      <c r="K27" s="476">
        <f>Paper!J34</f>
        <v>4.7596069482764895E-2</v>
      </c>
      <c r="L27" s="477">
        <f>Wood!J34</f>
        <v>0</v>
      </c>
      <c r="M27" s="478">
        <f>J27*(1-Recovery_OX!E27)*(1-Recovery_OX!F27)</f>
        <v>0</v>
      </c>
      <c r="N27" s="476">
        <f>K27*(1-Recovery_OX!E27)*(1-Recovery_OX!F27)</f>
        <v>4.7596069482764895E-2</v>
      </c>
      <c r="O27" s="477">
        <f>L27*(1-Recovery_OX!E27)*(1-Recovery_OX!F27)</f>
        <v>0</v>
      </c>
    </row>
    <row r="28" spans="2:15">
      <c r="B28" s="470">
        <f t="shared" si="0"/>
        <v>1966</v>
      </c>
      <c r="C28" s="471">
        <f>Stored_C!E34</f>
        <v>0</v>
      </c>
      <c r="D28" s="472">
        <f>Stored_C!F34+Stored_C!L34</f>
        <v>2.5758885120000009E-2</v>
      </c>
      <c r="E28" s="473">
        <f>Stored_C!G34+Stored_C!M34</f>
        <v>2.1251080224000005E-2</v>
      </c>
      <c r="F28" s="474">
        <f>F27+HWP!C28</f>
        <v>0</v>
      </c>
      <c r="G28" s="472">
        <f>G27+HWP!D28</f>
        <v>0.35163362419200012</v>
      </c>
      <c r="H28" s="473">
        <f>H27+HWP!E28</f>
        <v>0.29009773995840005</v>
      </c>
      <c r="I28" s="456"/>
      <c r="J28" s="475">
        <f>Garden!J35</f>
        <v>0</v>
      </c>
      <c r="K28" s="476">
        <f>Paper!J35</f>
        <v>5.0215722210793762E-2</v>
      </c>
      <c r="L28" s="477">
        <f>Wood!J35</f>
        <v>0</v>
      </c>
      <c r="M28" s="478">
        <f>J28*(1-Recovery_OX!E28)*(1-Recovery_OX!F28)</f>
        <v>0</v>
      </c>
      <c r="N28" s="476">
        <f>K28*(1-Recovery_OX!E28)*(1-Recovery_OX!F28)</f>
        <v>5.0215722210793762E-2</v>
      </c>
      <c r="O28" s="477">
        <f>L28*(1-Recovery_OX!E28)*(1-Recovery_OX!F28)</f>
        <v>0</v>
      </c>
    </row>
    <row r="29" spans="2:15">
      <c r="B29" s="470">
        <f t="shared" si="0"/>
        <v>1967</v>
      </c>
      <c r="C29" s="471">
        <f>Stored_C!E35</f>
        <v>0</v>
      </c>
      <c r="D29" s="472">
        <f>Stored_C!F35+Stored_C!L35</f>
        <v>2.6515339006464009E-2</v>
      </c>
      <c r="E29" s="473">
        <f>Stored_C!G35+Stored_C!M35</f>
        <v>2.1875154680332808E-2</v>
      </c>
      <c r="F29" s="474">
        <f>F28+HWP!C29</f>
        <v>0</v>
      </c>
      <c r="G29" s="472">
        <f>G28+HWP!D29</f>
        <v>0.37814896319846414</v>
      </c>
      <c r="H29" s="473">
        <f>H28+HWP!E29</f>
        <v>0.31197289463873284</v>
      </c>
      <c r="I29" s="456"/>
      <c r="J29" s="475">
        <f>Garden!J36</f>
        <v>0</v>
      </c>
      <c r="K29" s="476">
        <f>Paper!J36</f>
        <v>5.272510927623264E-2</v>
      </c>
      <c r="L29" s="477">
        <f>Wood!J36</f>
        <v>0</v>
      </c>
      <c r="M29" s="478">
        <f>J29*(1-Recovery_OX!E29)*(1-Recovery_OX!F29)</f>
        <v>0</v>
      </c>
      <c r="N29" s="476">
        <f>K29*(1-Recovery_OX!E29)*(1-Recovery_OX!F29)</f>
        <v>5.272510927623264E-2</v>
      </c>
      <c r="O29" s="477">
        <f>L29*(1-Recovery_OX!E29)*(1-Recovery_OX!F29)</f>
        <v>0</v>
      </c>
    </row>
    <row r="30" spans="2:15">
      <c r="B30" s="470">
        <f t="shared" si="0"/>
        <v>1968</v>
      </c>
      <c r="C30" s="471">
        <f>Stored_C!E36</f>
        <v>0</v>
      </c>
      <c r="D30" s="472">
        <f>Stored_C!F36+Stored_C!L36</f>
        <v>2.6821589893017035E-2</v>
      </c>
      <c r="E30" s="473">
        <f>Stored_C!G36+Stored_C!M36</f>
        <v>2.212781166173905E-2</v>
      </c>
      <c r="F30" s="474">
        <f>F29+HWP!C30</f>
        <v>0</v>
      </c>
      <c r="G30" s="472">
        <f>G29+HWP!D30</f>
        <v>0.40497055309148117</v>
      </c>
      <c r="H30" s="473">
        <f>H29+HWP!E30</f>
        <v>0.33410070630047189</v>
      </c>
      <c r="I30" s="456"/>
      <c r="J30" s="475">
        <f>Garden!J37</f>
        <v>0</v>
      </c>
      <c r="K30" s="476">
        <f>Paper!J37</f>
        <v>5.5150491348642111E-2</v>
      </c>
      <c r="L30" s="477">
        <f>Wood!J37</f>
        <v>0</v>
      </c>
      <c r="M30" s="478">
        <f>J30*(1-Recovery_OX!E30)*(1-Recovery_OX!F30)</f>
        <v>0</v>
      </c>
      <c r="N30" s="476">
        <f>K30*(1-Recovery_OX!E30)*(1-Recovery_OX!F30)</f>
        <v>5.5150491348642111E-2</v>
      </c>
      <c r="O30" s="477">
        <f>L30*(1-Recovery_OX!E30)*(1-Recovery_OX!F30)</f>
        <v>0</v>
      </c>
    </row>
    <row r="31" spans="2:15">
      <c r="B31" s="470">
        <f t="shared" si="0"/>
        <v>1969</v>
      </c>
      <c r="C31" s="471">
        <f>Stored_C!E37</f>
        <v>0</v>
      </c>
      <c r="D31" s="472">
        <f>Stored_C!F37+Stored_C!L37</f>
        <v>2.7119629003380226E-2</v>
      </c>
      <c r="E31" s="473">
        <f>Stored_C!G37+Stored_C!M37</f>
        <v>2.2373693927788683E-2</v>
      </c>
      <c r="F31" s="474">
        <f>F30+HWP!C31</f>
        <v>0</v>
      </c>
      <c r="G31" s="472">
        <f>G30+HWP!D31</f>
        <v>0.43209018209486139</v>
      </c>
      <c r="H31" s="473">
        <f>H30+HWP!E31</f>
        <v>0.3564744002282606</v>
      </c>
      <c r="I31" s="456"/>
      <c r="J31" s="475">
        <f>Garden!J38</f>
        <v>0</v>
      </c>
      <c r="K31" s="476">
        <f>Paper!J38</f>
        <v>5.7393609673825681E-2</v>
      </c>
      <c r="L31" s="477">
        <f>Wood!J38</f>
        <v>0</v>
      </c>
      <c r="M31" s="478">
        <f>J31*(1-Recovery_OX!E31)*(1-Recovery_OX!F31)</f>
        <v>0</v>
      </c>
      <c r="N31" s="476">
        <f>K31*(1-Recovery_OX!E31)*(1-Recovery_OX!F31)</f>
        <v>5.7393609673825681E-2</v>
      </c>
      <c r="O31" s="477">
        <f>L31*(1-Recovery_OX!E31)*(1-Recovery_OX!F31)</f>
        <v>0</v>
      </c>
    </row>
    <row r="32" spans="2:15">
      <c r="B32" s="470">
        <f t="shared" si="0"/>
        <v>1970</v>
      </c>
      <c r="C32" s="471">
        <f>Stored_C!E38</f>
        <v>0</v>
      </c>
      <c r="D32" s="472">
        <f>Stored_C!F38+Stored_C!L38</f>
        <v>2.740958472215866E-2</v>
      </c>
      <c r="E32" s="473">
        <f>Stored_C!G38+Stored_C!M38</f>
        <v>2.2612907395780896E-2</v>
      </c>
      <c r="F32" s="474">
        <f>F31+HWP!C32</f>
        <v>0</v>
      </c>
      <c r="G32" s="472">
        <f>G31+HWP!D32</f>
        <v>0.45949976681702004</v>
      </c>
      <c r="H32" s="473">
        <f>H31+HWP!E32</f>
        <v>0.37908730762404153</v>
      </c>
      <c r="I32" s="456"/>
      <c r="J32" s="475">
        <f>Garden!J39</f>
        <v>0</v>
      </c>
      <c r="K32" s="476">
        <f>Paper!J39</f>
        <v>5.9464264217682798E-2</v>
      </c>
      <c r="L32" s="477">
        <f>Wood!J39</f>
        <v>0</v>
      </c>
      <c r="M32" s="478">
        <f>J32*(1-Recovery_OX!E32)*(1-Recovery_OX!F32)</f>
        <v>0</v>
      </c>
      <c r="N32" s="476">
        <f>K32*(1-Recovery_OX!E32)*(1-Recovery_OX!F32)</f>
        <v>5.9464264217682798E-2</v>
      </c>
      <c r="O32" s="477">
        <f>L32*(1-Recovery_OX!E32)*(1-Recovery_OX!F32)</f>
        <v>0</v>
      </c>
    </row>
    <row r="33" spans="2:15">
      <c r="B33" s="470">
        <f t="shared" si="0"/>
        <v>1971</v>
      </c>
      <c r="C33" s="471">
        <f>Stored_C!E39</f>
        <v>0</v>
      </c>
      <c r="D33" s="472">
        <f>Stored_C!F39+Stored_C!L39</f>
        <v>2.7691583735762755E-2</v>
      </c>
      <c r="E33" s="473">
        <f>Stored_C!G39+Stored_C!M39</f>
        <v>2.2845556582004271E-2</v>
      </c>
      <c r="F33" s="474">
        <f>F32+HWP!C33</f>
        <v>0</v>
      </c>
      <c r="G33" s="472">
        <f>G32+HWP!D33</f>
        <v>0.48719135055278279</v>
      </c>
      <c r="H33" s="473">
        <f>H32+HWP!E33</f>
        <v>0.40193286420604579</v>
      </c>
      <c r="I33" s="456"/>
      <c r="J33" s="475">
        <f>Garden!J40</f>
        <v>0</v>
      </c>
      <c r="K33" s="476">
        <f>Paper!J40</f>
        <v>6.1371722825936129E-2</v>
      </c>
      <c r="L33" s="477">
        <f>Wood!J40</f>
        <v>0</v>
      </c>
      <c r="M33" s="478">
        <f>J33*(1-Recovery_OX!E33)*(1-Recovery_OX!F33)</f>
        <v>0</v>
      </c>
      <c r="N33" s="476">
        <f>K33*(1-Recovery_OX!E33)*(1-Recovery_OX!F33)</f>
        <v>6.1371722825936129E-2</v>
      </c>
      <c r="O33" s="477">
        <f>L33*(1-Recovery_OX!E33)*(1-Recovery_OX!F33)</f>
        <v>0</v>
      </c>
    </row>
    <row r="34" spans="2:15">
      <c r="B34" s="470">
        <f t="shared" si="0"/>
        <v>1972</v>
      </c>
      <c r="C34" s="471">
        <f>Stored_C!E40</f>
        <v>0</v>
      </c>
      <c r="D34" s="472">
        <f>Stored_C!F40+Stored_C!L40</f>
        <v>2.7965751053087198E-2</v>
      </c>
      <c r="E34" s="473">
        <f>Stored_C!G40+Stored_C!M40</f>
        <v>2.3071744618796935E-2</v>
      </c>
      <c r="F34" s="474">
        <f>F33+HWP!C34</f>
        <v>0</v>
      </c>
      <c r="G34" s="472">
        <f>G33+HWP!D34</f>
        <v>0.51515710160587003</v>
      </c>
      <c r="H34" s="473">
        <f>H33+HWP!E34</f>
        <v>0.4250046088248427</v>
      </c>
      <c r="I34" s="456"/>
      <c r="J34" s="475">
        <f>Garden!J41</f>
        <v>0</v>
      </c>
      <c r="K34" s="476">
        <f>Paper!J41</f>
        <v>6.31247524195125E-2</v>
      </c>
      <c r="L34" s="477">
        <f>Wood!J41</f>
        <v>0</v>
      </c>
      <c r="M34" s="478">
        <f>J34*(1-Recovery_OX!E34)*(1-Recovery_OX!F34)</f>
        <v>0</v>
      </c>
      <c r="N34" s="476">
        <f>K34*(1-Recovery_OX!E34)*(1-Recovery_OX!F34)</f>
        <v>6.31247524195125E-2</v>
      </c>
      <c r="O34" s="477">
        <f>L34*(1-Recovery_OX!E34)*(1-Recovery_OX!F34)</f>
        <v>0</v>
      </c>
    </row>
    <row r="35" spans="2:15">
      <c r="B35" s="470">
        <f t="shared" si="0"/>
        <v>1973</v>
      </c>
      <c r="C35" s="471">
        <f>Stored_C!E41</f>
        <v>0</v>
      </c>
      <c r="D35" s="472">
        <f>Stored_C!F41+Stored_C!L41</f>
        <v>2.8232210025950312E-2</v>
      </c>
      <c r="E35" s="473">
        <f>Stored_C!G41+Stored_C!M41</f>
        <v>2.3291573271409009E-2</v>
      </c>
      <c r="F35" s="474">
        <f>F34+HWP!C35</f>
        <v>0</v>
      </c>
      <c r="G35" s="472">
        <f>G34+HWP!D35</f>
        <v>0.54338931163182036</v>
      </c>
      <c r="H35" s="473">
        <f>H34+HWP!E35</f>
        <v>0.44829618209625172</v>
      </c>
      <c r="I35" s="456"/>
      <c r="J35" s="475">
        <f>Garden!J42</f>
        <v>0</v>
      </c>
      <c r="K35" s="476">
        <f>Paper!J42</f>
        <v>6.4731648234540765E-2</v>
      </c>
      <c r="L35" s="477">
        <f>Wood!J42</f>
        <v>0</v>
      </c>
      <c r="M35" s="478">
        <f>J35*(1-Recovery_OX!E35)*(1-Recovery_OX!F35)</f>
        <v>0</v>
      </c>
      <c r="N35" s="476">
        <f>K35*(1-Recovery_OX!E35)*(1-Recovery_OX!F35)</f>
        <v>6.4731648234540765E-2</v>
      </c>
      <c r="O35" s="477">
        <f>L35*(1-Recovery_OX!E35)*(1-Recovery_OX!F35)</f>
        <v>0</v>
      </c>
    </row>
    <row r="36" spans="2:15">
      <c r="B36" s="470">
        <f t="shared" si="0"/>
        <v>1974</v>
      </c>
      <c r="C36" s="471">
        <f>Stored_C!E42</f>
        <v>0</v>
      </c>
      <c r="D36" s="472">
        <f>Stored_C!F42+Stored_C!L42</f>
        <v>2.8491082369296501E-2</v>
      </c>
      <c r="E36" s="473">
        <f>Stored_C!G42+Stored_C!M42</f>
        <v>2.3505142954669614E-2</v>
      </c>
      <c r="F36" s="474">
        <f>F35+HWP!C36</f>
        <v>0</v>
      </c>
      <c r="G36" s="472">
        <f>G35+HWP!D36</f>
        <v>0.5718803940011169</v>
      </c>
      <c r="H36" s="473">
        <f>H35+HWP!E36</f>
        <v>0.47180132505092132</v>
      </c>
      <c r="I36" s="456"/>
      <c r="J36" s="475">
        <f>Garden!J43</f>
        <v>0</v>
      </c>
      <c r="K36" s="476">
        <f>Paper!J43</f>
        <v>6.6200261234557439E-2</v>
      </c>
      <c r="L36" s="477">
        <f>Wood!J43</f>
        <v>0</v>
      </c>
      <c r="M36" s="478">
        <f>J36*(1-Recovery_OX!E36)*(1-Recovery_OX!F36)</f>
        <v>0</v>
      </c>
      <c r="N36" s="476">
        <f>K36*(1-Recovery_OX!E36)*(1-Recovery_OX!F36)</f>
        <v>6.6200261234557439E-2</v>
      </c>
      <c r="O36" s="477">
        <f>L36*(1-Recovery_OX!E36)*(1-Recovery_OX!F36)</f>
        <v>0</v>
      </c>
    </row>
    <row r="37" spans="2:15">
      <c r="B37" s="470">
        <f t="shared" si="0"/>
        <v>1975</v>
      </c>
      <c r="C37" s="471">
        <f>Stored_C!E43</f>
        <v>0</v>
      </c>
      <c r="D37" s="472">
        <f>Stored_C!F43+Stored_C!L43</f>
        <v>2.8742488181164268E-2</v>
      </c>
      <c r="E37" s="473">
        <f>Stored_C!G43+Stored_C!M43</f>
        <v>2.3712552749460519E-2</v>
      </c>
      <c r="F37" s="474">
        <f>F36+HWP!C37</f>
        <v>0</v>
      </c>
      <c r="G37" s="472">
        <f>G36+HWP!D37</f>
        <v>0.60062288218228121</v>
      </c>
      <c r="H37" s="473">
        <f>H36+HWP!E37</f>
        <v>0.49551387780038181</v>
      </c>
      <c r="I37" s="456"/>
      <c r="J37" s="475">
        <f>Garden!J44</f>
        <v>0</v>
      </c>
      <c r="K37" s="476">
        <f>Paper!J44</f>
        <v>6.7538023814017245E-2</v>
      </c>
      <c r="L37" s="477">
        <f>Wood!J44</f>
        <v>0</v>
      </c>
      <c r="M37" s="478">
        <f>J37*(1-Recovery_OX!E37)*(1-Recovery_OX!F37)</f>
        <v>0</v>
      </c>
      <c r="N37" s="476">
        <f>K37*(1-Recovery_OX!E37)*(1-Recovery_OX!F37)</f>
        <v>6.7538023814017245E-2</v>
      </c>
      <c r="O37" s="477">
        <f>L37*(1-Recovery_OX!E37)*(1-Recovery_OX!F37)</f>
        <v>0</v>
      </c>
    </row>
    <row r="38" spans="2:15">
      <c r="B38" s="470">
        <f t="shared" si="0"/>
        <v>1976</v>
      </c>
      <c r="C38" s="471">
        <f>Stored_C!E44</f>
        <v>0</v>
      </c>
      <c r="D38" s="472">
        <f>Stored_C!F44+Stored_C!L44</f>
        <v>2.8986545962422713E-2</v>
      </c>
      <c r="E38" s="473">
        <f>Stored_C!G44+Stored_C!M44</f>
        <v>2.391390041899874E-2</v>
      </c>
      <c r="F38" s="474">
        <f>F37+HWP!C38</f>
        <v>0</v>
      </c>
      <c r="G38" s="472">
        <f>G37+HWP!D38</f>
        <v>0.62960942814470389</v>
      </c>
      <c r="H38" s="473">
        <f>H37+HWP!E38</f>
        <v>0.51942777821938058</v>
      </c>
      <c r="I38" s="456"/>
      <c r="J38" s="475">
        <f>Garden!J45</f>
        <v>0</v>
      </c>
      <c r="K38" s="476">
        <f>Paper!J45</f>
        <v>6.8751973904282851E-2</v>
      </c>
      <c r="L38" s="477">
        <f>Wood!J45</f>
        <v>0</v>
      </c>
      <c r="M38" s="478">
        <f>J38*(1-Recovery_OX!E38)*(1-Recovery_OX!F38)</f>
        <v>0</v>
      </c>
      <c r="N38" s="476">
        <f>K38*(1-Recovery_OX!E38)*(1-Recovery_OX!F38)</f>
        <v>6.8751973904282851E-2</v>
      </c>
      <c r="O38" s="477">
        <f>L38*(1-Recovery_OX!E38)*(1-Recovery_OX!F38)</f>
        <v>0</v>
      </c>
    </row>
    <row r="39" spans="2:15">
      <c r="B39" s="470">
        <f t="shared" si="0"/>
        <v>1977</v>
      </c>
      <c r="C39" s="471">
        <f>Stored_C!E45</f>
        <v>0</v>
      </c>
      <c r="D39" s="472">
        <f>Stored_C!F45+Stored_C!L45</f>
        <v>2.9223372636278905E-2</v>
      </c>
      <c r="E39" s="473">
        <f>Stored_C!G45+Stored_C!M45</f>
        <v>2.4109282424930097E-2</v>
      </c>
      <c r="F39" s="474">
        <f>F38+HWP!C39</f>
        <v>0</v>
      </c>
      <c r="G39" s="472">
        <f>G38+HWP!D39</f>
        <v>0.65883280078098283</v>
      </c>
      <c r="H39" s="473">
        <f>H38+HWP!E39</f>
        <v>0.54353706064431062</v>
      </c>
      <c r="I39" s="456"/>
      <c r="J39" s="475">
        <f>Garden!J46</f>
        <v>0</v>
      </c>
      <c r="K39" s="476">
        <f>Paper!J46</f>
        <v>6.9848777585876182E-2</v>
      </c>
      <c r="L39" s="477">
        <f>Wood!J46</f>
        <v>0</v>
      </c>
      <c r="M39" s="478">
        <f>J39*(1-Recovery_OX!E39)*(1-Recovery_OX!F39)</f>
        <v>0</v>
      </c>
      <c r="N39" s="476">
        <f>K39*(1-Recovery_OX!E39)*(1-Recovery_OX!F39)</f>
        <v>6.9848777585876182E-2</v>
      </c>
      <c r="O39" s="477">
        <f>L39*(1-Recovery_OX!E39)*(1-Recovery_OX!F39)</f>
        <v>0</v>
      </c>
    </row>
    <row r="40" spans="2:15">
      <c r="B40" s="470">
        <f t="shared" si="0"/>
        <v>1978</v>
      </c>
      <c r="C40" s="471">
        <f>Stored_C!E46</f>
        <v>0</v>
      </c>
      <c r="D40" s="472">
        <f>Stored_C!F46+Stored_C!L46</f>
        <v>2.945308356755871E-2</v>
      </c>
      <c r="E40" s="473">
        <f>Stored_C!G46+Stored_C!M46</f>
        <v>2.4298793943235933E-2</v>
      </c>
      <c r="F40" s="474">
        <f>F39+HWP!C40</f>
        <v>0</v>
      </c>
      <c r="G40" s="472">
        <f>G39+HWP!D40</f>
        <v>0.68828588434854154</v>
      </c>
      <c r="H40" s="473">
        <f>H39+HWP!E40</f>
        <v>0.5678358545875466</v>
      </c>
      <c r="I40" s="456"/>
      <c r="J40" s="475">
        <f>Garden!J47</f>
        <v>0</v>
      </c>
      <c r="K40" s="476">
        <f>Paper!J47</f>
        <v>7.0834750303879743E-2</v>
      </c>
      <c r="L40" s="477">
        <f>Wood!J47</f>
        <v>0</v>
      </c>
      <c r="M40" s="478">
        <f>J40*(1-Recovery_OX!E40)*(1-Recovery_OX!F40)</f>
        <v>0</v>
      </c>
      <c r="N40" s="476">
        <f>K40*(1-Recovery_OX!E40)*(1-Recovery_OX!F40)</f>
        <v>7.0834750303879743E-2</v>
      </c>
      <c r="O40" s="477">
        <f>L40*(1-Recovery_OX!E40)*(1-Recovery_OX!F40)</f>
        <v>0</v>
      </c>
    </row>
    <row r="41" spans="2:15">
      <c r="B41" s="470">
        <f t="shared" si="0"/>
        <v>1979</v>
      </c>
      <c r="C41" s="471">
        <f>Stored_C!E47</f>
        <v>0</v>
      </c>
      <c r="D41" s="472">
        <f>Stored_C!F47+Stored_C!L47</f>
        <v>2.9675792581763779E-2</v>
      </c>
      <c r="E41" s="473">
        <f>Stored_C!G47+Stored_C!M47</f>
        <v>2.4482528879955119E-2</v>
      </c>
      <c r="F41" s="474">
        <f>F40+HWP!C41</f>
        <v>0</v>
      </c>
      <c r="G41" s="472">
        <f>G40+HWP!D41</f>
        <v>0.71796167693030533</v>
      </c>
      <c r="H41" s="473">
        <f>H40+HWP!E41</f>
        <v>0.59231838346750176</v>
      </c>
      <c r="I41" s="456"/>
      <c r="J41" s="475">
        <f>Garden!J48</f>
        <v>0</v>
      </c>
      <c r="K41" s="476">
        <f>Paper!J48</f>
        <v>7.1715876776943271E-2</v>
      </c>
      <c r="L41" s="477">
        <f>Wood!J48</f>
        <v>0</v>
      </c>
      <c r="M41" s="478">
        <f>J41*(1-Recovery_OX!E41)*(1-Recovery_OX!F41)</f>
        <v>0</v>
      </c>
      <c r="N41" s="476">
        <f>K41*(1-Recovery_OX!E41)*(1-Recovery_OX!F41)</f>
        <v>7.1715876776943271E-2</v>
      </c>
      <c r="O41" s="477">
        <f>L41*(1-Recovery_OX!E41)*(1-Recovery_OX!F41)</f>
        <v>0</v>
      </c>
    </row>
    <row r="42" spans="2:15">
      <c r="B42" s="470">
        <f t="shared" si="0"/>
        <v>1980</v>
      </c>
      <c r="C42" s="471">
        <f>Stored_C!E48</f>
        <v>0</v>
      </c>
      <c r="D42" s="472">
        <f>Stored_C!F48+Stored_C!L48</f>
        <v>2.9894732448000012E-2</v>
      </c>
      <c r="E42" s="473">
        <f>Stored_C!G48+Stored_C!M48</f>
        <v>2.4663154269600009E-2</v>
      </c>
      <c r="F42" s="474">
        <f>F41+HWP!C42</f>
        <v>0</v>
      </c>
      <c r="G42" s="472">
        <f>G41+HWP!D42</f>
        <v>0.74785640937830533</v>
      </c>
      <c r="H42" s="473">
        <f>H41+HWP!E42</f>
        <v>0.61698153773710174</v>
      </c>
      <c r="I42" s="456"/>
      <c r="J42" s="475">
        <f>Garden!J49</f>
        <v>0</v>
      </c>
      <c r="K42" s="476">
        <f>Paper!J49</f>
        <v>7.24978296843512E-2</v>
      </c>
      <c r="L42" s="477">
        <f>Wood!J49</f>
        <v>0</v>
      </c>
      <c r="M42" s="478">
        <f>J42*(1-Recovery_OX!E42)*(1-Recovery_OX!F42)</f>
        <v>0</v>
      </c>
      <c r="N42" s="476">
        <f>K42*(1-Recovery_OX!E42)*(1-Recovery_OX!F42)</f>
        <v>7.24978296843512E-2</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0.74785640937830533</v>
      </c>
      <c r="H43" s="473">
        <f>H42+HWP!E43</f>
        <v>0.61698153773710174</v>
      </c>
      <c r="I43" s="456"/>
      <c r="J43" s="475">
        <f>Garden!J50</f>
        <v>0</v>
      </c>
      <c r="K43" s="476">
        <f>Paper!J50</f>
        <v>7.3186226835537938E-2</v>
      </c>
      <c r="L43" s="477">
        <f>Wood!J50</f>
        <v>0</v>
      </c>
      <c r="M43" s="478">
        <f>J43*(1-Recovery_OX!E43)*(1-Recovery_OX!F43)</f>
        <v>0</v>
      </c>
      <c r="N43" s="476">
        <f>K43*(1-Recovery_OX!E43)*(1-Recovery_OX!F43)</f>
        <v>7.3186226835537938E-2</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0.74785640937830533</v>
      </c>
      <c r="H44" s="473">
        <f>H43+HWP!E44</f>
        <v>0.61698153773710174</v>
      </c>
      <c r="I44" s="456"/>
      <c r="J44" s="475">
        <f>Garden!J51</f>
        <v>0</v>
      </c>
      <c r="K44" s="476">
        <f>Paper!J51</f>
        <v>6.8238385603690443E-2</v>
      </c>
      <c r="L44" s="477">
        <f>Wood!J51</f>
        <v>0</v>
      </c>
      <c r="M44" s="478">
        <f>J44*(1-Recovery_OX!E44)*(1-Recovery_OX!F44)</f>
        <v>0</v>
      </c>
      <c r="N44" s="476">
        <f>K44*(1-Recovery_OX!E44)*(1-Recovery_OX!F44)</f>
        <v>6.8238385603690443E-2</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0.74785640937830533</v>
      </c>
      <c r="H45" s="473">
        <f>H44+HWP!E45</f>
        <v>0.61698153773710174</v>
      </c>
      <c r="I45" s="456"/>
      <c r="J45" s="475">
        <f>Garden!J52</f>
        <v>0</v>
      </c>
      <c r="K45" s="476">
        <f>Paper!J52</f>
        <v>6.3625049017240004E-2</v>
      </c>
      <c r="L45" s="477">
        <f>Wood!J52</f>
        <v>0</v>
      </c>
      <c r="M45" s="478">
        <f>J45*(1-Recovery_OX!E45)*(1-Recovery_OX!F45)</f>
        <v>0</v>
      </c>
      <c r="N45" s="476">
        <f>K45*(1-Recovery_OX!E45)*(1-Recovery_OX!F45)</f>
        <v>6.3625049017240004E-2</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0.74785640937830533</v>
      </c>
      <c r="H46" s="473">
        <f>H45+HWP!E46</f>
        <v>0.61698153773710174</v>
      </c>
      <c r="I46" s="456"/>
      <c r="J46" s="475">
        <f>Garden!J53</f>
        <v>0</v>
      </c>
      <c r="K46" s="476">
        <f>Paper!J53</f>
        <v>5.9323602494887606E-2</v>
      </c>
      <c r="L46" s="477">
        <f>Wood!J53</f>
        <v>0</v>
      </c>
      <c r="M46" s="478">
        <f>J46*(1-Recovery_OX!E46)*(1-Recovery_OX!F46)</f>
        <v>0</v>
      </c>
      <c r="N46" s="476">
        <f>K46*(1-Recovery_OX!E46)*(1-Recovery_OX!F46)</f>
        <v>5.9323602494887606E-2</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0.74785640937830533</v>
      </c>
      <c r="H47" s="473">
        <f>H46+HWP!E47</f>
        <v>0.61698153773710174</v>
      </c>
      <c r="I47" s="456"/>
      <c r="J47" s="475">
        <f>Garden!J54</f>
        <v>0</v>
      </c>
      <c r="K47" s="476">
        <f>Paper!J54</f>
        <v>5.53129603407903E-2</v>
      </c>
      <c r="L47" s="477">
        <f>Wood!J54</f>
        <v>0</v>
      </c>
      <c r="M47" s="478">
        <f>J47*(1-Recovery_OX!E47)*(1-Recovery_OX!F47)</f>
        <v>0</v>
      </c>
      <c r="N47" s="476">
        <f>K47*(1-Recovery_OX!E47)*(1-Recovery_OX!F47)</f>
        <v>5.53129603407903E-2</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0.74785640937830533</v>
      </c>
      <c r="H48" s="473">
        <f>H47+HWP!E48</f>
        <v>0.61698153773710174</v>
      </c>
      <c r="I48" s="456"/>
      <c r="J48" s="475">
        <f>Garden!J55</f>
        <v>0</v>
      </c>
      <c r="K48" s="476">
        <f>Paper!J55</f>
        <v>5.1573462382455693E-2</v>
      </c>
      <c r="L48" s="477">
        <f>Wood!J55</f>
        <v>0</v>
      </c>
      <c r="M48" s="478">
        <f>J48*(1-Recovery_OX!E48)*(1-Recovery_OX!F48)</f>
        <v>0</v>
      </c>
      <c r="N48" s="476">
        <f>K48*(1-Recovery_OX!E48)*(1-Recovery_OX!F48)</f>
        <v>5.1573462382455693E-2</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0.74785640937830533</v>
      </c>
      <c r="H49" s="473">
        <f>H48+HWP!E49</f>
        <v>0.61698153773710174</v>
      </c>
      <c r="I49" s="456"/>
      <c r="J49" s="475">
        <f>Garden!J56</f>
        <v>0</v>
      </c>
      <c r="K49" s="476">
        <f>Paper!J56</f>
        <v>4.8086777596553588E-2</v>
      </c>
      <c r="L49" s="477">
        <f>Wood!J56</f>
        <v>0</v>
      </c>
      <c r="M49" s="478">
        <f>J49*(1-Recovery_OX!E49)*(1-Recovery_OX!F49)</f>
        <v>0</v>
      </c>
      <c r="N49" s="476">
        <f>K49*(1-Recovery_OX!E49)*(1-Recovery_OX!F49)</f>
        <v>4.8086777596553588E-2</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0.74785640937830533</v>
      </c>
      <c r="H50" s="473">
        <f>H49+HWP!E50</f>
        <v>0.61698153773710174</v>
      </c>
      <c r="I50" s="456"/>
      <c r="J50" s="475">
        <f>Garden!J57</f>
        <v>0</v>
      </c>
      <c r="K50" s="476">
        <f>Paper!J57</f>
        <v>4.4835814250218375E-2</v>
      </c>
      <c r="L50" s="477">
        <f>Wood!J57</f>
        <v>0</v>
      </c>
      <c r="M50" s="478">
        <f>J50*(1-Recovery_OX!E50)*(1-Recovery_OX!F50)</f>
        <v>0</v>
      </c>
      <c r="N50" s="476">
        <f>K50*(1-Recovery_OX!E50)*(1-Recovery_OX!F50)</f>
        <v>4.4835814250218375E-2</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0.74785640937830533</v>
      </c>
      <c r="H51" s="473">
        <f>H50+HWP!E51</f>
        <v>0.61698153773710174</v>
      </c>
      <c r="I51" s="456"/>
      <c r="J51" s="475">
        <f>Garden!J58</f>
        <v>0</v>
      </c>
      <c r="K51" s="476">
        <f>Paper!J58</f>
        <v>4.180463611735466E-2</v>
      </c>
      <c r="L51" s="477">
        <f>Wood!J58</f>
        <v>0</v>
      </c>
      <c r="M51" s="478">
        <f>J51*(1-Recovery_OX!E51)*(1-Recovery_OX!F51)</f>
        <v>0</v>
      </c>
      <c r="N51" s="476">
        <f>K51*(1-Recovery_OX!E51)*(1-Recovery_OX!F51)</f>
        <v>4.180463611735466E-2</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0.74785640937830533</v>
      </c>
      <c r="H52" s="473">
        <f>H51+HWP!E52</f>
        <v>0.61698153773710174</v>
      </c>
      <c r="I52" s="456"/>
      <c r="J52" s="475">
        <f>Garden!J59</f>
        <v>0</v>
      </c>
      <c r="K52" s="476">
        <f>Paper!J59</f>
        <v>3.8978384359238484E-2</v>
      </c>
      <c r="L52" s="477">
        <f>Wood!J59</f>
        <v>0</v>
      </c>
      <c r="M52" s="478">
        <f>J52*(1-Recovery_OX!E52)*(1-Recovery_OX!F52)</f>
        <v>0</v>
      </c>
      <c r="N52" s="476">
        <f>K52*(1-Recovery_OX!E52)*(1-Recovery_OX!F52)</f>
        <v>3.8978384359238484E-2</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0.74785640937830533</v>
      </c>
      <c r="H53" s="473">
        <f>H52+HWP!E53</f>
        <v>0.61698153773710174</v>
      </c>
      <c r="I53" s="456"/>
      <c r="J53" s="475">
        <f>Garden!J60</f>
        <v>0</v>
      </c>
      <c r="K53" s="476">
        <f>Paper!J60</f>
        <v>3.6343204686472633E-2</v>
      </c>
      <c r="L53" s="477">
        <f>Wood!J60</f>
        <v>0</v>
      </c>
      <c r="M53" s="478">
        <f>J53*(1-Recovery_OX!E53)*(1-Recovery_OX!F53)</f>
        <v>0</v>
      </c>
      <c r="N53" s="476">
        <f>K53*(1-Recovery_OX!E53)*(1-Recovery_OX!F53)</f>
        <v>3.6343204686472633E-2</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0.74785640937830533</v>
      </c>
      <c r="H54" s="473">
        <f>H53+HWP!E54</f>
        <v>0.61698153773710174</v>
      </c>
      <c r="I54" s="456"/>
      <c r="J54" s="475">
        <f>Garden!J61</f>
        <v>0</v>
      </c>
      <c r="K54" s="476">
        <f>Paper!J61</f>
        <v>3.3886179445243976E-2</v>
      </c>
      <c r="L54" s="477">
        <f>Wood!J61</f>
        <v>0</v>
      </c>
      <c r="M54" s="478">
        <f>J54*(1-Recovery_OX!E54)*(1-Recovery_OX!F54)</f>
        <v>0</v>
      </c>
      <c r="N54" s="476">
        <f>K54*(1-Recovery_OX!E54)*(1-Recovery_OX!F54)</f>
        <v>3.3886179445243976E-2</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0.74785640937830533</v>
      </c>
      <c r="H55" s="473">
        <f>H54+HWP!E55</f>
        <v>0.61698153773710174</v>
      </c>
      <c r="I55" s="456"/>
      <c r="J55" s="475">
        <f>Garden!J62</f>
        <v>0</v>
      </c>
      <c r="K55" s="476">
        <f>Paper!J62</f>
        <v>3.1595264294969463E-2</v>
      </c>
      <c r="L55" s="477">
        <f>Wood!J62</f>
        <v>0</v>
      </c>
      <c r="M55" s="478">
        <f>J55*(1-Recovery_OX!E55)*(1-Recovery_OX!F55)</f>
        <v>0</v>
      </c>
      <c r="N55" s="476">
        <f>K55*(1-Recovery_OX!E55)*(1-Recovery_OX!F55)</f>
        <v>3.1595264294969463E-2</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0.74785640937830533</v>
      </c>
      <c r="H56" s="473">
        <f>H55+HWP!E56</f>
        <v>0.61698153773710174</v>
      </c>
      <c r="I56" s="456"/>
      <c r="J56" s="475">
        <f>Garden!J63</f>
        <v>0</v>
      </c>
      <c r="K56" s="476">
        <f>Paper!J63</f>
        <v>2.9459229166924592E-2</v>
      </c>
      <c r="L56" s="477">
        <f>Wood!J63</f>
        <v>0</v>
      </c>
      <c r="M56" s="478">
        <f>J56*(1-Recovery_OX!E56)*(1-Recovery_OX!F56)</f>
        <v>0</v>
      </c>
      <c r="N56" s="476">
        <f>K56*(1-Recovery_OX!E56)*(1-Recovery_OX!F56)</f>
        <v>2.9459229166924592E-2</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0.74785640937830533</v>
      </c>
      <c r="H57" s="473">
        <f>H56+HWP!E57</f>
        <v>0.61698153773710174</v>
      </c>
      <c r="I57" s="456"/>
      <c r="J57" s="475">
        <f>Garden!J64</f>
        <v>0</v>
      </c>
      <c r="K57" s="476">
        <f>Paper!J64</f>
        <v>2.7467603214433547E-2</v>
      </c>
      <c r="L57" s="477">
        <f>Wood!J64</f>
        <v>0</v>
      </c>
      <c r="M57" s="478">
        <f>J57*(1-Recovery_OX!E57)*(1-Recovery_OX!F57)</f>
        <v>0</v>
      </c>
      <c r="N57" s="476">
        <f>K57*(1-Recovery_OX!E57)*(1-Recovery_OX!F57)</f>
        <v>2.7467603214433547E-2</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0.74785640937830533</v>
      </c>
      <c r="H58" s="473">
        <f>H57+HWP!E58</f>
        <v>0.61698153773710174</v>
      </c>
      <c r="I58" s="456"/>
      <c r="J58" s="475">
        <f>Garden!J65</f>
        <v>0</v>
      </c>
      <c r="K58" s="476">
        <f>Paper!J65</f>
        <v>2.5610623484766597E-2</v>
      </c>
      <c r="L58" s="477">
        <f>Wood!J65</f>
        <v>0</v>
      </c>
      <c r="M58" s="478">
        <f>J58*(1-Recovery_OX!E58)*(1-Recovery_OX!F58)</f>
        <v>0</v>
      </c>
      <c r="N58" s="476">
        <f>K58*(1-Recovery_OX!E58)*(1-Recovery_OX!F58)</f>
        <v>2.5610623484766597E-2</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0.74785640937830533</v>
      </c>
      <c r="H59" s="473">
        <f>H58+HWP!E59</f>
        <v>0.61698153773710174</v>
      </c>
      <c r="I59" s="456"/>
      <c r="J59" s="475">
        <f>Garden!J66</f>
        <v>0</v>
      </c>
      <c r="K59" s="476">
        <f>Paper!J66</f>
        <v>2.3879187061134517E-2</v>
      </c>
      <c r="L59" s="477">
        <f>Wood!J66</f>
        <v>0</v>
      </c>
      <c r="M59" s="478">
        <f>J59*(1-Recovery_OX!E59)*(1-Recovery_OX!F59)</f>
        <v>0</v>
      </c>
      <c r="N59" s="476">
        <f>K59*(1-Recovery_OX!E59)*(1-Recovery_OX!F59)</f>
        <v>2.3879187061134517E-2</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0.74785640937830533</v>
      </c>
      <c r="H60" s="473">
        <f>H59+HWP!E60</f>
        <v>0.61698153773710174</v>
      </c>
      <c r="I60" s="456"/>
      <c r="J60" s="475">
        <f>Garden!J67</f>
        <v>0</v>
      </c>
      <c r="K60" s="476">
        <f>Paper!J67</f>
        <v>2.2264806440179908E-2</v>
      </c>
      <c r="L60" s="477">
        <f>Wood!J67</f>
        <v>0</v>
      </c>
      <c r="M60" s="478">
        <f>J60*(1-Recovery_OX!E60)*(1-Recovery_OX!F60)</f>
        <v>0</v>
      </c>
      <c r="N60" s="476">
        <f>K60*(1-Recovery_OX!E60)*(1-Recovery_OX!F60)</f>
        <v>2.2264806440179908E-2</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0.74785640937830533</v>
      </c>
      <c r="H61" s="473">
        <f>H60+HWP!E61</f>
        <v>0.61698153773710174</v>
      </c>
      <c r="I61" s="456"/>
      <c r="J61" s="475">
        <f>Garden!J68</f>
        <v>0</v>
      </c>
      <c r="K61" s="476">
        <f>Paper!J68</f>
        <v>2.0759567926225901E-2</v>
      </c>
      <c r="L61" s="477">
        <f>Wood!J68</f>
        <v>0</v>
      </c>
      <c r="M61" s="478">
        <f>J61*(1-Recovery_OX!E61)*(1-Recovery_OX!F61)</f>
        <v>0</v>
      </c>
      <c r="N61" s="476">
        <f>K61*(1-Recovery_OX!E61)*(1-Recovery_OX!F61)</f>
        <v>2.0759567926225901E-2</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0.74785640937830533</v>
      </c>
      <c r="H62" s="473">
        <f>H61+HWP!E62</f>
        <v>0.61698153773710174</v>
      </c>
      <c r="I62" s="456"/>
      <c r="J62" s="475">
        <f>Garden!J69</f>
        <v>0</v>
      </c>
      <c r="K62" s="476">
        <f>Paper!J69</f>
        <v>1.9356092838330771E-2</v>
      </c>
      <c r="L62" s="477">
        <f>Wood!J69</f>
        <v>0</v>
      </c>
      <c r="M62" s="478">
        <f>J62*(1-Recovery_OX!E62)*(1-Recovery_OX!F62)</f>
        <v>0</v>
      </c>
      <c r="N62" s="476">
        <f>K62*(1-Recovery_OX!E62)*(1-Recovery_OX!F62)</f>
        <v>1.9356092838330771E-2</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0.74785640937830533</v>
      </c>
      <c r="H63" s="473">
        <f>H62+HWP!E63</f>
        <v>0.61698153773710174</v>
      </c>
      <c r="I63" s="456"/>
      <c r="J63" s="475">
        <f>Garden!J70</f>
        <v>0</v>
      </c>
      <c r="K63" s="476">
        <f>Paper!J70</f>
        <v>1.8047501339985395E-2</v>
      </c>
      <c r="L63" s="477">
        <f>Wood!J70</f>
        <v>0</v>
      </c>
      <c r="M63" s="478">
        <f>J63*(1-Recovery_OX!E63)*(1-Recovery_OX!F63)</f>
        <v>0</v>
      </c>
      <c r="N63" s="476">
        <f>K63*(1-Recovery_OX!E63)*(1-Recovery_OX!F63)</f>
        <v>1.8047501339985395E-2</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0.74785640937830533</v>
      </c>
      <c r="H64" s="473">
        <f>H63+HWP!E64</f>
        <v>0.61698153773710174</v>
      </c>
      <c r="I64" s="456"/>
      <c r="J64" s="475">
        <f>Garden!J71</f>
        <v>0</v>
      </c>
      <c r="K64" s="476">
        <f>Paper!J71</f>
        <v>1.6827378714146704E-2</v>
      </c>
      <c r="L64" s="477">
        <f>Wood!J71</f>
        <v>0</v>
      </c>
      <c r="M64" s="478">
        <f>J64*(1-Recovery_OX!E64)*(1-Recovery_OX!F64)</f>
        <v>0</v>
      </c>
      <c r="N64" s="476">
        <f>K64*(1-Recovery_OX!E64)*(1-Recovery_OX!F64)</f>
        <v>1.6827378714146704E-2</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0.74785640937830533</v>
      </c>
      <c r="H65" s="473">
        <f>H64+HWP!E65</f>
        <v>0.61698153773710174</v>
      </c>
      <c r="I65" s="456"/>
      <c r="J65" s="475">
        <f>Garden!J72</f>
        <v>0</v>
      </c>
      <c r="K65" s="476">
        <f>Paper!J72</f>
        <v>1.5689743918287289E-2</v>
      </c>
      <c r="L65" s="477">
        <f>Wood!J72</f>
        <v>0</v>
      </c>
      <c r="M65" s="478">
        <f>J65*(1-Recovery_OX!E65)*(1-Recovery_OX!F65)</f>
        <v>0</v>
      </c>
      <c r="N65" s="476">
        <f>K65*(1-Recovery_OX!E65)*(1-Recovery_OX!F65)</f>
        <v>1.5689743918287289E-2</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0.74785640937830533</v>
      </c>
      <c r="H66" s="473">
        <f>H65+HWP!E66</f>
        <v>0.61698153773710174</v>
      </c>
      <c r="I66" s="456"/>
      <c r="J66" s="475">
        <f>Garden!J73</f>
        <v>0</v>
      </c>
      <c r="K66" s="476">
        <f>Paper!J73</f>
        <v>1.4629020265318007E-2</v>
      </c>
      <c r="L66" s="477">
        <f>Wood!J73</f>
        <v>0</v>
      </c>
      <c r="M66" s="478">
        <f>J66*(1-Recovery_OX!E66)*(1-Recovery_OX!F66)</f>
        <v>0</v>
      </c>
      <c r="N66" s="476">
        <f>K66*(1-Recovery_OX!E66)*(1-Recovery_OX!F66)</f>
        <v>1.4629020265318007E-2</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0.74785640937830533</v>
      </c>
      <c r="H67" s="473">
        <f>H66+HWP!E67</f>
        <v>0.61698153773710174</v>
      </c>
      <c r="I67" s="456"/>
      <c r="J67" s="475">
        <f>Garden!J74</f>
        <v>0</v>
      </c>
      <c r="K67" s="476">
        <f>Paper!J74</f>
        <v>1.3640008086661385E-2</v>
      </c>
      <c r="L67" s="477">
        <f>Wood!J74</f>
        <v>0</v>
      </c>
      <c r="M67" s="478">
        <f>J67*(1-Recovery_OX!E67)*(1-Recovery_OX!F67)</f>
        <v>0</v>
      </c>
      <c r="N67" s="476">
        <f>K67*(1-Recovery_OX!E67)*(1-Recovery_OX!F67)</f>
        <v>1.3640008086661385E-2</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0.74785640937830533</v>
      </c>
      <c r="H68" s="473">
        <f>H67+HWP!E68</f>
        <v>0.61698153773710174</v>
      </c>
      <c r="I68" s="456"/>
      <c r="J68" s="475">
        <f>Garden!J75</f>
        <v>0</v>
      </c>
      <c r="K68" s="476">
        <f>Paper!J75</f>
        <v>1.2717859243470233E-2</v>
      </c>
      <c r="L68" s="477">
        <f>Wood!J75</f>
        <v>0</v>
      </c>
      <c r="M68" s="478">
        <f>J68*(1-Recovery_OX!E68)*(1-Recovery_OX!F68)</f>
        <v>0</v>
      </c>
      <c r="N68" s="476">
        <f>K68*(1-Recovery_OX!E68)*(1-Recovery_OX!F68)</f>
        <v>1.2717859243470233E-2</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0.74785640937830533</v>
      </c>
      <c r="H69" s="473">
        <f>H68+HWP!E69</f>
        <v>0.61698153773710174</v>
      </c>
      <c r="I69" s="456"/>
      <c r="J69" s="475">
        <f>Garden!J76</f>
        <v>0</v>
      </c>
      <c r="K69" s="476">
        <f>Paper!J76</f>
        <v>1.1858053361045383E-2</v>
      </c>
      <c r="L69" s="477">
        <f>Wood!J76</f>
        <v>0</v>
      </c>
      <c r="M69" s="478">
        <f>J69*(1-Recovery_OX!E69)*(1-Recovery_OX!F69)</f>
        <v>0</v>
      </c>
      <c r="N69" s="476">
        <f>K69*(1-Recovery_OX!E69)*(1-Recovery_OX!F69)</f>
        <v>1.1858053361045383E-2</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0.74785640937830533</v>
      </c>
      <c r="H70" s="473">
        <f>H69+HWP!E70</f>
        <v>0.61698153773710174</v>
      </c>
      <c r="I70" s="456"/>
      <c r="J70" s="475">
        <f>Garden!J77</f>
        <v>0</v>
      </c>
      <c r="K70" s="476">
        <f>Paper!J77</f>
        <v>1.1056375669953674E-2</v>
      </c>
      <c r="L70" s="477">
        <f>Wood!J77</f>
        <v>0</v>
      </c>
      <c r="M70" s="478">
        <f>J70*(1-Recovery_OX!E70)*(1-Recovery_OX!F70)</f>
        <v>0</v>
      </c>
      <c r="N70" s="476">
        <f>K70*(1-Recovery_OX!E70)*(1-Recovery_OX!F70)</f>
        <v>1.1056375669953674E-2</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0.74785640937830533</v>
      </c>
      <c r="H71" s="473">
        <f>H70+HWP!E71</f>
        <v>0.61698153773710174</v>
      </c>
      <c r="I71" s="456"/>
      <c r="J71" s="475">
        <f>Garden!J78</f>
        <v>0</v>
      </c>
      <c r="K71" s="476">
        <f>Paper!J78</f>
        <v>1.0308896345223292E-2</v>
      </c>
      <c r="L71" s="477">
        <f>Wood!J78</f>
        <v>0</v>
      </c>
      <c r="M71" s="478">
        <f>J71*(1-Recovery_OX!E71)*(1-Recovery_OX!F71)</f>
        <v>0</v>
      </c>
      <c r="N71" s="476">
        <f>K71*(1-Recovery_OX!E71)*(1-Recovery_OX!F71)</f>
        <v>1.0308896345223292E-2</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0.74785640937830533</v>
      </c>
      <c r="H72" s="473">
        <f>H71+HWP!E72</f>
        <v>0.61698153773710174</v>
      </c>
      <c r="I72" s="456"/>
      <c r="J72" s="475">
        <f>Garden!J79</f>
        <v>0</v>
      </c>
      <c r="K72" s="476">
        <f>Paper!J79</f>
        <v>9.6119512423372151E-3</v>
      </c>
      <c r="L72" s="477">
        <f>Wood!J79</f>
        <v>0</v>
      </c>
      <c r="M72" s="478">
        <f>J72*(1-Recovery_OX!E72)*(1-Recovery_OX!F72)</f>
        <v>0</v>
      </c>
      <c r="N72" s="476">
        <f>K72*(1-Recovery_OX!E72)*(1-Recovery_OX!F72)</f>
        <v>9.6119512423372151E-3</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0.74785640937830533</v>
      </c>
      <c r="H73" s="473">
        <f>H72+HWP!E73</f>
        <v>0.61698153773710174</v>
      </c>
      <c r="I73" s="456"/>
      <c r="J73" s="475">
        <f>Garden!J80</f>
        <v>0</v>
      </c>
      <c r="K73" s="476">
        <f>Paper!J80</f>
        <v>8.9621239355925208E-3</v>
      </c>
      <c r="L73" s="477">
        <f>Wood!J80</f>
        <v>0</v>
      </c>
      <c r="M73" s="478">
        <f>J73*(1-Recovery_OX!E73)*(1-Recovery_OX!F73)</f>
        <v>0</v>
      </c>
      <c r="N73" s="476">
        <f>K73*(1-Recovery_OX!E73)*(1-Recovery_OX!F73)</f>
        <v>8.9621239355925208E-3</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0.74785640937830533</v>
      </c>
      <c r="H74" s="473">
        <f>H73+HWP!E74</f>
        <v>0.61698153773710174</v>
      </c>
      <c r="I74" s="456"/>
      <c r="J74" s="475">
        <f>Garden!J81</f>
        <v>0</v>
      </c>
      <c r="K74" s="476">
        <f>Paper!J81</f>
        <v>8.3562289707776408E-3</v>
      </c>
      <c r="L74" s="477">
        <f>Wood!J81</f>
        <v>0</v>
      </c>
      <c r="M74" s="478">
        <f>J74*(1-Recovery_OX!E74)*(1-Recovery_OX!F74)</f>
        <v>0</v>
      </c>
      <c r="N74" s="476">
        <f>K74*(1-Recovery_OX!E74)*(1-Recovery_OX!F74)</f>
        <v>8.3562289707776408E-3</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0.74785640937830533</v>
      </c>
      <c r="H75" s="473">
        <f>H74+HWP!E75</f>
        <v>0.61698153773710174</v>
      </c>
      <c r="I75" s="456"/>
      <c r="J75" s="475">
        <f>Garden!J82</f>
        <v>0</v>
      </c>
      <c r="K75" s="476">
        <f>Paper!J82</f>
        <v>7.7912962500721154E-3</v>
      </c>
      <c r="L75" s="477">
        <f>Wood!J82</f>
        <v>0</v>
      </c>
      <c r="M75" s="478">
        <f>J75*(1-Recovery_OX!E75)*(1-Recovery_OX!F75)</f>
        <v>0</v>
      </c>
      <c r="N75" s="476">
        <f>K75*(1-Recovery_OX!E75)*(1-Recovery_OX!F75)</f>
        <v>7.7912962500721154E-3</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0.74785640937830533</v>
      </c>
      <c r="H76" s="473">
        <f>H75+HWP!E76</f>
        <v>0.61698153773710174</v>
      </c>
      <c r="I76" s="456"/>
      <c r="J76" s="475">
        <f>Garden!J83</f>
        <v>0</v>
      </c>
      <c r="K76" s="476">
        <f>Paper!J83</f>
        <v>7.2645564726236296E-3</v>
      </c>
      <c r="L76" s="477">
        <f>Wood!J83</f>
        <v>0</v>
      </c>
      <c r="M76" s="478">
        <f>J76*(1-Recovery_OX!E76)*(1-Recovery_OX!F76)</f>
        <v>0</v>
      </c>
      <c r="N76" s="476">
        <f>K76*(1-Recovery_OX!E76)*(1-Recovery_OX!F76)</f>
        <v>7.2645564726236296E-3</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0.74785640937830533</v>
      </c>
      <c r="H77" s="473">
        <f>H76+HWP!E77</f>
        <v>0.61698153773710174</v>
      </c>
      <c r="I77" s="456"/>
      <c r="J77" s="475">
        <f>Garden!J84</f>
        <v>0</v>
      </c>
      <c r="K77" s="476">
        <f>Paper!J84</f>
        <v>6.773427559432027E-3</v>
      </c>
      <c r="L77" s="477">
        <f>Wood!J84</f>
        <v>0</v>
      </c>
      <c r="M77" s="478">
        <f>J77*(1-Recovery_OX!E77)*(1-Recovery_OX!F77)</f>
        <v>0</v>
      </c>
      <c r="N77" s="476">
        <f>K77*(1-Recovery_OX!E77)*(1-Recovery_OX!F77)</f>
        <v>6.773427559432027E-3</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0.74785640937830533</v>
      </c>
      <c r="H78" s="473">
        <f>H77+HWP!E78</f>
        <v>0.61698153773710174</v>
      </c>
      <c r="I78" s="456"/>
      <c r="J78" s="475">
        <f>Garden!J85</f>
        <v>0</v>
      </c>
      <c r="K78" s="476">
        <f>Paper!J85</f>
        <v>6.3155019959950523E-3</v>
      </c>
      <c r="L78" s="477">
        <f>Wood!J85</f>
        <v>0</v>
      </c>
      <c r="M78" s="478">
        <f>J78*(1-Recovery_OX!E78)*(1-Recovery_OX!F78)</f>
        <v>0</v>
      </c>
      <c r="N78" s="476">
        <f>K78*(1-Recovery_OX!E78)*(1-Recovery_OX!F78)</f>
        <v>6.3155019959950523E-3</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0.74785640937830533</v>
      </c>
      <c r="H79" s="473">
        <f>H78+HWP!E79</f>
        <v>0.61698153773710174</v>
      </c>
      <c r="I79" s="456"/>
      <c r="J79" s="475">
        <f>Garden!J86</f>
        <v>0</v>
      </c>
      <c r="K79" s="476">
        <f>Paper!J86</f>
        <v>5.8885350306694681E-3</v>
      </c>
      <c r="L79" s="477">
        <f>Wood!J86</f>
        <v>0</v>
      </c>
      <c r="M79" s="478">
        <f>J79*(1-Recovery_OX!E79)*(1-Recovery_OX!F79)</f>
        <v>0</v>
      </c>
      <c r="N79" s="476">
        <f>K79*(1-Recovery_OX!E79)*(1-Recovery_OX!F79)</f>
        <v>5.8885350306694681E-3</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0.74785640937830533</v>
      </c>
      <c r="H80" s="473">
        <f>H79+HWP!E80</f>
        <v>0.61698153773710174</v>
      </c>
      <c r="I80" s="456"/>
      <c r="J80" s="475">
        <f>Garden!J87</f>
        <v>0</v>
      </c>
      <c r="K80" s="476">
        <f>Paper!J87</f>
        <v>5.4904336708958956E-3</v>
      </c>
      <c r="L80" s="477">
        <f>Wood!J87</f>
        <v>0</v>
      </c>
      <c r="M80" s="478">
        <f>J80*(1-Recovery_OX!E80)*(1-Recovery_OX!F80)</f>
        <v>0</v>
      </c>
      <c r="N80" s="476">
        <f>K80*(1-Recovery_OX!E80)*(1-Recovery_OX!F80)</f>
        <v>5.4904336708958956E-3</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0.74785640937830533</v>
      </c>
      <c r="H81" s="473">
        <f>H80+HWP!E81</f>
        <v>0.61698153773710174</v>
      </c>
      <c r="I81" s="456"/>
      <c r="J81" s="475">
        <f>Garden!J88</f>
        <v>0</v>
      </c>
      <c r="K81" s="476">
        <f>Paper!J88</f>
        <v>5.1192464233468619E-3</v>
      </c>
      <c r="L81" s="477">
        <f>Wood!J88</f>
        <v>0</v>
      </c>
      <c r="M81" s="478">
        <f>J81*(1-Recovery_OX!E81)*(1-Recovery_OX!F81)</f>
        <v>0</v>
      </c>
      <c r="N81" s="476">
        <f>K81*(1-Recovery_OX!E81)*(1-Recovery_OX!F81)</f>
        <v>5.1192464233468619E-3</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0.74785640937830533</v>
      </c>
      <c r="H82" s="473">
        <f>H81+HWP!E82</f>
        <v>0.61698153773710174</v>
      </c>
      <c r="I82" s="456"/>
      <c r="J82" s="475">
        <f>Garden!J89</f>
        <v>0</v>
      </c>
      <c r="K82" s="476">
        <f>Paper!J89</f>
        <v>4.7731537277042437E-3</v>
      </c>
      <c r="L82" s="477">
        <f>Wood!J89</f>
        <v>0</v>
      </c>
      <c r="M82" s="478">
        <f>J82*(1-Recovery_OX!E82)*(1-Recovery_OX!F82)</f>
        <v>0</v>
      </c>
      <c r="N82" s="476">
        <f>K82*(1-Recovery_OX!E82)*(1-Recovery_OX!F82)</f>
        <v>4.7731537277042437E-3</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0.74785640937830533</v>
      </c>
      <c r="H83" s="473">
        <f>H82+HWP!E83</f>
        <v>0.61698153773710174</v>
      </c>
      <c r="I83" s="456"/>
      <c r="J83" s="475">
        <f>Garden!J90</f>
        <v>0</v>
      </c>
      <c r="K83" s="476">
        <f>Paper!J90</f>
        <v>4.4504590371724764E-3</v>
      </c>
      <c r="L83" s="477">
        <f>Wood!J90</f>
        <v>0</v>
      </c>
      <c r="M83" s="478">
        <f>J83*(1-Recovery_OX!E83)*(1-Recovery_OX!F83)</f>
        <v>0</v>
      </c>
      <c r="N83" s="476">
        <f>K83*(1-Recovery_OX!E83)*(1-Recovery_OX!F83)</f>
        <v>4.4504590371724764E-3</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0.74785640937830533</v>
      </c>
      <c r="H84" s="473">
        <f>H83+HWP!E84</f>
        <v>0.61698153773710174</v>
      </c>
      <c r="I84" s="456"/>
      <c r="J84" s="475">
        <f>Garden!J91</f>
        <v>0</v>
      </c>
      <c r="K84" s="476">
        <f>Paper!J91</f>
        <v>4.1495805020041934E-3</v>
      </c>
      <c r="L84" s="477">
        <f>Wood!J91</f>
        <v>0</v>
      </c>
      <c r="M84" s="478">
        <f>J84*(1-Recovery_OX!E84)*(1-Recovery_OX!F84)</f>
        <v>0</v>
      </c>
      <c r="N84" s="476">
        <f>K84*(1-Recovery_OX!E84)*(1-Recovery_OX!F84)</f>
        <v>4.1495805020041934E-3</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0.74785640937830533</v>
      </c>
      <c r="H85" s="473">
        <f>H84+HWP!E85</f>
        <v>0.61698153773710174</v>
      </c>
      <c r="I85" s="456"/>
      <c r="J85" s="475">
        <f>Garden!J92</f>
        <v>0</v>
      </c>
      <c r="K85" s="476">
        <f>Paper!J92</f>
        <v>3.8690432152709321E-3</v>
      </c>
      <c r="L85" s="477">
        <f>Wood!J92</f>
        <v>0</v>
      </c>
      <c r="M85" s="478">
        <f>J85*(1-Recovery_OX!E85)*(1-Recovery_OX!F85)</f>
        <v>0</v>
      </c>
      <c r="N85" s="476">
        <f>K85*(1-Recovery_OX!E85)*(1-Recovery_OX!F85)</f>
        <v>3.8690432152709321E-3</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0.74785640937830533</v>
      </c>
      <c r="H86" s="473">
        <f>H85+HWP!E86</f>
        <v>0.61698153773710174</v>
      </c>
      <c r="I86" s="456"/>
      <c r="J86" s="475">
        <f>Garden!J93</f>
        <v>0</v>
      </c>
      <c r="K86" s="476">
        <f>Paper!J93</f>
        <v>3.6074719828676563E-3</v>
      </c>
      <c r="L86" s="477">
        <f>Wood!J93</f>
        <v>0</v>
      </c>
      <c r="M86" s="478">
        <f>J86*(1-Recovery_OX!E86)*(1-Recovery_OX!F86)</f>
        <v>0</v>
      </c>
      <c r="N86" s="476">
        <f>K86*(1-Recovery_OX!E86)*(1-Recovery_OX!F86)</f>
        <v>3.6074719828676563E-3</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0.74785640937830533</v>
      </c>
      <c r="H87" s="473">
        <f>H86+HWP!E87</f>
        <v>0.61698153773710174</v>
      </c>
      <c r="I87" s="456"/>
      <c r="J87" s="475">
        <f>Garden!J94</f>
        <v>0</v>
      </c>
      <c r="K87" s="476">
        <f>Paper!J94</f>
        <v>3.3635845823096599E-3</v>
      </c>
      <c r="L87" s="477">
        <f>Wood!J94</f>
        <v>0</v>
      </c>
      <c r="M87" s="478">
        <f>J87*(1-Recovery_OX!E87)*(1-Recovery_OX!F87)</f>
        <v>0</v>
      </c>
      <c r="N87" s="476">
        <f>K87*(1-Recovery_OX!E87)*(1-Recovery_OX!F87)</f>
        <v>3.3635845823096599E-3</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0.74785640937830533</v>
      </c>
      <c r="H88" s="473">
        <f>H87+HWP!E88</f>
        <v>0.61698153773710174</v>
      </c>
      <c r="I88" s="456"/>
      <c r="J88" s="475">
        <f>Garden!J95</f>
        <v>0</v>
      </c>
      <c r="K88" s="476">
        <f>Paper!J95</f>
        <v>3.1361854772764572E-3</v>
      </c>
      <c r="L88" s="477">
        <f>Wood!J95</f>
        <v>0</v>
      </c>
      <c r="M88" s="478">
        <f>J88*(1-Recovery_OX!E88)*(1-Recovery_OX!F88)</f>
        <v>0</v>
      </c>
      <c r="N88" s="476">
        <f>K88*(1-Recovery_OX!E88)*(1-Recovery_OX!F88)</f>
        <v>3.1361854772764572E-3</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0.74785640937830533</v>
      </c>
      <c r="H89" s="473">
        <f>H88+HWP!E89</f>
        <v>0.61698153773710174</v>
      </c>
      <c r="I89" s="456"/>
      <c r="J89" s="475">
        <f>Garden!J96</f>
        <v>0</v>
      </c>
      <c r="K89" s="476">
        <f>Paper!J96</f>
        <v>2.9241599570913558E-3</v>
      </c>
      <c r="L89" s="477">
        <f>Wood!J96</f>
        <v>0</v>
      </c>
      <c r="M89" s="478">
        <f>J89*(1-Recovery_OX!E89)*(1-Recovery_OX!F89)</f>
        <v>0</v>
      </c>
      <c r="N89" s="476">
        <f>K89*(1-Recovery_OX!E89)*(1-Recovery_OX!F89)</f>
        <v>2.9241599570913558E-3</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0.74785640937830533</v>
      </c>
      <c r="H90" s="473">
        <f>H89+HWP!E90</f>
        <v>0.61698153773710174</v>
      </c>
      <c r="I90" s="456"/>
      <c r="J90" s="475">
        <f>Garden!J97</f>
        <v>0</v>
      </c>
      <c r="K90" s="476">
        <f>Paper!J97</f>
        <v>2.7264686724084229E-3</v>
      </c>
      <c r="L90" s="477">
        <f>Wood!J97</f>
        <v>0</v>
      </c>
      <c r="M90" s="478">
        <f>J90*(1-Recovery_OX!E90)*(1-Recovery_OX!F90)</f>
        <v>0</v>
      </c>
      <c r="N90" s="476">
        <f>K90*(1-Recovery_OX!E90)*(1-Recovery_OX!F90)</f>
        <v>2.7264686724084229E-3</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0.74785640937830533</v>
      </c>
      <c r="H91" s="473">
        <f>H90+HWP!E91</f>
        <v>0.61698153773710174</v>
      </c>
      <c r="I91" s="456"/>
      <c r="J91" s="475">
        <f>Garden!J98</f>
        <v>0</v>
      </c>
      <c r="K91" s="476">
        <f>Paper!J98</f>
        <v>2.5421425403207888E-3</v>
      </c>
      <c r="L91" s="477">
        <f>Wood!J98</f>
        <v>0</v>
      </c>
      <c r="M91" s="478">
        <f>J91*(1-Recovery_OX!E91)*(1-Recovery_OX!F91)</f>
        <v>0</v>
      </c>
      <c r="N91" s="476">
        <f>K91*(1-Recovery_OX!E91)*(1-Recovery_OX!F91)</f>
        <v>2.5421425403207888E-3</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0.74785640937830533</v>
      </c>
      <c r="H92" s="482">
        <f>H91+HWP!E92</f>
        <v>0.61698153773710174</v>
      </c>
      <c r="I92" s="456"/>
      <c r="J92" s="484">
        <f>Garden!J99</f>
        <v>0</v>
      </c>
      <c r="K92" s="485">
        <f>Paper!J99</f>
        <v>2.3702779939151113E-3</v>
      </c>
      <c r="L92" s="486">
        <f>Wood!J99</f>
        <v>0</v>
      </c>
      <c r="M92" s="487">
        <f>J92*(1-Recovery_OX!E92)*(1-Recovery_OX!F92)</f>
        <v>0</v>
      </c>
      <c r="N92" s="485">
        <f>K92*(1-Recovery_OX!E92)*(1-Recovery_OX!F92)</f>
        <v>2.3702779939151113E-3</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2017-09-14T06:50:55Z</dcterms:modified>
</cp:coreProperties>
</file>