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GIZ_GELAMAI\8_RAD GRK Revisi\Perhitungan BAU Baseline dan Mitigasi_Hitung Ulang\Limbah\Hitungan Limbah_Mitigasi_2010-2030_IW\Paser\"/>
    </mc:Choice>
  </mc:AlternateContent>
  <bookViews>
    <workbookView xWindow="360" yWindow="45" windowWidth="21015" windowHeight="9975" tabRatio="843" activeTab="3"/>
  </bookViews>
  <sheets>
    <sheet name="timbulan sampah" sheetId="4" r:id="rId1"/>
    <sheet name="Fraksi pengelolaan sampah BaU" sheetId="1" r:id="rId2"/>
    <sheet name="Rekapitulasi BaU Emisi GRK" sheetId="3" r:id="rId3"/>
    <sheet name="Rekap BAU Emisi Industri Sawitt" sheetId="6" r:id="rId4"/>
    <sheet name="Frksi pengelolaan smph Mitigasi" sheetId="2" state="hidden" r:id="rId5"/>
    <sheet name="Rekaptlasi Mitigasi Emisi GRK" sheetId="5" state="hidden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52511"/>
</workbook>
</file>

<file path=xl/calcChain.xml><?xml version="1.0" encoding="utf-8"?>
<calcChain xmlns="http://schemas.openxmlformats.org/spreadsheetml/2006/main">
  <c r="I81" i="3" l="1"/>
  <c r="F13" i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E13" i="1" l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D13" i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E12" i="1"/>
  <c r="D12" i="1"/>
  <c r="B12" i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C11" i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10" i="1"/>
  <c r="C9" i="1"/>
  <c r="C8" i="1"/>
  <c r="C7" i="1"/>
  <c r="C6" i="1"/>
  <c r="H26" i="1" l="1"/>
  <c r="G26" i="1"/>
  <c r="F26" i="1"/>
  <c r="E26" i="1"/>
  <c r="D26" i="1"/>
  <c r="C26" i="1"/>
  <c r="B26" i="1"/>
  <c r="C24" i="6" l="1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F53" i="5"/>
  <c r="F52" i="5"/>
  <c r="F51" i="5"/>
  <c r="F50" i="5"/>
  <c r="F49" i="5"/>
  <c r="F48" i="5"/>
  <c r="F47" i="5"/>
  <c r="F46" i="5"/>
  <c r="F45" i="5"/>
  <c r="F44" i="5"/>
  <c r="F43" i="5"/>
  <c r="D109" i="3"/>
  <c r="B109" i="3"/>
  <c r="D108" i="3"/>
  <c r="B108" i="3"/>
  <c r="D107" i="3"/>
  <c r="B107" i="3"/>
  <c r="D106" i="3"/>
  <c r="B106" i="3"/>
  <c r="D105" i="3"/>
  <c r="B105" i="3"/>
  <c r="D104" i="3"/>
  <c r="B104" i="3"/>
  <c r="D103" i="3"/>
  <c r="B103" i="3"/>
  <c r="D102" i="3"/>
  <c r="B102" i="3"/>
  <c r="D101" i="3"/>
  <c r="B101" i="3"/>
  <c r="D100" i="3"/>
  <c r="B100" i="3"/>
  <c r="D99" i="3"/>
  <c r="B99" i="3"/>
  <c r="D98" i="3"/>
  <c r="B98" i="3"/>
  <c r="D97" i="3"/>
  <c r="B97" i="3"/>
  <c r="D96" i="3"/>
  <c r="B96" i="3"/>
  <c r="D95" i="3"/>
  <c r="B95" i="3"/>
  <c r="D94" i="3"/>
  <c r="B94" i="3"/>
  <c r="D93" i="3"/>
  <c r="B93" i="3"/>
  <c r="D92" i="3"/>
  <c r="B92" i="3"/>
  <c r="D91" i="3"/>
  <c r="B91" i="3"/>
  <c r="D90" i="3"/>
  <c r="B90" i="3"/>
  <c r="D80" i="3"/>
  <c r="B80" i="3"/>
  <c r="D79" i="3"/>
  <c r="B79" i="3"/>
  <c r="D78" i="3"/>
  <c r="B78" i="3"/>
  <c r="D77" i="3"/>
  <c r="B77" i="3"/>
  <c r="D76" i="3"/>
  <c r="B76" i="3"/>
  <c r="D75" i="3"/>
  <c r="B75" i="3"/>
  <c r="D74" i="3"/>
  <c r="B74" i="3"/>
  <c r="D73" i="3"/>
  <c r="B73" i="3"/>
  <c r="D72" i="3"/>
  <c r="B72" i="3"/>
  <c r="D71" i="3"/>
  <c r="B71" i="3"/>
  <c r="D70" i="3"/>
  <c r="B70" i="3"/>
  <c r="D69" i="3"/>
  <c r="B69" i="3"/>
  <c r="D68" i="3"/>
  <c r="B68" i="3"/>
  <c r="D67" i="3"/>
  <c r="B67" i="3"/>
  <c r="D66" i="3"/>
  <c r="B66" i="3"/>
  <c r="D65" i="3"/>
  <c r="B65" i="3"/>
  <c r="D64" i="3"/>
  <c r="B64" i="3"/>
  <c r="D63" i="3"/>
  <c r="B63" i="3"/>
  <c r="D62" i="3"/>
  <c r="B62" i="3"/>
  <c r="D61" i="3"/>
  <c r="B61" i="3"/>
  <c r="D54" i="3"/>
  <c r="B54" i="3"/>
  <c r="D53" i="3"/>
  <c r="B53" i="3"/>
  <c r="D52" i="3"/>
  <c r="B52" i="3"/>
  <c r="D51" i="3"/>
  <c r="B51" i="3"/>
  <c r="D50" i="3"/>
  <c r="B50" i="3"/>
  <c r="D49" i="3"/>
  <c r="B49" i="3"/>
  <c r="D48" i="3"/>
  <c r="B48" i="3"/>
  <c r="D47" i="3"/>
  <c r="B47" i="3"/>
  <c r="D46" i="3"/>
  <c r="B46" i="3"/>
  <c r="D45" i="3"/>
  <c r="B45" i="3"/>
  <c r="D44" i="3"/>
  <c r="B44" i="3"/>
  <c r="D43" i="3"/>
  <c r="B43" i="3"/>
  <c r="D42" i="3"/>
  <c r="B42" i="3"/>
  <c r="D41" i="3"/>
  <c r="B41" i="3"/>
  <c r="D40" i="3"/>
  <c r="B40" i="3"/>
  <c r="D39" i="3"/>
  <c r="B39" i="3"/>
  <c r="D38" i="3"/>
  <c r="B38" i="3"/>
  <c r="D37" i="3"/>
  <c r="B37" i="3"/>
  <c r="D36" i="3"/>
  <c r="B36" i="3"/>
  <c r="D35" i="3"/>
  <c r="B35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24" i="4" l="1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5" i="4"/>
  <c r="D16" i="6" l="1"/>
  <c r="D17" i="6"/>
  <c r="D18" i="6"/>
  <c r="D19" i="6"/>
  <c r="D20" i="6"/>
  <c r="D21" i="6"/>
  <c r="D22" i="6"/>
  <c r="D23" i="6"/>
  <c r="D24" i="6"/>
  <c r="D25" i="6"/>
  <c r="J81" i="3"/>
  <c r="R15" i="3"/>
  <c r="S15" i="3" s="1"/>
  <c r="R16" i="3"/>
  <c r="S16" i="3" s="1"/>
  <c r="R17" i="3"/>
  <c r="S17" i="3" s="1"/>
  <c r="R18" i="3"/>
  <c r="S18" i="3" s="1"/>
  <c r="R19" i="3"/>
  <c r="S19" i="3" s="1"/>
  <c r="R20" i="3"/>
  <c r="S20" i="3" s="1"/>
  <c r="R21" i="3"/>
  <c r="S21" i="3" s="1"/>
  <c r="R22" i="3"/>
  <c r="S22" i="3" s="1"/>
  <c r="R23" i="3"/>
  <c r="S23" i="3" s="1"/>
  <c r="R24" i="3"/>
  <c r="S24" i="3" s="1"/>
  <c r="R25" i="3"/>
  <c r="S25" i="3" s="1"/>
  <c r="R26" i="3"/>
  <c r="S26" i="3" s="1"/>
  <c r="R27" i="3"/>
  <c r="S27" i="3" s="1"/>
  <c r="R28" i="3"/>
  <c r="S28" i="3" s="1"/>
  <c r="R29" i="3"/>
  <c r="S29" i="3"/>
  <c r="M29" i="3"/>
  <c r="N29" i="3"/>
  <c r="H29" i="3"/>
  <c r="I29" i="3"/>
  <c r="C29" i="3"/>
  <c r="D29" i="3"/>
  <c r="D6" i="6" l="1"/>
  <c r="D7" i="6"/>
  <c r="D8" i="6"/>
  <c r="D9" i="6"/>
  <c r="D10" i="6"/>
  <c r="D11" i="6"/>
  <c r="D12" i="6"/>
  <c r="D13" i="6"/>
  <c r="D14" i="6"/>
  <c r="D15" i="6"/>
  <c r="D5" i="6"/>
  <c r="I6" i="1" l="1"/>
  <c r="E91" i="3" l="1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90" i="3"/>
  <c r="F106" i="3" l="1"/>
  <c r="G106" i="3" s="1"/>
  <c r="F98" i="3"/>
  <c r="G98" i="3" s="1"/>
  <c r="F109" i="3"/>
  <c r="G109" i="3" s="1"/>
  <c r="F101" i="3"/>
  <c r="G101" i="3" s="1"/>
  <c r="F93" i="3"/>
  <c r="G93" i="3" s="1"/>
  <c r="F108" i="3"/>
  <c r="G108" i="3" s="1"/>
  <c r="F100" i="3"/>
  <c r="G100" i="3" s="1"/>
  <c r="F92" i="3"/>
  <c r="G92" i="3" s="1"/>
  <c r="F105" i="3"/>
  <c r="G105" i="3" s="1"/>
  <c r="F97" i="3"/>
  <c r="G97" i="3" s="1"/>
  <c r="F104" i="3"/>
  <c r="G104" i="3" s="1"/>
  <c r="F96" i="3"/>
  <c r="G96" i="3" s="1"/>
  <c r="F110" i="3"/>
  <c r="F102" i="3"/>
  <c r="G102" i="3" s="1"/>
  <c r="F94" i="3"/>
  <c r="G94" i="3" s="1"/>
  <c r="F107" i="3"/>
  <c r="G107" i="3" s="1"/>
  <c r="F99" i="3"/>
  <c r="G99" i="3" s="1"/>
  <c r="F91" i="3"/>
  <c r="G91" i="3" s="1"/>
  <c r="F90" i="3"/>
  <c r="G90" i="3" s="1"/>
  <c r="F103" i="3"/>
  <c r="G103" i="3" s="1"/>
  <c r="F95" i="3"/>
  <c r="G95" i="3" s="1"/>
  <c r="E62" i="3" l="1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F81" i="3" s="1"/>
  <c r="C46" i="3"/>
  <c r="E46" i="3"/>
  <c r="C47" i="3"/>
  <c r="E47" i="3"/>
  <c r="C48" i="3"/>
  <c r="E48" i="3"/>
  <c r="C49" i="3"/>
  <c r="E49" i="3"/>
  <c r="C50" i="3"/>
  <c r="E50" i="3"/>
  <c r="C51" i="3"/>
  <c r="E51" i="3"/>
  <c r="C52" i="3"/>
  <c r="E52" i="3"/>
  <c r="C53" i="3"/>
  <c r="E53" i="3"/>
  <c r="C54" i="3"/>
  <c r="E54" i="3"/>
  <c r="C55" i="3"/>
  <c r="E55" i="3"/>
  <c r="F53" i="3" l="1"/>
  <c r="F49" i="3"/>
  <c r="F52" i="3"/>
  <c r="F48" i="3"/>
  <c r="F73" i="3"/>
  <c r="F54" i="3"/>
  <c r="F77" i="3"/>
  <c r="F80" i="3"/>
  <c r="F72" i="3"/>
  <c r="F79" i="3"/>
  <c r="F78" i="3"/>
  <c r="F71" i="3"/>
  <c r="F63" i="3"/>
  <c r="F70" i="3"/>
  <c r="F66" i="3"/>
  <c r="F65" i="3"/>
  <c r="F64" i="3"/>
  <c r="F69" i="3"/>
  <c r="F68" i="3"/>
  <c r="F67" i="3"/>
  <c r="F76" i="3"/>
  <c r="F75" i="3"/>
  <c r="F74" i="3"/>
  <c r="F51" i="3"/>
  <c r="F50" i="3"/>
  <c r="F46" i="3"/>
  <c r="F47" i="3"/>
  <c r="F55" i="3"/>
  <c r="I17" i="1" l="1"/>
  <c r="I18" i="1"/>
  <c r="I19" i="1"/>
  <c r="I20" i="1"/>
  <c r="I21" i="1"/>
  <c r="I22" i="1"/>
  <c r="I23" i="1"/>
  <c r="I24" i="1"/>
  <c r="I25" i="1"/>
  <c r="D16" i="4" l="1"/>
  <c r="E16" i="4" s="1"/>
  <c r="I40" i="1" s="1"/>
  <c r="D17" i="4"/>
  <c r="E17" i="4" s="1"/>
  <c r="I41" i="1" s="1"/>
  <c r="D18" i="4"/>
  <c r="E18" i="4" s="1"/>
  <c r="I42" i="1" s="1"/>
  <c r="D19" i="4"/>
  <c r="E19" i="4" s="1"/>
  <c r="I43" i="1" s="1"/>
  <c r="D20" i="4"/>
  <c r="E20" i="4" s="1"/>
  <c r="I44" i="1" s="1"/>
  <c r="D21" i="4"/>
  <c r="E21" i="4" s="1"/>
  <c r="I45" i="1" s="1"/>
  <c r="D22" i="4"/>
  <c r="E22" i="4" s="1"/>
  <c r="I46" i="1" s="1"/>
  <c r="D23" i="4"/>
  <c r="E23" i="4" s="1"/>
  <c r="I47" i="1" s="1"/>
  <c r="D24" i="4"/>
  <c r="E24" i="4" s="1"/>
  <c r="I48" i="1" s="1"/>
  <c r="H41" i="1" l="1"/>
  <c r="F41" i="1"/>
  <c r="E41" i="1"/>
  <c r="G41" i="1"/>
  <c r="C41" i="1"/>
  <c r="D41" i="1"/>
  <c r="D40" i="1"/>
  <c r="H40" i="1"/>
  <c r="F40" i="1"/>
  <c r="G40" i="1"/>
  <c r="E40" i="1"/>
  <c r="C40" i="1"/>
  <c r="G47" i="1"/>
  <c r="E47" i="1"/>
  <c r="C47" i="1"/>
  <c r="D47" i="1"/>
  <c r="H47" i="1"/>
  <c r="F47" i="1"/>
  <c r="G43" i="1"/>
  <c r="E43" i="1"/>
  <c r="C43" i="1"/>
  <c r="D43" i="1"/>
  <c r="H43" i="1"/>
  <c r="F43" i="1"/>
  <c r="F58" i="1" s="1"/>
  <c r="H45" i="1"/>
  <c r="F45" i="1"/>
  <c r="D45" i="1"/>
  <c r="G45" i="1"/>
  <c r="E45" i="1"/>
  <c r="C45" i="1"/>
  <c r="D48" i="1"/>
  <c r="G48" i="1"/>
  <c r="H48" i="1"/>
  <c r="F48" i="1"/>
  <c r="F63" i="1" s="1"/>
  <c r="E48" i="1"/>
  <c r="C48" i="1"/>
  <c r="D44" i="1"/>
  <c r="H44" i="1"/>
  <c r="F44" i="1"/>
  <c r="E44" i="1"/>
  <c r="C44" i="1"/>
  <c r="G44" i="1"/>
  <c r="G46" i="1"/>
  <c r="E46" i="1"/>
  <c r="C46" i="1"/>
  <c r="H46" i="1"/>
  <c r="F46" i="1"/>
  <c r="D46" i="1"/>
  <c r="G42" i="1"/>
  <c r="E42" i="1"/>
  <c r="C42" i="1"/>
  <c r="F42" i="1"/>
  <c r="F57" i="1" s="1"/>
  <c r="D42" i="1"/>
  <c r="H42" i="1"/>
  <c r="B47" i="1" l="1"/>
  <c r="B68" i="1" s="1"/>
  <c r="F62" i="1"/>
  <c r="B40" i="1"/>
  <c r="B61" i="1" s="1"/>
  <c r="F55" i="1"/>
  <c r="B45" i="1"/>
  <c r="F60" i="1"/>
  <c r="B41" i="1"/>
  <c r="F56" i="1"/>
  <c r="B48" i="1"/>
  <c r="B69" i="1" s="1"/>
  <c r="B46" i="1"/>
  <c r="F61" i="1"/>
  <c r="B44" i="1"/>
  <c r="B65" i="1" s="1"/>
  <c r="F59" i="1"/>
  <c r="B42" i="1"/>
  <c r="B43" i="1"/>
  <c r="J47" i="1"/>
  <c r="M15" i="1"/>
  <c r="M14" i="1" s="1"/>
  <c r="M13" i="1" s="1"/>
  <c r="M12" i="1" s="1"/>
  <c r="M11" i="1" s="1"/>
  <c r="M10" i="1" s="1"/>
  <c r="M9" i="1" s="1"/>
  <c r="M8" i="1" s="1"/>
  <c r="M7" i="1" s="1"/>
  <c r="J48" i="1" l="1"/>
  <c r="J45" i="1"/>
  <c r="B66" i="1"/>
  <c r="J40" i="1"/>
  <c r="J44" i="1"/>
  <c r="J43" i="1"/>
  <c r="B64" i="1"/>
  <c r="J41" i="1"/>
  <c r="B62" i="1"/>
  <c r="J42" i="1"/>
  <c r="B63" i="1"/>
  <c r="J46" i="1"/>
  <c r="B67" i="1"/>
  <c r="C62" i="3"/>
  <c r="F62" i="3" s="1"/>
  <c r="E61" i="3"/>
  <c r="C61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E72" i="5"/>
  <c r="C72" i="5"/>
  <c r="E71" i="5"/>
  <c r="C71" i="5"/>
  <c r="E70" i="5"/>
  <c r="C70" i="5"/>
  <c r="E69" i="5"/>
  <c r="C69" i="5"/>
  <c r="E68" i="5"/>
  <c r="F68" i="5" s="1"/>
  <c r="C68" i="5"/>
  <c r="E67" i="5"/>
  <c r="C67" i="5"/>
  <c r="E66" i="5"/>
  <c r="C66" i="5"/>
  <c r="E65" i="5"/>
  <c r="C65" i="5"/>
  <c r="F64" i="5"/>
  <c r="E64" i="5"/>
  <c r="C64" i="5"/>
  <c r="E63" i="5"/>
  <c r="C63" i="5"/>
  <c r="E62" i="5"/>
  <c r="C62" i="5"/>
  <c r="F62" i="5" s="1"/>
  <c r="E53" i="5"/>
  <c r="C53" i="5"/>
  <c r="E52" i="5"/>
  <c r="C52" i="5"/>
  <c r="E51" i="5"/>
  <c r="C51" i="5"/>
  <c r="E50" i="5"/>
  <c r="C50" i="5"/>
  <c r="E49" i="5"/>
  <c r="C49" i="5"/>
  <c r="E48" i="5"/>
  <c r="C48" i="5"/>
  <c r="E47" i="5"/>
  <c r="C47" i="5"/>
  <c r="E46" i="5"/>
  <c r="C46" i="5"/>
  <c r="E45" i="5"/>
  <c r="C45" i="5"/>
  <c r="E44" i="5"/>
  <c r="C44" i="5"/>
  <c r="E43" i="5"/>
  <c r="C43" i="5"/>
  <c r="E36" i="5"/>
  <c r="C36" i="5"/>
  <c r="E35" i="5"/>
  <c r="C35" i="5"/>
  <c r="F34" i="5"/>
  <c r="E34" i="5"/>
  <c r="C34" i="5"/>
  <c r="E33" i="5"/>
  <c r="C33" i="5"/>
  <c r="E32" i="5"/>
  <c r="C32" i="5"/>
  <c r="F32" i="5" s="1"/>
  <c r="E31" i="5"/>
  <c r="C31" i="5"/>
  <c r="E30" i="5"/>
  <c r="C30" i="5"/>
  <c r="E29" i="5"/>
  <c r="C29" i="5"/>
  <c r="E28" i="5"/>
  <c r="C28" i="5"/>
  <c r="F28" i="5" s="1"/>
  <c r="E27" i="5"/>
  <c r="C27" i="5"/>
  <c r="E26" i="5"/>
  <c r="C26" i="5"/>
  <c r="R19" i="5"/>
  <c r="S19" i="5" s="1"/>
  <c r="M19" i="5"/>
  <c r="N19" i="5" s="1"/>
  <c r="H19" i="5"/>
  <c r="I19" i="5" s="1"/>
  <c r="C19" i="5"/>
  <c r="D19" i="5" s="1"/>
  <c r="R18" i="5"/>
  <c r="S18" i="5" s="1"/>
  <c r="M18" i="5"/>
  <c r="N18" i="5" s="1"/>
  <c r="H18" i="5"/>
  <c r="I18" i="5" s="1"/>
  <c r="C18" i="5"/>
  <c r="D18" i="5" s="1"/>
  <c r="R17" i="5"/>
  <c r="S17" i="5" s="1"/>
  <c r="M17" i="5"/>
  <c r="N17" i="5" s="1"/>
  <c r="H17" i="5"/>
  <c r="I17" i="5" s="1"/>
  <c r="C17" i="5"/>
  <c r="D17" i="5" s="1"/>
  <c r="R16" i="5"/>
  <c r="S16" i="5" s="1"/>
  <c r="M16" i="5"/>
  <c r="N16" i="5" s="1"/>
  <c r="H16" i="5"/>
  <c r="I16" i="5" s="1"/>
  <c r="C16" i="5"/>
  <c r="D16" i="5" s="1"/>
  <c r="R15" i="5"/>
  <c r="S15" i="5" s="1"/>
  <c r="M15" i="5"/>
  <c r="N15" i="5" s="1"/>
  <c r="H15" i="5"/>
  <c r="I15" i="5" s="1"/>
  <c r="C15" i="5"/>
  <c r="D15" i="5" s="1"/>
  <c r="R14" i="5"/>
  <c r="S14" i="5" s="1"/>
  <c r="M14" i="5"/>
  <c r="N14" i="5" s="1"/>
  <c r="H14" i="5"/>
  <c r="I14" i="5" s="1"/>
  <c r="C14" i="5"/>
  <c r="D14" i="5" s="1"/>
  <c r="R13" i="5"/>
  <c r="S13" i="5" s="1"/>
  <c r="M13" i="5"/>
  <c r="N13" i="5" s="1"/>
  <c r="H13" i="5"/>
  <c r="I13" i="5" s="1"/>
  <c r="C13" i="5"/>
  <c r="D13" i="5" s="1"/>
  <c r="R12" i="5"/>
  <c r="S12" i="5" s="1"/>
  <c r="M12" i="5"/>
  <c r="N12" i="5" s="1"/>
  <c r="H12" i="5"/>
  <c r="I12" i="5" s="1"/>
  <c r="C12" i="5"/>
  <c r="D12" i="5" s="1"/>
  <c r="R11" i="5"/>
  <c r="S11" i="5" s="1"/>
  <c r="M11" i="5"/>
  <c r="N11" i="5" s="1"/>
  <c r="H11" i="5"/>
  <c r="I11" i="5" s="1"/>
  <c r="C11" i="5"/>
  <c r="D11" i="5" s="1"/>
  <c r="R10" i="5"/>
  <c r="S10" i="5" s="1"/>
  <c r="M10" i="5"/>
  <c r="N10" i="5" s="1"/>
  <c r="H10" i="5"/>
  <c r="I10" i="5" s="1"/>
  <c r="C10" i="5"/>
  <c r="D10" i="5" s="1"/>
  <c r="R9" i="5"/>
  <c r="S9" i="5" s="1"/>
  <c r="M9" i="5"/>
  <c r="N9" i="5" s="1"/>
  <c r="H9" i="5"/>
  <c r="I9" i="5" s="1"/>
  <c r="C9" i="5"/>
  <c r="D9" i="5" s="1"/>
  <c r="L34" i="2"/>
  <c r="L33" i="2"/>
  <c r="R33" i="2" s="1"/>
  <c r="L32" i="2"/>
  <c r="R32" i="2" s="1"/>
  <c r="R25" i="2"/>
  <c r="T24" i="2"/>
  <c r="R24" i="2"/>
  <c r="D6" i="4"/>
  <c r="E6" i="4" s="1"/>
  <c r="I30" i="1" s="1"/>
  <c r="D7" i="4"/>
  <c r="E7" i="4" s="1"/>
  <c r="I41" i="2" s="1"/>
  <c r="D8" i="4"/>
  <c r="E8" i="4" s="1"/>
  <c r="I32" i="1" s="1"/>
  <c r="C32" i="1" s="1"/>
  <c r="D9" i="4"/>
  <c r="E9" i="4" s="1"/>
  <c r="I33" i="1" s="1"/>
  <c r="C33" i="1" s="1"/>
  <c r="D10" i="4"/>
  <c r="E10" i="4" s="1"/>
  <c r="I44" i="2" s="1"/>
  <c r="D11" i="4"/>
  <c r="E11" i="4" s="1"/>
  <c r="I45" i="2" s="1"/>
  <c r="D12" i="4"/>
  <c r="E12" i="4" s="1"/>
  <c r="I46" i="2" s="1"/>
  <c r="D13" i="4"/>
  <c r="E13" i="4" s="1"/>
  <c r="D14" i="4"/>
  <c r="E14" i="4" s="1"/>
  <c r="I48" i="2" s="1"/>
  <c r="D15" i="4"/>
  <c r="E15" i="4" s="1"/>
  <c r="D5" i="4"/>
  <c r="E5" i="4" s="1"/>
  <c r="I29" i="1" s="1"/>
  <c r="B29" i="1" s="1"/>
  <c r="B50" i="1" s="1"/>
  <c r="L7" i="4"/>
  <c r="L8" i="4" s="1"/>
  <c r="J7" i="4"/>
  <c r="J8" i="4" s="1"/>
  <c r="I39" i="2" l="1"/>
  <c r="F61" i="3"/>
  <c r="F40" i="3"/>
  <c r="F27" i="5"/>
  <c r="F29" i="5"/>
  <c r="F65" i="5"/>
  <c r="F69" i="5"/>
  <c r="I49" i="2"/>
  <c r="I39" i="1"/>
  <c r="F26" i="5"/>
  <c r="F30" i="5"/>
  <c r="F70" i="5"/>
  <c r="F72" i="5"/>
  <c r="F35" i="3"/>
  <c r="F37" i="3"/>
  <c r="F39" i="3"/>
  <c r="F43" i="3"/>
  <c r="F45" i="3"/>
  <c r="F42" i="3"/>
  <c r="F44" i="3"/>
  <c r="F36" i="3"/>
  <c r="D30" i="1"/>
  <c r="C30" i="1"/>
  <c r="I31" i="1"/>
  <c r="I40" i="2"/>
  <c r="I36" i="1"/>
  <c r="I35" i="1"/>
  <c r="F32" i="1"/>
  <c r="E32" i="1"/>
  <c r="I42" i="2"/>
  <c r="B30" i="1"/>
  <c r="B51" i="1" s="1"/>
  <c r="F30" i="1"/>
  <c r="E30" i="1"/>
  <c r="I34" i="1"/>
  <c r="I37" i="1"/>
  <c r="I47" i="2"/>
  <c r="F33" i="1"/>
  <c r="B33" i="1"/>
  <c r="B54" i="1" s="1"/>
  <c r="D33" i="1"/>
  <c r="G33" i="1"/>
  <c r="H33" i="1"/>
  <c r="I43" i="2"/>
  <c r="F31" i="5"/>
  <c r="F33" i="5"/>
  <c r="F63" i="5"/>
  <c r="I38" i="1"/>
  <c r="F35" i="5"/>
  <c r="F67" i="5"/>
  <c r="F38" i="3"/>
  <c r="F41" i="3"/>
  <c r="G30" i="1"/>
  <c r="F36" i="5"/>
  <c r="F66" i="5"/>
  <c r="F71" i="5"/>
  <c r="B32" i="1"/>
  <c r="B53" i="1" s="1"/>
  <c r="E33" i="1"/>
  <c r="G32" i="1"/>
  <c r="H32" i="1"/>
  <c r="D32" i="1"/>
  <c r="H30" i="1"/>
  <c r="C38" i="1" l="1"/>
  <c r="C37" i="1"/>
  <c r="C39" i="1"/>
  <c r="B39" i="1"/>
  <c r="B60" i="1" s="1"/>
  <c r="J32" i="1"/>
  <c r="J30" i="1"/>
  <c r="J33" i="1"/>
  <c r="E29" i="1"/>
  <c r="F34" i="1"/>
  <c r="C34" i="1"/>
  <c r="F36" i="1"/>
  <c r="F51" i="1" s="1"/>
  <c r="C36" i="1"/>
  <c r="E31" i="1"/>
  <c r="C31" i="1"/>
  <c r="E35" i="1"/>
  <c r="C35" i="1"/>
  <c r="G35" i="1"/>
  <c r="H36" i="1"/>
  <c r="G36" i="1"/>
  <c r="E36" i="1"/>
  <c r="D35" i="1"/>
  <c r="D31" i="1"/>
  <c r="H35" i="1"/>
  <c r="D29" i="1"/>
  <c r="G31" i="1"/>
  <c r="H34" i="1"/>
  <c r="G34" i="1"/>
  <c r="F31" i="1"/>
  <c r="H31" i="1"/>
  <c r="D36" i="1"/>
  <c r="B31" i="1"/>
  <c r="B52" i="1" s="1"/>
  <c r="E34" i="1"/>
  <c r="F35" i="1"/>
  <c r="D34" i="1"/>
  <c r="B34" i="1"/>
  <c r="B55" i="1" s="1"/>
  <c r="D38" i="1"/>
  <c r="E38" i="1"/>
  <c r="F38" i="1"/>
  <c r="G38" i="1"/>
  <c r="F37" i="1"/>
  <c r="D37" i="1"/>
  <c r="E37" i="1"/>
  <c r="G37" i="1"/>
  <c r="H37" i="1"/>
  <c r="H29" i="1"/>
  <c r="C29" i="1"/>
  <c r="G29" i="1"/>
  <c r="H38" i="1"/>
  <c r="E39" i="1"/>
  <c r="G39" i="1"/>
  <c r="F39" i="1"/>
  <c r="F54" i="1" s="1"/>
  <c r="H39" i="1"/>
  <c r="D39" i="1"/>
  <c r="F29" i="1"/>
  <c r="I7" i="1"/>
  <c r="I8" i="1"/>
  <c r="I9" i="1"/>
  <c r="I10" i="1"/>
  <c r="I11" i="1"/>
  <c r="I12" i="1"/>
  <c r="I13" i="1"/>
  <c r="I14" i="1"/>
  <c r="I15" i="1"/>
  <c r="I16" i="1"/>
  <c r="B38" i="1" l="1"/>
  <c r="F53" i="1"/>
  <c r="B36" i="1"/>
  <c r="B57" i="1" s="1"/>
  <c r="B35" i="1"/>
  <c r="B56" i="1" s="1"/>
  <c r="F50" i="1"/>
  <c r="B37" i="1"/>
  <c r="F52" i="1"/>
  <c r="J39" i="1"/>
  <c r="J31" i="1"/>
  <c r="J29" i="1"/>
  <c r="J34" i="1"/>
  <c r="J36" i="1"/>
  <c r="J38" i="1" l="1"/>
  <c r="B59" i="1"/>
  <c r="J37" i="1"/>
  <c r="B58" i="1"/>
  <c r="J35" i="1"/>
  <c r="F64" i="1"/>
  <c r="F65" i="1" s="1"/>
  <c r="C9" i="3"/>
  <c r="D9" i="3" s="1"/>
  <c r="B70" i="1" l="1"/>
  <c r="B71" i="1" s="1"/>
  <c r="C11" i="3"/>
  <c r="D11" i="3" s="1"/>
  <c r="C10" i="3"/>
  <c r="D10" i="3" s="1"/>
  <c r="C12" i="3" l="1"/>
  <c r="D12" i="3" s="1"/>
  <c r="C13" i="3" l="1"/>
  <c r="D13" i="3" s="1"/>
  <c r="C14" i="3" l="1"/>
  <c r="D14" i="3" s="1"/>
  <c r="C15" i="3" l="1"/>
  <c r="D15" i="3" s="1"/>
  <c r="C16" i="3" l="1"/>
  <c r="D16" i="3" s="1"/>
  <c r="C18" i="3" l="1"/>
  <c r="D18" i="3" s="1"/>
  <c r="C17" i="3"/>
  <c r="D17" i="3" s="1"/>
  <c r="C19" i="3" l="1"/>
  <c r="D19" i="3" s="1"/>
  <c r="C20" i="3" l="1"/>
  <c r="D20" i="3" s="1"/>
  <c r="C21" i="3" l="1"/>
  <c r="D21" i="3" s="1"/>
  <c r="C22" i="3" l="1"/>
  <c r="D22" i="3" s="1"/>
  <c r="C23" i="3" l="1"/>
  <c r="D23" i="3" s="1"/>
  <c r="C24" i="3" l="1"/>
  <c r="D24" i="3" s="1"/>
  <c r="C25" i="3" l="1"/>
  <c r="D25" i="3" s="1"/>
  <c r="C27" i="3" l="1"/>
  <c r="D27" i="3" s="1"/>
  <c r="C26" i="3"/>
  <c r="D26" i="3" s="1"/>
  <c r="C28" i="3" l="1"/>
  <c r="D28" i="3" s="1"/>
  <c r="M9" i="3" l="1"/>
  <c r="N9" i="3" s="1"/>
  <c r="M10" i="3" l="1"/>
  <c r="N10" i="3" s="1"/>
  <c r="M11" i="3" l="1"/>
  <c r="N11" i="3" s="1"/>
  <c r="M12" i="3" l="1"/>
  <c r="N12" i="3" s="1"/>
  <c r="M13" i="3" l="1"/>
  <c r="N13" i="3" s="1"/>
  <c r="M14" i="3" l="1"/>
  <c r="N14" i="3" s="1"/>
  <c r="M15" i="3" l="1"/>
  <c r="N15" i="3" s="1"/>
  <c r="M16" i="3" l="1"/>
  <c r="N16" i="3" s="1"/>
  <c r="M17" i="3" l="1"/>
  <c r="N17" i="3" s="1"/>
  <c r="M18" i="3" l="1"/>
  <c r="N18" i="3" s="1"/>
  <c r="M19" i="3" l="1"/>
  <c r="N19" i="3" s="1"/>
  <c r="M20" i="3" l="1"/>
  <c r="N20" i="3" s="1"/>
  <c r="M21" i="3" l="1"/>
  <c r="N21" i="3" s="1"/>
  <c r="M22" i="3" l="1"/>
  <c r="N22" i="3" s="1"/>
  <c r="M23" i="3" l="1"/>
  <c r="N23" i="3" s="1"/>
  <c r="M24" i="3" l="1"/>
  <c r="N24" i="3" s="1"/>
  <c r="M25" i="3" l="1"/>
  <c r="N25" i="3" s="1"/>
  <c r="M26" i="3" l="1"/>
  <c r="N26" i="3" s="1"/>
  <c r="M27" i="3" l="1"/>
  <c r="N27" i="3" s="1"/>
  <c r="M28" i="3" l="1"/>
  <c r="N28" i="3" s="1"/>
  <c r="H9" i="3" l="1"/>
  <c r="I9" i="3" s="1"/>
  <c r="I61" i="3" l="1"/>
  <c r="J61" i="3" s="1"/>
  <c r="H10" i="3"/>
  <c r="I10" i="3" s="1"/>
  <c r="I62" i="3" l="1"/>
  <c r="J62" i="3" s="1"/>
  <c r="H11" i="3"/>
  <c r="I11" i="3" s="1"/>
  <c r="I63" i="3" l="1"/>
  <c r="J63" i="3" s="1"/>
  <c r="H12" i="3"/>
  <c r="I12" i="3" s="1"/>
  <c r="I64" i="3" l="1"/>
  <c r="J64" i="3" s="1"/>
  <c r="H13" i="3"/>
  <c r="I13" i="3" s="1"/>
  <c r="I65" i="3" l="1"/>
  <c r="J65" i="3" s="1"/>
  <c r="H14" i="3"/>
  <c r="I14" i="3" s="1"/>
  <c r="I66" i="3" l="1"/>
  <c r="J66" i="3" s="1"/>
  <c r="H15" i="3"/>
  <c r="I15" i="3" s="1"/>
  <c r="I67" i="3" l="1"/>
  <c r="J67" i="3" s="1"/>
  <c r="H16" i="3"/>
  <c r="I16" i="3" s="1"/>
  <c r="I68" i="3" l="1"/>
  <c r="J68" i="3" s="1"/>
  <c r="H17" i="3"/>
  <c r="I17" i="3" s="1"/>
  <c r="I69" i="3" l="1"/>
  <c r="J69" i="3" s="1"/>
  <c r="H18" i="3"/>
  <c r="I18" i="3" s="1"/>
  <c r="I70" i="3" l="1"/>
  <c r="J70" i="3" s="1"/>
  <c r="H19" i="3"/>
  <c r="I19" i="3" s="1"/>
  <c r="I71" i="3" l="1"/>
  <c r="J71" i="3" s="1"/>
  <c r="H20" i="3"/>
  <c r="I20" i="3" s="1"/>
  <c r="I72" i="3" l="1"/>
  <c r="J72" i="3" s="1"/>
  <c r="H21" i="3"/>
  <c r="I21" i="3" s="1"/>
  <c r="I73" i="3" l="1"/>
  <c r="J73" i="3" s="1"/>
  <c r="H22" i="3"/>
  <c r="I22" i="3" s="1"/>
  <c r="I74" i="3" l="1"/>
  <c r="J74" i="3" s="1"/>
  <c r="H23" i="3"/>
  <c r="I23" i="3" s="1"/>
  <c r="I75" i="3" l="1"/>
  <c r="J75" i="3" s="1"/>
  <c r="H24" i="3"/>
  <c r="I24" i="3" s="1"/>
  <c r="I76" i="3" l="1"/>
  <c r="J76" i="3" s="1"/>
  <c r="H25" i="3"/>
  <c r="I25" i="3" s="1"/>
  <c r="I77" i="3" l="1"/>
  <c r="J77" i="3" s="1"/>
  <c r="H26" i="3"/>
  <c r="I26" i="3" s="1"/>
  <c r="I78" i="3" l="1"/>
  <c r="J78" i="3" s="1"/>
  <c r="H27" i="3"/>
  <c r="I27" i="3" s="1"/>
  <c r="I79" i="3" l="1"/>
  <c r="J79" i="3" s="1"/>
  <c r="H28" i="3"/>
  <c r="I28" i="3" s="1"/>
  <c r="I80" i="3" l="1"/>
  <c r="J80" i="3" s="1"/>
</calcChain>
</file>

<file path=xl/comments1.xml><?xml version="1.0" encoding="utf-8"?>
<comments xmlns="http://schemas.openxmlformats.org/spreadsheetml/2006/main">
  <authors>
    <author>Iwied</author>
  </authors>
  <commentList>
    <comment ref="F5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Mengurangi jumlah sampah yang masuk ke TPA melalui Kegiatan 3R sebesar 2% dari sampah yang masuk ke TPA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Iwied:</t>
        </r>
        <r>
          <rPr>
            <sz val="9"/>
            <color indexed="81"/>
            <rFont val="Tahoma"/>
            <family val="2"/>
          </rPr>
          <t xml:space="preserve">
Belum masuk dalam perhitungan</t>
        </r>
      </text>
    </comment>
  </commentList>
</comments>
</file>

<file path=xl/sharedStrings.xml><?xml version="1.0" encoding="utf-8"?>
<sst xmlns="http://schemas.openxmlformats.org/spreadsheetml/2006/main" count="303" uniqueCount="157">
  <si>
    <t>Fraksi Pengelolaan Sampah (%)</t>
  </si>
  <si>
    <t>Diangkut ke TPA</t>
  </si>
  <si>
    <t>Open dumping</t>
  </si>
  <si>
    <t>kompos</t>
  </si>
  <si>
    <t>Dibakar</t>
  </si>
  <si>
    <t>Dibuang ke sungai</t>
  </si>
  <si>
    <t>Dibuang semba- rangan</t>
  </si>
  <si>
    <t>Lainnya</t>
  </si>
  <si>
    <t>tahun</t>
  </si>
  <si>
    <t>total</t>
  </si>
  <si>
    <t>Tahun</t>
  </si>
  <si>
    <t>timbulan sampah</t>
  </si>
  <si>
    <t>kg/kapita/hari</t>
  </si>
  <si>
    <t>ton/tahun</t>
  </si>
  <si>
    <t>Giga gram/tahun</t>
  </si>
  <si>
    <t>1000 kg = 1 ton</t>
  </si>
  <si>
    <t>1 000 ton = 1 Gg (Giga gram)</t>
  </si>
  <si>
    <t>catatan</t>
  </si>
  <si>
    <t>kg sampah tercampur/hari/unit</t>
  </si>
  <si>
    <t>membagun TPA</t>
  </si>
  <si>
    <t>ton  sampah tercampur/hari/unit</t>
  </si>
  <si>
    <t>aksi mitigasi persampahan</t>
  </si>
  <si>
    <t>recovery metan</t>
  </si>
  <si>
    <t>kg CH4/hari/unit</t>
  </si>
  <si>
    <t xml:space="preserve">Asumsi pengurangan ke TPA </t>
  </si>
  <si>
    <t xml:space="preserve">komposting </t>
  </si>
  <si>
    <t>di daur ulang</t>
  </si>
  <si>
    <t>kg/hari/unit</t>
  </si>
  <si>
    <t xml:space="preserve">residu dan dibuang ke TPA </t>
  </si>
  <si>
    <t>SUBTOTAL</t>
  </si>
  <si>
    <t>ton/tahun/unit - dikompos</t>
  </si>
  <si>
    <t xml:space="preserve">ton/tahun/unit - pengurangan sampah </t>
  </si>
  <si>
    <t>-</t>
  </si>
  <si>
    <t xml:space="preserve">densitas sampah : </t>
  </si>
  <si>
    <t>250 kg/m3 di sumber</t>
  </si>
  <si>
    <t>750 kg/m3 di TPA</t>
  </si>
  <si>
    <t xml:space="preserve">laju timbulan sampah : </t>
  </si>
  <si>
    <t xml:space="preserve"> L/kapita/hari</t>
  </si>
  <si>
    <t>ton/kap/th</t>
  </si>
  <si>
    <t>total timbulan sampah (Gg/tahun)</t>
  </si>
  <si>
    <t xml:space="preserve">I. </t>
  </si>
  <si>
    <t xml:space="preserve">II. </t>
  </si>
  <si>
    <t xml:space="preserve">Membangun 1  TPST berbasis institusi asumsinya : </t>
  </si>
  <si>
    <t>Membangun TPS T3R berbasis masyarakat</t>
  </si>
  <si>
    <t>ton/tahun/unit - daur ulang pengurangan sampah nol emisi</t>
  </si>
  <si>
    <t>KATAGORI AKSI</t>
  </si>
  <si>
    <t>DESKRIPSI</t>
  </si>
  <si>
    <t>Peningkatan FasiIitas Pemrosesan Akhir sampah</t>
  </si>
  <si>
    <t xml:space="preserve">Pelaksanaan kegiatan 3R </t>
  </si>
  <si>
    <t xml:space="preserve">Rehabilitasi TPA menjadi TPA semi-aerobik. </t>
  </si>
  <si>
    <t xml:space="preserve">Mengoperasikan TPA baru </t>
  </si>
  <si>
    <t>membangun TPST (dana dari institusi/pemerintah)</t>
  </si>
  <si>
    <t> membangun TPST /TPS 3R dana dari masyarakat)</t>
  </si>
  <si>
    <t>volume sampah tertangani</t>
  </si>
  <si>
    <t xml:space="preserve">jumlah sarana  yang dibangun </t>
  </si>
  <si>
    <t xml:space="preserve">1. Merubah nilai MCF pada perhitungan emisi CH4 dari TPA </t>
  </si>
  <si>
    <t xml:space="preserve">2. Menyesuaikan perubahan fraksi jenis TPA </t>
  </si>
  <si>
    <t>isi dengan volume gas metan yg direcovery</t>
  </si>
  <si>
    <t>recovery metan di TPA Anaeobik</t>
  </si>
  <si>
    <t xml:space="preserve">isi dengan volume sam pah yg akan dikelola di TPA baru </t>
  </si>
  <si>
    <t>Mengis data metan yang akan direcovery</t>
  </si>
  <si>
    <t>Menyesuaikan perubahan fraksi jenis TPA</t>
  </si>
  <si>
    <t>Menyesuaikan nilai MCF sesuai jenis TPA</t>
  </si>
  <si>
    <t>prinsip  perhitungan emisi menggunakan metoda IPCC</t>
  </si>
  <si>
    <t>Deskripsi aksi mitigasi yang dipilih</t>
  </si>
  <si>
    <t>perubahan pada fraksi pengelolaan sampah, Menambah angka  volume sampah yang masuk ke TPA</t>
  </si>
  <si>
    <t>perubahan pada fraksi pengelolaan sampah, Menambah angka  volume sampah yang dikompos</t>
  </si>
  <si>
    <t>PERUBAHAN PADA FRAKSI DISTRIBUSI PENGELOLAAN SAMPAH</t>
  </si>
  <si>
    <t>VOLUME SAMPAH YANG DIKELOLA DARI AKSI MITIGASI (SELISIH TERHADAP BaU)</t>
  </si>
  <si>
    <t>isi dengan volume sampah di TPA tsb</t>
  </si>
  <si>
    <t xml:space="preserve">isi dengan volume sampah di TPA-TPA  baru </t>
  </si>
  <si>
    <t>dalam contoh perhitungan diambil 15.000 ton/tahun</t>
  </si>
  <si>
    <t xml:space="preserve">sampah yang dikompos = jumlah TPST x 15000 ton/tahun               atau         jumlah TPS 3R x  900 ton/tahun </t>
  </si>
  <si>
    <t>PERUBAHAN FRAKSI PENGELOLAAN SAMPAH PADA SKENARIO MITIGASI</t>
  </si>
  <si>
    <t>BaU + aksi mitigasi</t>
  </si>
  <si>
    <t>BaU - aksi mitigasi</t>
  </si>
  <si>
    <t xml:space="preserve">prosentase  menyesuaikan ke perubahan fraksi volume sampah </t>
  </si>
  <si>
    <t>sampah yang dikelola (Gg/tahun)</t>
  </si>
  <si>
    <t xml:space="preserve">Menyesuaiakn dengan pengurangan dari sampah yang dikompos dan yang didaur ulang. Catatan : Sampah yang didaur ulang dalam 1 TPST = 2740 ton/hari. Sampah yang didaur ulang dalam 1 TPS 3R  = 164  ton/hari. </t>
  </si>
  <si>
    <t>Rekapitulasi   BaU Baseline Emisi GRK dari Pengomposan Sampah</t>
  </si>
  <si>
    <t xml:space="preserve"> Emisi GRK dari komposting </t>
  </si>
  <si>
    <r>
      <t>Emisi CH</t>
    </r>
    <r>
      <rPr>
        <vertAlign val="subscript"/>
        <sz val="9"/>
        <color indexed="9"/>
        <rFont val="Calibri"/>
        <family val="2"/>
      </rPr>
      <t>4</t>
    </r>
  </si>
  <si>
    <r>
      <t>Emisi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</si>
  <si>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r>
      <t>Total 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</si>
  <si>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CH</t>
    </r>
    <r>
      <rPr>
        <vertAlign val="subscript"/>
        <sz val="9"/>
        <color indexed="9"/>
        <rFont val="Calibri"/>
        <family val="2"/>
      </rPr>
      <t>4</t>
    </r>
  </si>
  <si>
    <r>
      <t>Gg CO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eq</t>
    </r>
  </si>
  <si>
    <r>
      <t>Gg N</t>
    </r>
    <r>
      <rPr>
        <vertAlign val="subscript"/>
        <sz val="9"/>
        <color indexed="9"/>
        <rFont val="Calibri"/>
        <family val="2"/>
      </rPr>
      <t>2</t>
    </r>
    <r>
      <rPr>
        <sz val="9"/>
        <color indexed="9"/>
        <rFont val="Calibri"/>
        <family val="2"/>
      </rPr>
      <t>O</t>
    </r>
  </si>
  <si>
    <t xml:space="preserve"> Rekapitulasi BaU Baseline Emisi GRK dari Aktifitas Pembakaran Terbuka </t>
  </si>
  <si>
    <t xml:space="preserve"> Emisi GRK Dari Pembakaran Sampah</t>
  </si>
  <si>
    <r>
      <t>Emisi CO</t>
    </r>
    <r>
      <rPr>
        <vertAlign val="subscript"/>
        <sz val="9"/>
        <color indexed="9"/>
        <rFont val="Calibri"/>
        <family val="2"/>
      </rPr>
      <t>2</t>
    </r>
  </si>
  <si>
    <r>
      <t>Gg CO</t>
    </r>
    <r>
      <rPr>
        <vertAlign val="subscript"/>
        <sz val="9"/>
        <color indexed="9"/>
        <rFont val="Calibri"/>
        <family val="2"/>
      </rPr>
      <t>2</t>
    </r>
  </si>
  <si>
    <t>Rekapitulasi   BaU Baseline Emisi GRK dari Pengelolaan Air Limbah Domestik</t>
  </si>
  <si>
    <r>
      <t>Emisi CH</t>
    </r>
    <r>
      <rPr>
        <vertAlign val="subscript"/>
        <sz val="9"/>
        <rFont val="Calibri"/>
        <family val="2"/>
      </rPr>
      <t>4</t>
    </r>
  </si>
  <si>
    <r>
      <t>Emisi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</si>
  <si>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t>TOTAL</t>
  </si>
  <si>
    <r>
      <t>Gg CH</t>
    </r>
    <r>
      <rPr>
        <vertAlign val="subscript"/>
        <sz val="9"/>
        <rFont val="Calibri"/>
        <family val="2"/>
      </rPr>
      <t>4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</si>
  <si>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CH</t>
    </r>
    <r>
      <rPr>
        <vertAlign val="subscript"/>
        <sz val="9"/>
        <rFont val="Calibri"/>
        <family val="2"/>
      </rPr>
      <t>4</t>
    </r>
    <r>
      <rPr>
        <sz val="9"/>
        <rFont val="Calibri"/>
        <family val="2"/>
      </rPr>
      <t>)</t>
    </r>
  </si>
  <si>
    <r>
      <t>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</si>
  <si>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konversi dari Gg N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O)</t>
    </r>
  </si>
  <si>
    <r>
      <t>Gg CO</t>
    </r>
    <r>
      <rPr>
        <vertAlign val="subscript"/>
        <sz val="9"/>
        <rFont val="Calibri"/>
        <family val="2"/>
      </rPr>
      <t>2</t>
    </r>
    <r>
      <rPr>
        <sz val="9"/>
        <rFont val="Calibri"/>
        <family val="2"/>
      </rPr>
      <t>eq (hasil perjum-lahan)</t>
    </r>
  </si>
  <si>
    <t>A</t>
  </si>
  <si>
    <t>B</t>
  </si>
  <si>
    <t>C</t>
  </si>
  <si>
    <t>D</t>
  </si>
  <si>
    <t>E</t>
  </si>
  <si>
    <t>B = A x 21</t>
  </si>
  <si>
    <t>D = C x 310</t>
  </si>
  <si>
    <t>E = B+D</t>
  </si>
  <si>
    <t>Rekapitulasi   BaU Baseline Emisi GRK dari Penimbunan Sampah</t>
  </si>
  <si>
    <t xml:space="preserve"> Emisi GRK TPA+TERHAMPAR+BADAN AIR (BILA PERHITUNGANNYA DISATUKAN)</t>
  </si>
  <si>
    <t xml:space="preserve"> Emisi GRK dari sampah terhampar sembarangan</t>
  </si>
  <si>
    <t xml:space="preserve"> Emisi GRK dari sampah ditimbun di lubang</t>
  </si>
  <si>
    <t xml:space="preserve"> Emisi GRK dari sampah dibuang ke badan air</t>
  </si>
  <si>
    <t>atau</t>
  </si>
  <si>
    <t>dan</t>
  </si>
  <si>
    <t>REKAPITULASI EMISI GRK SETELAH MITIGASI</t>
  </si>
  <si>
    <t>REKAPITULASI EMISI GRK BaU BASELINE</t>
  </si>
  <si>
    <t xml:space="preserve"> Emisi GRK TPA</t>
  </si>
  <si>
    <t>ton/kapita/tahun</t>
  </si>
  <si>
    <t xml:space="preserve">TPA </t>
  </si>
  <si>
    <t>TPS 3 R</t>
  </si>
  <si>
    <t>TPST</t>
  </si>
  <si>
    <t>ton/unit/tahun</t>
  </si>
  <si>
    <t>KOTA BALIKPAPAN</t>
  </si>
  <si>
    <t xml:space="preserve">Jumlah Penduduk </t>
  </si>
  <si>
    <t>Rekapitulasi BAU Baseline Emisi GRK dari Penimbunan Sampah</t>
  </si>
  <si>
    <t>Rekapitulasi BaU Baseline Emisi GRK dari Pengomposan Sampah</t>
  </si>
  <si>
    <t>Dibuang sembarangan</t>
  </si>
  <si>
    <r>
      <t>Emisi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</si>
  <si>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Total 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</si>
  <si>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Gg CH</t>
    </r>
    <r>
      <rPr>
        <vertAlign val="subscript"/>
        <sz val="11"/>
        <color indexed="9"/>
        <rFont val="Calibri"/>
        <family val="2"/>
        <scheme val="minor"/>
      </rPr>
      <t>4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</si>
  <si>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eq</t>
    </r>
  </si>
  <si>
    <r>
      <t>Emisi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</si>
  <si>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Gg N</t>
    </r>
    <r>
      <rPr>
        <vertAlign val="subscript"/>
        <sz val="11"/>
        <color indexed="9"/>
        <rFont val="Calibri"/>
        <family val="2"/>
        <scheme val="minor"/>
      </rPr>
      <t>2</t>
    </r>
    <r>
      <rPr>
        <sz val="11"/>
        <color indexed="9"/>
        <rFont val="Calibri"/>
        <family val="2"/>
        <scheme val="minor"/>
      </rPr>
      <t>O</t>
    </r>
  </si>
  <si>
    <r>
      <t>Emisi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</si>
  <si>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Gg CO</t>
    </r>
    <r>
      <rPr>
        <vertAlign val="subscript"/>
        <sz val="11"/>
        <color indexed="9"/>
        <rFont val="Calibri"/>
        <family val="2"/>
        <scheme val="minor"/>
      </rPr>
      <t>2</t>
    </r>
  </si>
  <si>
    <r>
      <t>Emisi CH</t>
    </r>
    <r>
      <rPr>
        <vertAlign val="subscript"/>
        <sz val="11"/>
        <rFont val="Calibri"/>
        <family val="2"/>
        <scheme val="minor"/>
      </rPr>
      <t>4</t>
    </r>
  </si>
  <si>
    <r>
      <t>Emisi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</si>
  <si>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CH</t>
    </r>
    <r>
      <rPr>
        <vertAlign val="subscript"/>
        <sz val="11"/>
        <rFont val="Calibri"/>
        <family val="2"/>
        <scheme val="minor"/>
      </rPr>
      <t>4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</si>
  <si>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CH</t>
    </r>
    <r>
      <rPr>
        <vertAlign val="subscript"/>
        <sz val="11"/>
        <rFont val="Calibri"/>
        <family val="2"/>
        <scheme val="minor"/>
      </rPr>
      <t>4</t>
    </r>
    <r>
      <rPr>
        <sz val="11"/>
        <rFont val="Calibri"/>
        <family val="2"/>
        <scheme val="minor"/>
      </rPr>
      <t>)</t>
    </r>
  </si>
  <si>
    <r>
      <t>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</si>
  <si>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konversi dari Gg N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O)</t>
    </r>
  </si>
  <si>
    <r>
      <t>Gg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</si>
  <si>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Rekapitulasi BAU Baseline Emisi GRK dari Pengelolaan Air Limbah Domestik</t>
  </si>
  <si>
    <r>
      <t>Emisi CO</t>
    </r>
    <r>
      <rPr>
        <vertAlign val="subscript"/>
        <sz val="11"/>
        <rFont val="Calibri"/>
        <family val="2"/>
        <scheme val="minor"/>
      </rPr>
      <t>2</t>
    </r>
  </si>
  <si>
    <r>
      <t>Gg CO</t>
    </r>
    <r>
      <rPr>
        <vertAlign val="subscript"/>
        <sz val="11"/>
        <rFont val="Calibri"/>
        <family val="2"/>
        <scheme val="minor"/>
      </rPr>
      <t>2</t>
    </r>
  </si>
  <si>
    <t>ton CO2</t>
  </si>
  <si>
    <r>
      <t>ton CO</t>
    </r>
    <r>
      <rPr>
        <vertAlign val="sub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eq (hasil perjumlahan)</t>
    </r>
  </si>
  <si>
    <t>Kompos</t>
  </si>
  <si>
    <t>Total timbulan sampah (Gg/tahun)</t>
  </si>
  <si>
    <t>kg CH4</t>
  </si>
  <si>
    <t>Emisi GRK dari Limbah Cair Industri Sawit</t>
  </si>
  <si>
    <t>KABUPATEN PASER</t>
  </si>
  <si>
    <t>KONDISI MITIGASI</t>
  </si>
  <si>
    <t>AM1: Meningkatkan jumlah sampah yang diangkut ke TPA dan mengurangi jumlah fraksi lainnya</t>
  </si>
  <si>
    <t xml:space="preserve">3R </t>
  </si>
  <si>
    <t xml:space="preserve"> Emisi GRK dari sampah yang dilakukan 3R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</si>
</sst>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#,##0.0000"/>
    <numFmt numFmtId="165" formatCode="0.0000"/>
    <numFmt numFmtId="166" formatCode="0.00000"/>
    <numFmt numFmtId="167" formatCode="0.000000"/>
    <numFmt numFmtId="168" formatCode="_-* #,##0_-;\-* #,##0_-;_-* &quot;-&quot;??_-;_-@_-"/>
    <numFmt numFmtId="169" formatCode="_-* #,##0.000_-;\-* #,##0.000_-;_-* &quot;-&quot;??_-;_-@_-"/>
    <numFmt numFmtId="170" formatCode="_-* #,##0.0000_-;\-* #,##0.0000_-;_-* &quot;-&quot;??_-;_-@_-"/>
    <numFmt numFmtId="171" formatCode="0.0%"/>
  </numFmts>
  <fonts count="61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Arial"/>
      <family val="2"/>
    </font>
    <font>
      <sz val="9"/>
      <color theme="0"/>
      <name val="Calibri"/>
      <family val="2"/>
    </font>
    <font>
      <b/>
      <sz val="10"/>
      <color rgb="FFFFFFFF"/>
      <name val="Calibri"/>
      <family val="2"/>
    </font>
    <font>
      <sz val="10"/>
      <color theme="1"/>
      <name val="Calibri"/>
      <family val="2"/>
    </font>
    <font>
      <sz val="16"/>
      <color theme="0"/>
      <name val="Calibri"/>
      <family val="2"/>
      <charset val="1"/>
      <scheme val="minor"/>
    </font>
    <font>
      <sz val="9"/>
      <color rgb="FF000000"/>
      <name val="Lucida Sans Unicode"/>
      <family val="2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6"/>
      <name val="Calibri"/>
      <family val="2"/>
      <charset val="1"/>
      <scheme val="minor"/>
    </font>
    <font>
      <sz val="14"/>
      <name val="Calibri"/>
      <family val="2"/>
      <charset val="1"/>
      <scheme val="minor"/>
    </font>
    <font>
      <vertAlign val="subscript"/>
      <sz val="9"/>
      <color indexed="9"/>
      <name val="Calibri"/>
      <family val="2"/>
    </font>
    <font>
      <sz val="9"/>
      <color indexed="9"/>
      <name val="Calibri"/>
      <family val="2"/>
    </font>
    <font>
      <sz val="9"/>
      <name val="Calibri"/>
      <family val="2"/>
    </font>
    <font>
      <sz val="9"/>
      <name val="Arial"/>
      <family val="2"/>
    </font>
    <font>
      <b/>
      <sz val="10"/>
      <color rgb="FFC00000"/>
      <name val="Arial"/>
      <family val="2"/>
    </font>
    <font>
      <sz val="10"/>
      <name val="Calibri"/>
      <family val="2"/>
    </font>
    <font>
      <b/>
      <sz val="10"/>
      <color rgb="FF0070C0"/>
      <name val="Arial"/>
      <family val="2"/>
    </font>
    <font>
      <vertAlign val="subscript"/>
      <sz val="9"/>
      <name val="Calibri"/>
      <family val="2"/>
    </font>
    <font>
      <b/>
      <sz val="9"/>
      <name val="Calibri"/>
      <family val="2"/>
    </font>
    <font>
      <sz val="10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C00000"/>
      <name val="Calibri"/>
      <family val="2"/>
    </font>
    <font>
      <sz val="11"/>
      <color rgb="FFC00000"/>
      <name val="Calibri"/>
      <family val="2"/>
      <charset val="1"/>
      <scheme val="minor"/>
    </font>
    <font>
      <b/>
      <sz val="10"/>
      <color rgb="FF00682F"/>
      <name val="Arial"/>
      <family val="2"/>
    </font>
    <font>
      <b/>
      <sz val="10"/>
      <color rgb="FF7030A0"/>
      <name val="Arial"/>
      <family val="2"/>
    </font>
    <font>
      <sz val="18"/>
      <color theme="0"/>
      <name val="Calibri"/>
      <family val="2"/>
      <charset val="1"/>
      <scheme val="minor"/>
    </font>
    <font>
      <sz val="18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vertAlign val="subscript"/>
      <sz val="11"/>
      <color indexed="9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00682F"/>
      <name val="Calibri"/>
      <family val="2"/>
      <scheme val="minor"/>
    </font>
    <font>
      <b/>
      <sz val="11"/>
      <color rgb="FF0070C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name val="Calibri"/>
      <family val="2"/>
      <charset val="1"/>
      <scheme val="minor"/>
    </font>
    <font>
      <sz val="10"/>
      <color theme="1"/>
      <name val="Calibri"/>
      <family val="2"/>
      <charset val="1"/>
      <scheme val="minor"/>
    </font>
    <font>
      <sz val="10"/>
      <color theme="0"/>
      <name val="Calibri"/>
      <family val="2"/>
      <charset val="1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Lucida Sans Unicode"/>
      <family val="2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charset val="1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DF0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39" fillId="0" borderId="0" applyFont="0" applyFill="0" applyBorder="0" applyAlignment="0" applyProtection="0"/>
    <xf numFmtId="9" fontId="39" fillId="0" borderId="0" applyFont="0" applyFill="0" applyBorder="0" applyAlignment="0" applyProtection="0"/>
  </cellStyleXfs>
  <cellXfs count="250">
    <xf numFmtId="0" fontId="0" fillId="0" borderId="0" xfId="0"/>
    <xf numFmtId="0" fontId="5" fillId="3" borderId="1" xfId="0" applyFont="1" applyFill="1" applyBorder="1" applyAlignment="1">
      <alignment horizontal="center" vertical="top" wrapText="1"/>
    </xf>
    <xf numFmtId="0" fontId="0" fillId="7" borderId="1" xfId="0" applyFill="1" applyBorder="1" applyAlignment="1">
      <alignment horizontal="center"/>
    </xf>
    <xf numFmtId="9" fontId="0" fillId="7" borderId="1" xfId="0" applyNumberFormat="1" applyFill="1" applyBorder="1" applyAlignment="1">
      <alignment horizontal="center"/>
    </xf>
    <xf numFmtId="0" fontId="0" fillId="0" borderId="0" xfId="0" applyFill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top" wrapText="1"/>
    </xf>
    <xf numFmtId="0" fontId="3" fillId="0" borderId="0" xfId="0" applyFont="1" applyFill="1" applyBorder="1"/>
    <xf numFmtId="0" fontId="8" fillId="0" borderId="0" xfId="0" applyFont="1"/>
    <xf numFmtId="0" fontId="0" fillId="0" borderId="0" xfId="0" applyAlignment="1">
      <alignment horizontal="right"/>
    </xf>
    <xf numFmtId="0" fontId="5" fillId="3" borderId="0" xfId="0" applyFont="1" applyFill="1" applyBorder="1" applyAlignment="1">
      <alignment horizontal="left" vertical="top" wrapText="1"/>
    </xf>
    <xf numFmtId="0" fontId="0" fillId="11" borderId="0" xfId="0" applyFill="1"/>
    <xf numFmtId="0" fontId="12" fillId="0" borderId="0" xfId="0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3" fontId="14" fillId="11" borderId="0" xfId="0" applyNumberFormat="1" applyFont="1" applyFill="1" applyBorder="1" applyAlignment="1">
      <alignment horizontal="center" vertical="top" wrapText="1"/>
    </xf>
    <xf numFmtId="3" fontId="14" fillId="11" borderId="0" xfId="0" quotePrefix="1" applyNumberFormat="1" applyFont="1" applyFill="1" applyBorder="1" applyAlignment="1">
      <alignment horizontal="center" vertical="top" wrapText="1"/>
    </xf>
    <xf numFmtId="0" fontId="11" fillId="11" borderId="0" xfId="0" applyFont="1" applyFill="1"/>
    <xf numFmtId="3" fontId="0" fillId="11" borderId="0" xfId="0" applyNumberFormat="1" applyFill="1"/>
    <xf numFmtId="0" fontId="0" fillId="11" borderId="0" xfId="0" quotePrefix="1" applyFill="1"/>
    <xf numFmtId="0" fontId="0" fillId="0" borderId="0" xfId="0" applyAlignment="1">
      <alignment vertical="top"/>
    </xf>
    <xf numFmtId="0" fontId="15" fillId="3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/>
    </xf>
    <xf numFmtId="0" fontId="16" fillId="8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vertical="top" wrapText="1"/>
    </xf>
    <xf numFmtId="0" fontId="9" fillId="3" borderId="1" xfId="0" applyFont="1" applyFill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8" fillId="12" borderId="1" xfId="0" applyFont="1" applyFill="1" applyBorder="1" applyAlignment="1">
      <alignment vertical="top" wrapText="1"/>
    </xf>
    <xf numFmtId="0" fontId="16" fillId="11" borderId="1" xfId="0" applyFont="1" applyFill="1" applyBorder="1" applyAlignment="1">
      <alignment vertical="top" wrapText="1"/>
    </xf>
    <xf numFmtId="0" fontId="7" fillId="5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9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2" fontId="0" fillId="0" borderId="0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 vertical="top"/>
    </xf>
    <xf numFmtId="0" fontId="4" fillId="2" borderId="11" xfId="0" applyFont="1" applyFill="1" applyBorder="1" applyAlignment="1">
      <alignment horizontal="center" vertical="top" wrapText="1"/>
    </xf>
    <xf numFmtId="0" fontId="23" fillId="0" borderId="1" xfId="0" applyFont="1" applyBorder="1" applyAlignment="1">
      <alignment horizontal="center"/>
    </xf>
    <xf numFmtId="2" fontId="24" fillId="0" borderId="1" xfId="0" applyNumberFormat="1" applyFont="1" applyBorder="1" applyAlignment="1">
      <alignment wrapText="1"/>
    </xf>
    <xf numFmtId="2" fontId="24" fillId="0" borderId="1" xfId="0" applyNumberFormat="1" applyFont="1" applyBorder="1" applyAlignment="1">
      <alignment vertical="top" wrapText="1"/>
    </xf>
    <xf numFmtId="2" fontId="24" fillId="0" borderId="1" xfId="0" applyNumberFormat="1" applyFont="1" applyBorder="1"/>
    <xf numFmtId="0" fontId="25" fillId="0" borderId="0" xfId="0" applyFont="1"/>
    <xf numFmtId="0" fontId="4" fillId="15" borderId="19" xfId="0" applyFont="1" applyFill="1" applyBorder="1" applyAlignment="1">
      <alignment horizontal="center" vertical="top"/>
    </xf>
    <xf numFmtId="0" fontId="4" fillId="15" borderId="20" xfId="0" applyFont="1" applyFill="1" applyBorder="1" applyAlignment="1">
      <alignment horizontal="center" vertical="top"/>
    </xf>
    <xf numFmtId="0" fontId="4" fillId="15" borderId="9" xfId="0" applyFont="1" applyFill="1" applyBorder="1" applyAlignment="1">
      <alignment horizontal="center" vertical="top"/>
    </xf>
    <xf numFmtId="0" fontId="4" fillId="15" borderId="10" xfId="0" applyFont="1" applyFill="1" applyBorder="1" applyAlignment="1">
      <alignment vertical="top"/>
    </xf>
    <xf numFmtId="0" fontId="4" fillId="15" borderId="11" xfId="0" applyFont="1" applyFill="1" applyBorder="1" applyAlignment="1">
      <alignment horizontal="center" vertical="top" wrapText="1"/>
    </xf>
    <xf numFmtId="0" fontId="24" fillId="0" borderId="1" xfId="0" applyFont="1" applyBorder="1" applyAlignment="1">
      <alignment wrapText="1"/>
    </xf>
    <xf numFmtId="0" fontId="24" fillId="0" borderId="1" xfId="0" applyFont="1" applyBorder="1"/>
    <xf numFmtId="0" fontId="26" fillId="0" borderId="0" xfId="0" applyFont="1" applyBorder="1" applyAlignment="1">
      <alignment horizontal="center"/>
    </xf>
    <xf numFmtId="0" fontId="3" fillId="0" borderId="0" xfId="0" applyFont="1" applyBorder="1" applyAlignment="1">
      <alignment wrapText="1"/>
    </xf>
    <xf numFmtId="0" fontId="3" fillId="0" borderId="0" xfId="0" applyFont="1" applyBorder="1"/>
    <xf numFmtId="0" fontId="27" fillId="0" borderId="0" xfId="0" applyFont="1"/>
    <xf numFmtId="0" fontId="23" fillId="10" borderId="19" xfId="0" applyFont="1" applyFill="1" applyBorder="1" applyAlignment="1">
      <alignment horizontal="center" vertical="top" wrapText="1"/>
    </xf>
    <xf numFmtId="0" fontId="23" fillId="10" borderId="9" xfId="0" applyFont="1" applyFill="1" applyBorder="1" applyAlignment="1">
      <alignment horizontal="center" vertical="top" wrapText="1"/>
    </xf>
    <xf numFmtId="0" fontId="29" fillId="13" borderId="9" xfId="0" applyFont="1" applyFill="1" applyBorder="1" applyAlignment="1">
      <alignment horizontal="center" vertical="top" wrapText="1"/>
    </xf>
    <xf numFmtId="0" fontId="23" fillId="16" borderId="10" xfId="0" applyFont="1" applyFill="1" applyBorder="1" applyAlignment="1">
      <alignment horizontal="center" vertical="top" wrapText="1"/>
    </xf>
    <xf numFmtId="0" fontId="23" fillId="10" borderId="10" xfId="0" applyFont="1" applyFill="1" applyBorder="1" applyAlignment="1">
      <alignment horizontal="center" vertical="top" wrapText="1"/>
    </xf>
    <xf numFmtId="0" fontId="23" fillId="13" borderId="10" xfId="0" applyFont="1" applyFill="1" applyBorder="1" applyAlignment="1">
      <alignment horizontal="center" vertical="top" wrapText="1"/>
    </xf>
    <xf numFmtId="0" fontId="30" fillId="16" borderId="10" xfId="0" applyFont="1" applyFill="1" applyBorder="1" applyAlignment="1">
      <alignment horizontal="center" vertical="top" wrapText="1"/>
    </xf>
    <xf numFmtId="0" fontId="30" fillId="10" borderId="3" xfId="0" applyFont="1" applyFill="1" applyBorder="1" applyAlignment="1">
      <alignment horizontal="center" vertical="top" wrapText="1"/>
    </xf>
    <xf numFmtId="0" fontId="30" fillId="10" borderId="10" xfId="0" applyFont="1" applyFill="1" applyBorder="1" applyAlignment="1">
      <alignment horizontal="center" vertical="top" wrapText="1"/>
    </xf>
    <xf numFmtId="0" fontId="31" fillId="13" borderId="10" xfId="0" applyFont="1" applyFill="1" applyBorder="1" applyAlignment="1">
      <alignment horizontal="center" vertical="top" wrapText="1"/>
    </xf>
    <xf numFmtId="0" fontId="30" fillId="16" borderId="11" xfId="0" applyFont="1" applyFill="1" applyBorder="1" applyAlignment="1">
      <alignment horizontal="center" wrapText="1"/>
    </xf>
    <xf numFmtId="0" fontId="30" fillId="10" borderId="2" xfId="0" applyFont="1" applyFill="1" applyBorder="1" applyAlignment="1">
      <alignment horizontal="center" vertical="top" wrapText="1"/>
    </xf>
    <xf numFmtId="0" fontId="30" fillId="10" borderId="11" xfId="0" applyFont="1" applyFill="1" applyBorder="1" applyAlignment="1">
      <alignment horizontal="center" wrapText="1"/>
    </xf>
    <xf numFmtId="0" fontId="31" fillId="13" borderId="11" xfId="0" applyFont="1" applyFill="1" applyBorder="1" applyAlignment="1">
      <alignment horizontal="center" vertical="top" wrapText="1"/>
    </xf>
    <xf numFmtId="0" fontId="32" fillId="0" borderId="1" xfId="0" applyFont="1" applyBorder="1" applyAlignment="1">
      <alignment horizontal="right" vertical="top" wrapText="1"/>
    </xf>
    <xf numFmtId="2" fontId="32" fillId="0" borderId="1" xfId="0" applyNumberFormat="1" applyFont="1" applyBorder="1" applyAlignment="1">
      <alignment horizontal="right" vertical="top" wrapText="1"/>
    </xf>
    <xf numFmtId="0" fontId="4" fillId="0" borderId="0" xfId="0" applyFont="1" applyFill="1" applyBorder="1" applyAlignment="1">
      <alignment horizontal="center" vertical="top"/>
    </xf>
    <xf numFmtId="2" fontId="24" fillId="0" borderId="0" xfId="0" applyNumberFormat="1" applyFont="1" applyFill="1" applyBorder="1" applyAlignment="1">
      <alignment vertical="top" wrapText="1"/>
    </xf>
    <xf numFmtId="0" fontId="33" fillId="0" borderId="0" xfId="0" applyFont="1" applyFill="1" applyBorder="1" applyAlignment="1">
      <alignment horizontal="center" vertical="top"/>
    </xf>
    <xf numFmtId="0" fontId="34" fillId="0" borderId="0" xfId="0" applyFont="1" applyAlignment="1">
      <alignment horizontal="center" vertical="top"/>
    </xf>
    <xf numFmtId="0" fontId="35" fillId="0" borderId="0" xfId="0" applyFont="1"/>
    <xf numFmtId="0" fontId="4" fillId="17" borderId="1" xfId="0" applyFont="1" applyFill="1" applyBorder="1" applyAlignment="1">
      <alignment horizontal="center" vertical="top" wrapText="1"/>
    </xf>
    <xf numFmtId="0" fontId="36" fillId="0" borderId="0" xfId="0" applyFont="1"/>
    <xf numFmtId="0" fontId="37" fillId="3" borderId="0" xfId="0" applyFont="1" applyFill="1"/>
    <xf numFmtId="0" fontId="38" fillId="3" borderId="0" xfId="0" applyFont="1" applyFill="1"/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0" fillId="11" borderId="0" xfId="0" applyFill="1" applyAlignment="1">
      <alignment vertical="center"/>
    </xf>
    <xf numFmtId="0" fontId="0" fillId="8" borderId="1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0" fillId="9" borderId="0" xfId="0" quotePrefix="1" applyFill="1" applyAlignment="1">
      <alignment horizontal="center" vertical="center"/>
    </xf>
    <xf numFmtId="2" fontId="0" fillId="9" borderId="0" xfId="0" applyNumberFormat="1" applyFill="1" applyAlignment="1">
      <alignment horizontal="center" vertical="center"/>
    </xf>
    <xf numFmtId="2" fontId="0" fillId="9" borderId="0" xfId="0" quotePrefix="1" applyNumberFormat="1" applyFill="1" applyAlignment="1">
      <alignment horizontal="center" vertical="center"/>
    </xf>
    <xf numFmtId="0" fontId="0" fillId="6" borderId="0" xfId="0" applyFill="1" applyAlignment="1">
      <alignment vertical="center"/>
    </xf>
    <xf numFmtId="0" fontId="0" fillId="0" borderId="1" xfId="0" applyBorder="1" applyAlignment="1">
      <alignment horizontal="center" vertical="center"/>
    </xf>
    <xf numFmtId="168" fontId="0" fillId="8" borderId="1" xfId="1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 wrapText="1"/>
    </xf>
    <xf numFmtId="3" fontId="5" fillId="0" borderId="0" xfId="0" quotePrefix="1" applyNumberFormat="1" applyFont="1" applyFill="1" applyBorder="1" applyAlignment="1">
      <alignment horizontal="center" vertical="center" wrapText="1"/>
    </xf>
    <xf numFmtId="3" fontId="5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40" fillId="0" borderId="0" xfId="0" applyFont="1" applyAlignment="1">
      <alignment horizontal="center" vertical="center"/>
    </xf>
    <xf numFmtId="166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166" fontId="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vertical="center" wrapText="1"/>
    </xf>
    <xf numFmtId="0" fontId="41" fillId="0" borderId="0" xfId="0" applyFont="1" applyBorder="1" applyAlignment="1">
      <alignment vertical="center"/>
    </xf>
    <xf numFmtId="0" fontId="15" fillId="3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0" fontId="40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166" fontId="41" fillId="0" borderId="1" xfId="0" applyNumberFormat="1" applyFont="1" applyBorder="1" applyAlignment="1">
      <alignment vertical="center" wrapText="1"/>
    </xf>
    <xf numFmtId="166" fontId="41" fillId="0" borderId="1" xfId="0" applyNumberFormat="1" applyFont="1" applyBorder="1" applyAlignment="1">
      <alignment vertical="center"/>
    </xf>
    <xf numFmtId="2" fontId="41" fillId="0" borderId="0" xfId="0" applyNumberFormat="1" applyFont="1" applyFill="1" applyBorder="1" applyAlignment="1">
      <alignment vertical="center" wrapText="1"/>
    </xf>
    <xf numFmtId="165" fontId="41" fillId="0" borderId="1" xfId="0" applyNumberFormat="1" applyFont="1" applyBorder="1" applyAlignment="1">
      <alignment vertical="center" wrapText="1"/>
    </xf>
    <xf numFmtId="165" fontId="41" fillId="0" borderId="1" xfId="0" applyNumberFormat="1" applyFont="1" applyBorder="1" applyAlignment="1">
      <alignment vertical="center"/>
    </xf>
    <xf numFmtId="0" fontId="46" fillId="0" borderId="0" xfId="0" applyFont="1" applyAlignment="1">
      <alignment vertical="center"/>
    </xf>
    <xf numFmtId="0" fontId="41" fillId="0" borderId="1" xfId="0" applyFont="1" applyBorder="1" applyAlignment="1">
      <alignment vertical="center" wrapText="1"/>
    </xf>
    <xf numFmtId="2" fontId="41" fillId="0" borderId="1" xfId="0" applyNumberFormat="1" applyFont="1" applyBorder="1" applyAlignment="1">
      <alignment vertical="center" wrapText="1"/>
    </xf>
    <xf numFmtId="167" fontId="41" fillId="0" borderId="1" xfId="0" applyNumberFormat="1" applyFont="1" applyBorder="1" applyAlignment="1">
      <alignment vertical="center"/>
    </xf>
    <xf numFmtId="0" fontId="41" fillId="0" borderId="0" xfId="0" applyFont="1" applyBorder="1" applyAlignment="1">
      <alignment horizontal="center" vertical="center"/>
    </xf>
    <xf numFmtId="0" fontId="47" fillId="0" borderId="0" xfId="0" applyFont="1" applyAlignment="1">
      <alignment vertical="center"/>
    </xf>
    <xf numFmtId="43" fontId="41" fillId="0" borderId="1" xfId="1" applyFont="1" applyBorder="1" applyAlignment="1">
      <alignment vertical="center" wrapText="1"/>
    </xf>
    <xf numFmtId="170" fontId="41" fillId="0" borderId="1" xfId="1" applyNumberFormat="1" applyFont="1" applyBorder="1" applyAlignment="1">
      <alignment vertical="center" wrapText="1"/>
    </xf>
    <xf numFmtId="169" fontId="41" fillId="0" borderId="1" xfId="1" applyNumberFormat="1" applyFont="1" applyBorder="1" applyAlignment="1">
      <alignment vertical="center"/>
    </xf>
    <xf numFmtId="43" fontId="18" fillId="0" borderId="1" xfId="1" applyFont="1" applyBorder="1" applyAlignment="1">
      <alignment horizontal="right" vertical="center" wrapText="1"/>
    </xf>
    <xf numFmtId="170" fontId="18" fillId="0" borderId="1" xfId="1" applyNumberFormat="1" applyFont="1" applyBorder="1" applyAlignment="1">
      <alignment horizontal="right" vertical="center" wrapText="1"/>
    </xf>
    <xf numFmtId="43" fontId="41" fillId="0" borderId="1" xfId="1" applyNumberFormat="1" applyFont="1" applyBorder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43" fontId="41" fillId="8" borderId="1" xfId="1" applyNumberFormat="1" applyFont="1" applyFill="1" applyBorder="1" applyAlignment="1">
      <alignment vertical="center"/>
    </xf>
    <xf numFmtId="43" fontId="1" fillId="8" borderId="1" xfId="1" applyFont="1" applyFill="1" applyBorder="1" applyAlignment="1">
      <alignment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54" fillId="0" borderId="0" xfId="0" applyFont="1" applyAlignment="1">
      <alignment vertical="center"/>
    </xf>
    <xf numFmtId="0" fontId="53" fillId="18" borderId="1" xfId="0" applyFont="1" applyFill="1" applyBorder="1" applyAlignment="1">
      <alignment horizontal="center" vertical="center"/>
    </xf>
    <xf numFmtId="0" fontId="54" fillId="0" borderId="1" xfId="0" applyFont="1" applyBorder="1" applyAlignment="1">
      <alignment vertical="center"/>
    </xf>
    <xf numFmtId="164" fontId="1" fillId="8" borderId="21" xfId="0" applyNumberFormat="1" applyFont="1" applyFill="1" applyBorder="1" applyAlignment="1">
      <alignment vertical="center"/>
    </xf>
    <xf numFmtId="166" fontId="41" fillId="8" borderId="1" xfId="0" applyNumberFormat="1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right" vertical="center"/>
    </xf>
    <xf numFmtId="0" fontId="54" fillId="0" borderId="0" xfId="0" applyFont="1" applyFill="1" applyAlignment="1">
      <alignment vertical="center"/>
    </xf>
    <xf numFmtId="0" fontId="56" fillId="0" borderId="0" xfId="0" applyFont="1" applyAlignment="1">
      <alignment vertical="center"/>
    </xf>
    <xf numFmtId="0" fontId="57" fillId="0" borderId="0" xfId="0" applyFont="1" applyFill="1" applyAlignment="1">
      <alignment vertical="center"/>
    </xf>
    <xf numFmtId="0" fontId="54" fillId="7" borderId="1" xfId="0" applyFont="1" applyFill="1" applyBorder="1" applyAlignment="1">
      <alignment horizontal="center" vertical="center"/>
    </xf>
    <xf numFmtId="9" fontId="54" fillId="7" borderId="1" xfId="0" applyNumberFormat="1" applyFont="1" applyFill="1" applyBorder="1" applyAlignment="1">
      <alignment horizontal="center" vertical="center"/>
    </xf>
    <xf numFmtId="3" fontId="54" fillId="0" borderId="0" xfId="0" applyNumberFormat="1" applyFont="1" applyFill="1" applyAlignment="1">
      <alignment vertical="center"/>
    </xf>
    <xf numFmtId="0" fontId="54" fillId="0" borderId="0" xfId="0" quotePrefix="1" applyFont="1" applyFill="1" applyAlignment="1">
      <alignment vertical="center"/>
    </xf>
    <xf numFmtId="3" fontId="54" fillId="0" borderId="0" xfId="0" applyNumberFormat="1" applyFont="1" applyFill="1" applyAlignment="1">
      <alignment horizontal="center" vertical="center"/>
    </xf>
    <xf numFmtId="2" fontId="54" fillId="0" borderId="1" xfId="0" applyNumberFormat="1" applyFont="1" applyBorder="1" applyAlignment="1">
      <alignment horizontal="center" vertical="center"/>
    </xf>
    <xf numFmtId="2" fontId="54" fillId="8" borderId="1" xfId="0" applyNumberFormat="1" applyFont="1" applyFill="1" applyBorder="1" applyAlignment="1">
      <alignment horizontal="center" vertical="center"/>
    </xf>
    <xf numFmtId="2" fontId="59" fillId="8" borderId="1" xfId="0" applyNumberFormat="1" applyFont="1" applyFill="1" applyBorder="1" applyAlignment="1">
      <alignment horizontal="center" vertical="center"/>
    </xf>
    <xf numFmtId="2" fontId="54" fillId="0" borderId="1" xfId="0" applyNumberFormat="1" applyFont="1" applyFill="1" applyBorder="1" applyAlignment="1">
      <alignment horizontal="center" vertical="center"/>
    </xf>
    <xf numFmtId="2" fontId="54" fillId="0" borderId="0" xfId="0" applyNumberFormat="1" applyFont="1" applyAlignment="1">
      <alignment vertical="center"/>
    </xf>
    <xf numFmtId="168" fontId="54" fillId="0" borderId="1" xfId="1" applyNumberFormat="1" applyFont="1" applyBorder="1" applyAlignment="1">
      <alignment vertical="center"/>
    </xf>
    <xf numFmtId="0" fontId="41" fillId="16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18" fillId="16" borderId="1" xfId="0" applyFont="1" applyFill="1" applyBorder="1" applyAlignment="1">
      <alignment horizontal="center" vertical="center" wrapText="1"/>
    </xf>
    <xf numFmtId="0" fontId="18" fillId="10" borderId="1" xfId="0" applyFont="1" applyFill="1" applyBorder="1" applyAlignment="1">
      <alignment horizontal="center" vertical="center" wrapText="1"/>
    </xf>
    <xf numFmtId="0" fontId="50" fillId="13" borderId="1" xfId="0" applyFont="1" applyFill="1" applyBorder="1" applyAlignment="1">
      <alignment horizontal="center" vertical="center" wrapText="1"/>
    </xf>
    <xf numFmtId="0" fontId="15" fillId="15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 wrapText="1"/>
    </xf>
    <xf numFmtId="10" fontId="6" fillId="8" borderId="1" xfId="2" applyNumberFormat="1" applyFont="1" applyFill="1" applyBorder="1" applyAlignment="1">
      <alignment horizontal="center" vertical="center" wrapText="1"/>
    </xf>
    <xf numFmtId="10" fontId="0" fillId="19" borderId="0" xfId="2" applyNumberFormat="1" applyFont="1" applyFill="1" applyAlignment="1">
      <alignment vertical="center"/>
    </xf>
    <xf numFmtId="0" fontId="60" fillId="8" borderId="0" xfId="0" applyFont="1" applyFill="1" applyAlignment="1">
      <alignment vertical="center" wrapText="1"/>
    </xf>
    <xf numFmtId="43" fontId="41" fillId="8" borderId="1" xfId="1" applyFont="1" applyFill="1" applyBorder="1" applyAlignment="1">
      <alignment vertical="center" wrapText="1"/>
    </xf>
    <xf numFmtId="43" fontId="41" fillId="0" borderId="1" xfId="1" applyFont="1" applyBorder="1" applyAlignment="1">
      <alignment vertical="center"/>
    </xf>
    <xf numFmtId="43" fontId="1" fillId="8" borderId="21" xfId="1" applyFont="1" applyFill="1" applyBorder="1" applyAlignment="1">
      <alignment vertical="center"/>
    </xf>
    <xf numFmtId="168" fontId="1" fillId="8" borderId="1" xfId="1" applyNumberFormat="1" applyFont="1" applyFill="1" applyBorder="1" applyAlignment="1">
      <alignment vertical="center" wrapText="1"/>
    </xf>
    <xf numFmtId="168" fontId="1" fillId="0" borderId="1" xfId="0" applyNumberFormat="1" applyFont="1" applyBorder="1" applyAlignment="1">
      <alignment vertical="center"/>
    </xf>
    <xf numFmtId="171" fontId="6" fillId="8" borderId="1" xfId="2" applyNumberFormat="1" applyFont="1" applyFill="1" applyBorder="1" applyAlignment="1">
      <alignment horizontal="center" vertical="center" wrapText="1"/>
    </xf>
    <xf numFmtId="0" fontId="14" fillId="20" borderId="1" xfId="0" applyFont="1" applyFill="1" applyBorder="1" applyAlignment="1">
      <alignment horizontal="center" vertical="center" wrapText="1"/>
    </xf>
    <xf numFmtId="2" fontId="54" fillId="20" borderId="1" xfId="0" applyNumberFormat="1" applyFont="1" applyFill="1" applyBorder="1" applyAlignment="1">
      <alignment horizontal="center" vertical="center"/>
    </xf>
    <xf numFmtId="168" fontId="54" fillId="0" borderId="0" xfId="1" applyNumberFormat="1" applyFont="1" applyAlignment="1">
      <alignment vertical="center"/>
    </xf>
    <xf numFmtId="168" fontId="54" fillId="0" borderId="0" xfId="0" applyNumberFormat="1" applyFont="1" applyAlignment="1">
      <alignment vertical="center"/>
    </xf>
    <xf numFmtId="43" fontId="54" fillId="0" borderId="0" xfId="0" applyNumberFormat="1" applyFont="1" applyAlignment="1">
      <alignment vertical="center"/>
    </xf>
    <xf numFmtId="43" fontId="54" fillId="0" borderId="0" xfId="1" applyFont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55" fillId="5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8" fillId="3" borderId="6" xfId="0" applyFont="1" applyFill="1" applyBorder="1" applyAlignment="1">
      <alignment horizontal="center" vertical="center"/>
    </xf>
    <xf numFmtId="0" fontId="58" fillId="3" borderId="7" xfId="0" applyFont="1" applyFill="1" applyBorder="1" applyAlignment="1">
      <alignment horizontal="center" vertical="center"/>
    </xf>
    <xf numFmtId="0" fontId="58" fillId="3" borderId="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 wrapText="1"/>
    </xf>
    <xf numFmtId="0" fontId="41" fillId="8" borderId="1" xfId="0" applyFont="1" applyFill="1" applyBorder="1" applyAlignment="1">
      <alignment horizontal="center" vertical="center"/>
    </xf>
    <xf numFmtId="0" fontId="49" fillId="13" borderId="1" xfId="0" applyFont="1" applyFill="1" applyBorder="1" applyAlignment="1">
      <alignment horizontal="center" vertical="center" wrapText="1"/>
    </xf>
    <xf numFmtId="0" fontId="41" fillId="13" borderId="1" xfId="0" applyFont="1" applyFill="1" applyBorder="1" applyAlignment="1">
      <alignment horizontal="center" vertical="center" wrapText="1"/>
    </xf>
    <xf numFmtId="0" fontId="41" fillId="16" borderId="1" xfId="0" applyFont="1" applyFill="1" applyBorder="1" applyAlignment="1">
      <alignment horizontal="center" vertical="center"/>
    </xf>
    <xf numFmtId="0" fontId="18" fillId="16" borderId="1" xfId="0" applyFont="1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/>
    </xf>
    <xf numFmtId="0" fontId="15" fillId="15" borderId="1" xfId="0" applyFont="1" applyFill="1" applyBorder="1" applyAlignment="1">
      <alignment horizontal="center" vertical="center"/>
    </xf>
    <xf numFmtId="0" fontId="15" fillId="17" borderId="1" xfId="0" applyFont="1" applyFill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53" fillId="18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top" wrapText="1"/>
    </xf>
    <xf numFmtId="0" fontId="10" fillId="3" borderId="1" xfId="0" applyFont="1" applyFill="1" applyBorder="1" applyAlignment="1">
      <alignment horizontal="center" vertical="top" wrapText="1"/>
    </xf>
    <xf numFmtId="0" fontId="5" fillId="3" borderId="4" xfId="0" applyFont="1" applyFill="1" applyBorder="1" applyAlignment="1">
      <alignment horizontal="center" vertical="top" wrapText="1"/>
    </xf>
    <xf numFmtId="0" fontId="5" fillId="3" borderId="5" xfId="0" applyFont="1" applyFill="1" applyBorder="1" applyAlignment="1">
      <alignment horizontal="center" vertical="top" wrapText="1"/>
    </xf>
    <xf numFmtId="3" fontId="14" fillId="11" borderId="0" xfId="0" applyNumberFormat="1" applyFont="1" applyFill="1" applyBorder="1" applyAlignment="1">
      <alignment horizontal="center" vertical="top" wrapText="1"/>
    </xf>
    <xf numFmtId="3" fontId="0" fillId="11" borderId="0" xfId="0" applyNumberFormat="1" applyFill="1" applyAlignment="1">
      <alignment horizontal="right"/>
    </xf>
    <xf numFmtId="2" fontId="0" fillId="0" borderId="1" xfId="0" applyNumberFormat="1" applyBorder="1" applyAlignment="1">
      <alignment horizontal="center" vertical="top" wrapText="1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2" fontId="0" fillId="0" borderId="4" xfId="0" applyNumberFormat="1" applyBorder="1" applyAlignment="1">
      <alignment horizontal="center" vertical="top" wrapText="1"/>
    </xf>
    <xf numFmtId="2" fontId="0" fillId="0" borderId="12" xfId="0" applyNumberFormat="1" applyBorder="1" applyAlignment="1">
      <alignment horizontal="center" vertical="top" wrapText="1"/>
    </xf>
    <xf numFmtId="2" fontId="0" fillId="0" borderId="5" xfId="0" applyNumberFormat="1" applyBorder="1" applyAlignment="1">
      <alignment horizontal="center" vertical="top" wrapText="1"/>
    </xf>
    <xf numFmtId="0" fontId="9" fillId="3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top" wrapText="1"/>
    </xf>
    <xf numFmtId="0" fontId="16" fillId="11" borderId="1" xfId="0" applyFont="1" applyFill="1" applyBorder="1" applyAlignment="1">
      <alignment vertical="top" wrapText="1"/>
    </xf>
    <xf numFmtId="0" fontId="17" fillId="8" borderId="1" xfId="0" applyFont="1" applyFill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0" fontId="16" fillId="0" borderId="13" xfId="0" applyFont="1" applyBorder="1" applyAlignment="1">
      <alignment horizontal="left" vertical="top" wrapText="1"/>
    </xf>
    <xf numFmtId="0" fontId="16" fillId="0" borderId="15" xfId="0" applyFont="1" applyBorder="1" applyAlignment="1">
      <alignment horizontal="left" vertical="top" wrapText="1"/>
    </xf>
    <xf numFmtId="0" fontId="16" fillId="0" borderId="16" xfId="0" applyFont="1" applyBorder="1" applyAlignment="1">
      <alignment horizontal="left" vertical="top" wrapText="1"/>
    </xf>
    <xf numFmtId="0" fontId="16" fillId="0" borderId="14" xfId="0" applyFont="1" applyBorder="1" applyAlignment="1">
      <alignment horizontal="left" vertical="top" wrapText="1"/>
    </xf>
    <xf numFmtId="0" fontId="16" fillId="0" borderId="17" xfId="0" applyFont="1" applyBorder="1" applyAlignment="1">
      <alignment horizontal="left" vertical="top" wrapText="1"/>
    </xf>
    <xf numFmtId="0" fontId="16" fillId="0" borderId="18" xfId="0" applyFont="1" applyBorder="1" applyAlignment="1">
      <alignment horizontal="left" vertical="top" wrapText="1"/>
    </xf>
    <xf numFmtId="0" fontId="16" fillId="0" borderId="6" xfId="0" applyFont="1" applyBorder="1" applyAlignment="1">
      <alignment horizontal="left" vertical="top" wrapText="1"/>
    </xf>
    <xf numFmtId="0" fontId="16" fillId="0" borderId="7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6" fillId="12" borderId="1" xfId="0" applyFont="1" applyFill="1" applyBorder="1" applyAlignment="1">
      <alignment vertical="top" wrapText="1"/>
    </xf>
    <xf numFmtId="0" fontId="16" fillId="14" borderId="1" xfId="0" applyFont="1" applyFill="1" applyBorder="1" applyAlignment="1">
      <alignment horizontal="center" vertical="top" wrapText="1"/>
    </xf>
    <xf numFmtId="0" fontId="7" fillId="5" borderId="0" xfId="0" applyFont="1" applyFill="1" applyAlignment="1">
      <alignment horizontal="center"/>
    </xf>
    <xf numFmtId="0" fontId="15" fillId="3" borderId="1" xfId="0" applyFont="1" applyFill="1" applyBorder="1" applyAlignment="1">
      <alignment horizontal="center" vertical="top" wrapText="1"/>
    </xf>
    <xf numFmtId="0" fontId="15" fillId="3" borderId="1" xfId="0" applyFont="1" applyFill="1" applyBorder="1" applyAlignment="1">
      <alignment horizontal="left" vertical="top" wrapText="1"/>
    </xf>
    <xf numFmtId="10" fontId="6" fillId="0" borderId="4" xfId="0" applyNumberFormat="1" applyFont="1" applyFill="1" applyBorder="1" applyAlignment="1">
      <alignment horizontal="center" vertical="top" wrapText="1"/>
    </xf>
    <xf numFmtId="10" fontId="6" fillId="0" borderId="12" xfId="0" applyNumberFormat="1" applyFont="1" applyFill="1" applyBorder="1" applyAlignment="1">
      <alignment horizontal="center" vertical="top" wrapText="1"/>
    </xf>
    <xf numFmtId="10" fontId="6" fillId="0" borderId="5" xfId="0" applyNumberFormat="1" applyFont="1" applyFill="1" applyBorder="1" applyAlignment="1">
      <alignment horizontal="center" vertical="top" wrapText="1"/>
    </xf>
    <xf numFmtId="0" fontId="4" fillId="17" borderId="1" xfId="0" applyFont="1" applyFill="1" applyBorder="1" applyAlignment="1">
      <alignment horizontal="center" vertical="top"/>
    </xf>
    <xf numFmtId="0" fontId="4" fillId="17" borderId="1" xfId="0" applyFont="1" applyFill="1" applyBorder="1" applyAlignment="1">
      <alignment horizontal="center" vertical="top" wrapText="1"/>
    </xf>
    <xf numFmtId="0" fontId="23" fillId="13" borderId="3" xfId="0" applyFont="1" applyFill="1" applyBorder="1" applyAlignment="1">
      <alignment horizontal="center" vertical="top" wrapText="1"/>
    </xf>
    <xf numFmtId="0" fontId="23" fillId="13" borderId="2" xfId="0" applyFont="1" applyFill="1" applyBorder="1" applyAlignment="1">
      <alignment horizontal="center" vertical="top" wrapText="1"/>
    </xf>
    <xf numFmtId="0" fontId="23" fillId="16" borderId="19" xfId="0" applyFont="1" applyFill="1" applyBorder="1" applyAlignment="1">
      <alignment horizontal="center"/>
    </xf>
    <xf numFmtId="0" fontId="23" fillId="16" borderId="9" xfId="0" applyFont="1" applyFill="1" applyBorder="1" applyAlignment="1">
      <alignment horizontal="center"/>
    </xf>
    <xf numFmtId="0" fontId="30" fillId="16" borderId="3" xfId="0" applyFont="1" applyFill="1" applyBorder="1" applyAlignment="1">
      <alignment horizontal="center" vertical="top" wrapText="1"/>
    </xf>
    <xf numFmtId="0" fontId="30" fillId="16" borderId="2" xfId="0" applyFont="1" applyFill="1" applyBorder="1" applyAlignment="1">
      <alignment horizontal="center" vertical="top" wrapText="1"/>
    </xf>
    <xf numFmtId="0" fontId="4" fillId="2" borderId="3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horizontal="center" vertical="top"/>
    </xf>
    <xf numFmtId="0" fontId="4" fillId="2" borderId="19" xfId="0" applyFont="1" applyFill="1" applyBorder="1" applyAlignment="1">
      <alignment horizontal="center" vertical="top"/>
    </xf>
    <xf numFmtId="0" fontId="4" fillId="2" borderId="20" xfId="0" applyFont="1" applyFill="1" applyBorder="1" applyAlignment="1">
      <alignment horizontal="center" vertical="top"/>
    </xf>
    <xf numFmtId="0" fontId="4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0" fontId="4" fillId="2" borderId="2" xfId="0" applyFont="1" applyFill="1" applyBorder="1" applyAlignment="1">
      <alignment horizontal="center" vertical="top" wrapText="1"/>
    </xf>
    <xf numFmtId="0" fontId="4" fillId="15" borderId="3" xfId="0" applyFont="1" applyFill="1" applyBorder="1" applyAlignment="1">
      <alignment horizontal="center" vertical="top"/>
    </xf>
    <xf numFmtId="0" fontId="4" fillId="15" borderId="2" xfId="0" applyFont="1" applyFill="1" applyBorder="1" applyAlignment="1">
      <alignment horizontal="center" vertical="top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colors>
    <mruColors>
      <color rgb="FF0068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US"/>
              <a:t>Profil BaU Baseline Pengelolaan Sampah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3"/>
          <c:order val="0"/>
          <c:tx>
            <c:strRef>
              <c:f>'Rekapitulasi BaU Emisi GRK'!$B$32:$F$32</c:f>
              <c:strCache>
                <c:ptCount val="1"/>
                <c:pt idx="0">
                  <c:v> Emisi GRK dari komposting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50000"/>
                    <a:satMod val="300000"/>
                  </a:schemeClr>
                </a:gs>
                <a:gs pos="35000">
                  <a:schemeClr val="accent4">
                    <a:tint val="37000"/>
                    <a:satMod val="300000"/>
                  </a:schemeClr>
                </a:gs>
                <a:gs pos="100000">
                  <a:schemeClr val="accent4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4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GRK'!$F$35:$F$54</c:f>
              <c:numCache>
                <c:formatCode>_(* #,##0.00_);_(* \(#,##0.00\);_(* "-"??_);_(@_)</c:formatCode>
                <c:ptCount val="20"/>
                <c:pt idx="0">
                  <c:v>0.11363649570000001</c:v>
                </c:pt>
                <c:pt idx="1">
                  <c:v>0.1166606469</c:v>
                </c:pt>
                <c:pt idx="2">
                  <c:v>0.11947069890000001</c:v>
                </c:pt>
                <c:pt idx="3">
                  <c:v>0.1224260325</c:v>
                </c:pt>
                <c:pt idx="4">
                  <c:v>0.12535364790000003</c:v>
                </c:pt>
                <c:pt idx="5">
                  <c:v>0.12820193190000004</c:v>
                </c:pt>
                <c:pt idx="6">
                  <c:v>0.13602623543190001</c:v>
                </c:pt>
                <c:pt idx="7">
                  <c:v>0.14404477793144421</c:v>
                </c:pt>
                <c:pt idx="8">
                  <c:v>0.1524098900437329</c:v>
                </c:pt>
                <c:pt idx="9">
                  <c:v>0.16113481317554723</c:v>
                </c:pt>
                <c:pt idx="10">
                  <c:v>0.17023326199268696</c:v>
                </c:pt>
                <c:pt idx="11">
                  <c:v>0.1797194406404018</c:v>
                </c:pt>
                <c:pt idx="12">
                  <c:v>0.1896080595039828</c:v>
                </c:pt>
                <c:pt idx="13">
                  <c:v>0.1999143525271278</c:v>
                </c:pt>
                <c:pt idx="14">
                  <c:v>0.21065409510625993</c:v>
                </c:pt>
                <c:pt idx="15">
                  <c:v>0.22184362257956244</c:v>
                </c:pt>
                <c:pt idx="16">
                  <c:v>0.2334998493300931</c:v>
                </c:pt>
                <c:pt idx="17">
                  <c:v>0.24564028852296382</c:v>
                </c:pt>
                <c:pt idx="18">
                  <c:v>0.25828307249720978</c:v>
                </c:pt>
                <c:pt idx="19">
                  <c:v>0.27134453999999997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A3D-4E3C-8DEE-62A0A2CA5931}"/>
            </c:ext>
          </c:extLst>
        </c:ser>
        <c:ser>
          <c:idx val="2"/>
          <c:order val="1"/>
          <c:tx>
            <c:strRef>
              <c:f>'Rekapitulasi BaU Emisi GRK'!$Q$6:$S$6</c:f>
              <c:strCache>
                <c:ptCount val="1"/>
                <c:pt idx="0">
                  <c:v> Emisi GRK dari sampah yang dilakukan 3R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3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GRK'!$S$9:$S$28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0.18395097777938779</c:v>
                </c:pt>
                <c:pt idx="8">
                  <c:v>0.33336411051338072</c:v>
                </c:pt>
                <c:pt idx="9">
                  <c:v>0.46133250840021567</c:v>
                </c:pt>
                <c:pt idx="10">
                  <c:v>0.57689405188215293</c:v>
                </c:pt>
                <c:pt idx="11">
                  <c:v>0.68637538994670722</c:v>
                </c:pt>
                <c:pt idx="12">
                  <c:v>0.79429581369730173</c:v>
                </c:pt>
                <c:pt idx="13">
                  <c:v>0.90397598845300042</c:v>
                </c:pt>
                <c:pt idx="14">
                  <c:v>1.0179487762364461</c:v>
                </c:pt>
                <c:pt idx="15">
                  <c:v>1.1382373668228984</c:v>
                </c:pt>
                <c:pt idx="16">
                  <c:v>1.2665444721054671</c:v>
                </c:pt>
                <c:pt idx="17">
                  <c:v>1.4043819479978246</c:v>
                </c:pt>
                <c:pt idx="18">
                  <c:v>1.5531605593720992</c:v>
                </c:pt>
                <c:pt idx="19">
                  <c:v>1.7142531339567244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A3D-4E3C-8DEE-62A0A2CA5931}"/>
            </c:ext>
          </c:extLst>
        </c:ser>
        <c:ser>
          <c:idx val="1"/>
          <c:order val="2"/>
          <c:tx>
            <c:strRef>
              <c:f>'Rekapitulasi BaU Emisi GRK'!$G$6:$I$6</c:f>
              <c:strCache>
                <c:ptCount val="1"/>
                <c:pt idx="0">
                  <c:v> Emisi GRK dari sampah terhampar sembarangan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GRK'!$I$9:$I$28</c:f>
              <c:numCache>
                <c:formatCode>_(* #,##0.00_);_(* \(#,##0.00\);_(* "-"??_);_(@_)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A3D-4E3C-8DEE-62A0A2CA5931}"/>
            </c:ext>
          </c:extLst>
        </c:ser>
        <c:ser>
          <c:idx val="0"/>
          <c:order val="3"/>
          <c:tx>
            <c:strRef>
              <c:f>'Rekapitulasi BaU Emisi GRK'!$B$6:$D$6</c:f>
              <c:strCache>
                <c:ptCount val="1"/>
                <c:pt idx="0">
                  <c:v> Emisi GRK TPA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GRK'!$D$9:$D$28</c:f>
              <c:numCache>
                <c:formatCode>_(* #,##0.00_);_(* \(#,##0.00\);_(* "-"??_);_(@_)</c:formatCode>
                <c:ptCount val="20"/>
                <c:pt idx="0">
                  <c:v>13.6593661099764</c:v>
                </c:pt>
                <c:pt idx="1">
                  <c:v>14.210907644462569</c:v>
                </c:pt>
                <c:pt idx="2">
                  <c:v>14.743700365339169</c:v>
                </c:pt>
                <c:pt idx="3">
                  <c:v>15.254636661049412</c:v>
                </c:pt>
                <c:pt idx="4">
                  <c:v>15.754694026273537</c:v>
                </c:pt>
                <c:pt idx="5">
                  <c:v>16.24528533005051</c:v>
                </c:pt>
                <c:pt idx="6">
                  <c:v>16.725572220857906</c:v>
                </c:pt>
                <c:pt idx="7">
                  <c:v>17.059107046662728</c:v>
                </c:pt>
                <c:pt idx="8">
                  <c:v>17.568117150406042</c:v>
                </c:pt>
                <c:pt idx="9">
                  <c:v>18.207698740129608</c:v>
                </c:pt>
                <c:pt idx="10">
                  <c:v>18.947504290716793</c:v>
                </c:pt>
                <c:pt idx="11">
                  <c:v>19.766989654136353</c:v>
                </c:pt>
                <c:pt idx="12">
                  <c:v>20.6522171542452</c:v>
                </c:pt>
                <c:pt idx="13">
                  <c:v>21.593702900197307</c:v>
                </c:pt>
                <c:pt idx="14">
                  <c:v>22.584965038240036</c:v>
                </c:pt>
                <c:pt idx="15">
                  <c:v>23.621542633648108</c:v>
                </c:pt>
                <c:pt idx="16">
                  <c:v>24.700330629121648</c:v>
                </c:pt>
                <c:pt idx="17">
                  <c:v>25.819127128403043</c:v>
                </c:pt>
                <c:pt idx="18">
                  <c:v>26.976323326476926</c:v>
                </c:pt>
                <c:pt idx="19">
                  <c:v>28.170689262679677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A3D-4E3C-8DEE-62A0A2CA5931}"/>
            </c:ext>
          </c:extLst>
        </c:ser>
        <c:ser>
          <c:idx val="4"/>
          <c:order val="4"/>
          <c:tx>
            <c:strRef>
              <c:f>'Rekapitulasi BaU Emisi GRK'!$B$58</c:f>
              <c:strCache>
                <c:ptCount val="1"/>
                <c:pt idx="0">
                  <c:v> Emisi GRK Dari Pembakaran Sampah</c:v>
                </c:pt>
              </c:strCache>
            </c:strRef>
          </c:tx>
          <c:invertIfNegative val="0"/>
          <c:cat>
            <c:numRef>
              <c:f>'Rekapitulasi BaU Emisi GRK'!$A$35:$A$54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GRK'!$F$61:$F$80</c:f>
              <c:numCache>
                <c:formatCode>_(* #,##0.00_);_(* \(#,##0.00\);_(* "-"??_);_(@_)</c:formatCode>
                <c:ptCount val="20"/>
                <c:pt idx="0">
                  <c:v>0.55589504197499984</c:v>
                </c:pt>
                <c:pt idx="1">
                  <c:v>0.5706887985750001</c:v>
                </c:pt>
                <c:pt idx="2">
                  <c:v>0.58443520957499995</c:v>
                </c:pt>
                <c:pt idx="3">
                  <c:v>0.59889231937499998</c:v>
                </c:pt>
                <c:pt idx="4">
                  <c:v>0.61321383532499996</c:v>
                </c:pt>
                <c:pt idx="5">
                  <c:v>0.627147272325</c:v>
                </c:pt>
                <c:pt idx="6">
                  <c:v>0.64698371744999994</c:v>
                </c:pt>
                <c:pt idx="7">
                  <c:v>0.66613751767500007</c:v>
                </c:pt>
                <c:pt idx="8">
                  <c:v>0.68529131790000009</c:v>
                </c:pt>
                <c:pt idx="9">
                  <c:v>0.70444511812499999</c:v>
                </c:pt>
                <c:pt idx="10">
                  <c:v>0.72359891835000001</c:v>
                </c:pt>
                <c:pt idx="11">
                  <c:v>0.74275271857500003</c:v>
                </c:pt>
                <c:pt idx="12">
                  <c:v>0.76190651879999993</c:v>
                </c:pt>
                <c:pt idx="13">
                  <c:v>0.78106031902500006</c:v>
                </c:pt>
                <c:pt idx="14">
                  <c:v>0.80021411925000019</c:v>
                </c:pt>
                <c:pt idx="15">
                  <c:v>0.81936791947499987</c:v>
                </c:pt>
                <c:pt idx="16">
                  <c:v>0.8385217197</c:v>
                </c:pt>
                <c:pt idx="17">
                  <c:v>0.85767551992500024</c:v>
                </c:pt>
                <c:pt idx="18">
                  <c:v>0.87682932014999992</c:v>
                </c:pt>
                <c:pt idx="19">
                  <c:v>0.89598312037499994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636568"/>
        <c:axId val="306636960"/>
        <c:axId val="0"/>
      </c:bar3DChart>
      <c:catAx>
        <c:axId val="306636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6636960"/>
        <c:crosses val="autoZero"/>
        <c:auto val="1"/>
        <c:lblAlgn val="ctr"/>
        <c:lblOffset val="100"/>
        <c:noMultiLvlLbl val="0"/>
      </c:catAx>
      <c:valAx>
        <c:axId val="306636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GG CO2eq</a:t>
                </a:r>
              </a:p>
            </c:rich>
          </c:tx>
          <c:layout>
            <c:manualLayout>
              <c:xMode val="edge"/>
              <c:yMode val="edge"/>
              <c:x val="4.9674414960116375E-2"/>
              <c:y val="0.256329515538726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066365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800"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Baseline </a:t>
            </a:r>
            <a:r>
              <a:rPr lang="id-ID" baseline="0"/>
              <a:t> Emisi GRK dari </a:t>
            </a:r>
            <a:r>
              <a:rPr lang="en-US" baseline="0"/>
              <a:t>Pengelolaan Air Limbah Domestik</a:t>
            </a:r>
            <a:endParaRPr lang="id-ID" baseline="0"/>
          </a:p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 baseline="0"/>
              <a:t>Periode 2000 - 2010</a:t>
            </a:r>
            <a:endParaRPr lang="en-US" baseline="0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1"/>
          <c:order val="0"/>
          <c:tx>
            <c:strRef>
              <c:f>'Rekapitulasi BaU Emisi GRK'!$D$86</c:f>
              <c:strCache>
                <c:ptCount val="1"/>
                <c:pt idx="0">
                  <c:v>Emisi N2O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GRK'!$E$90:$E$100</c:f>
              <c:numCache>
                <c:formatCode>_(* #,##0.00_);_(* \(#,##0.00\);_(* "-"??_);_(@_)</c:formatCode>
                <c:ptCount val="11"/>
                <c:pt idx="0">
                  <c:v>2.6171599482600003</c:v>
                </c:pt>
                <c:pt idx="1">
                  <c:v>2.5900107354000004</c:v>
                </c:pt>
                <c:pt idx="2">
                  <c:v>2.6148887177600013</c:v>
                </c:pt>
                <c:pt idx="3">
                  <c:v>2.7390579885952384</c:v>
                </c:pt>
                <c:pt idx="4">
                  <c:v>2.8045580148980953</c:v>
                </c:pt>
                <c:pt idx="5">
                  <c:v>2.8682831465933334</c:v>
                </c:pt>
                <c:pt idx="6">
                  <c:v>2.9590059221695237</c:v>
                </c:pt>
                <c:pt idx="7">
                  <c:v>3.0466065939780957</c:v>
                </c:pt>
                <c:pt idx="8">
                  <c:v>3.1342072657866673</c:v>
                </c:pt>
                <c:pt idx="9">
                  <c:v>3.2218079375952393</c:v>
                </c:pt>
                <c:pt idx="10">
                  <c:v>3.30940860940381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1B6-4E3B-B66E-53C1BCC44E9F}"/>
            </c:ext>
          </c:extLst>
        </c:ser>
        <c:ser>
          <c:idx val="0"/>
          <c:order val="1"/>
          <c:tx>
            <c:strRef>
              <c:f>'Rekapitulasi BaU Emisi GRK'!$B$86:$C$86</c:f>
              <c:strCache>
                <c:ptCount val="1"/>
                <c:pt idx="0">
                  <c:v>Emisi CH4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'Rekapitulasi BaU Emisi GRK'!$A$90:$A$100</c:f>
              <c:numCache>
                <c:formatCode>General</c:formatCode>
                <c:ptCount val="11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</c:numCache>
            </c:numRef>
          </c:cat>
          <c:val>
            <c:numRef>
              <c:f>'Rekapitulasi BaU Emisi GRK'!$C$90:$C$100</c:f>
              <c:numCache>
                <c:formatCode>_(* #,##0.00_);_(* \(#,##0.00\);_(* "-"??_);_(@_)</c:formatCode>
                <c:ptCount val="11"/>
                <c:pt idx="0">
                  <c:v>5.2167377866968003</c:v>
                </c:pt>
                <c:pt idx="1">
                  <c:v>5.3555682191255993</c:v>
                </c:pt>
                <c:pt idx="2">
                  <c:v>5.4845699483736006</c:v>
                </c:pt>
                <c:pt idx="3">
                  <c:v>5.6202411547800004</c:v>
                </c:pt>
                <c:pt idx="4">
                  <c:v>5.7546398951496007</c:v>
                </c:pt>
                <c:pt idx="5">
                  <c:v>5.8853967499655999</c:v>
                </c:pt>
                <c:pt idx="6">
                  <c:v>6.0715497555216009</c:v>
                </c:pt>
                <c:pt idx="7">
                  <c:v>6.2512965527544004</c:v>
                </c:pt>
                <c:pt idx="8">
                  <c:v>6.4310433499872008</c:v>
                </c:pt>
                <c:pt idx="9">
                  <c:v>6.6107901472200004</c:v>
                </c:pt>
                <c:pt idx="10">
                  <c:v>6.7905369444528008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91B6-4E3B-B66E-53C1BCC44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6638136"/>
        <c:axId val="306638528"/>
        <c:axId val="0"/>
      </c:bar3DChart>
      <c:catAx>
        <c:axId val="306638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8528"/>
        <c:crosses val="autoZero"/>
        <c:auto val="1"/>
        <c:lblAlgn val="ctr"/>
        <c:lblOffset val="100"/>
        <c:noMultiLvlLbl val="0"/>
      </c:catAx>
      <c:valAx>
        <c:axId val="30663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Gg</a:t>
                </a:r>
                <a:r>
                  <a:rPr lang="en-US" sz="2000" baseline="0"/>
                  <a:t> CO2 EQ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81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 Emisi GRK dari Limbah Cair Domestik</a:t>
            </a:r>
            <a:r>
              <a:rPr lang="id-ID" baseline="0"/>
              <a:t> </a:t>
            </a:r>
          </a:p>
          <a:p>
            <a:pPr>
              <a:defRPr/>
            </a:pPr>
            <a:r>
              <a:rPr lang="id-ID" baseline="0"/>
              <a:t>Periode 2011 - 2030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'Rekapitulasi BaU Emisi GRK'!$A$86:$A$89</c:f>
              <c:strCache>
                <c:ptCount val="4"/>
                <c:pt idx="0">
                  <c:v>Tahun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'Rekapitulasi BaU Emisi GRK'!$A$90:$A$109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GRK'!$G$90:$G$109</c:f>
              <c:numCache>
                <c:formatCode>_-* #,##0_-;\-* #,##0_-;_-* "-"??_-;_-@_-</c:formatCode>
                <c:ptCount val="20"/>
                <c:pt idx="0">
                  <c:v>7833.8977349568004</c:v>
                </c:pt>
                <c:pt idx="1">
                  <c:v>7945.5789545255993</c:v>
                </c:pt>
                <c:pt idx="2">
                  <c:v>8099.4586661336016</c:v>
                </c:pt>
                <c:pt idx="3">
                  <c:v>8359.2991433752395</c:v>
                </c:pt>
                <c:pt idx="4">
                  <c:v>8559.1979100476965</c:v>
                </c:pt>
                <c:pt idx="5">
                  <c:v>8753.6798965589333</c:v>
                </c:pt>
                <c:pt idx="6">
                  <c:v>9030.5556776911235</c:v>
                </c:pt>
                <c:pt idx="7">
                  <c:v>9297.9031467324967</c:v>
                </c:pt>
                <c:pt idx="8">
                  <c:v>9565.250615773868</c:v>
                </c:pt>
                <c:pt idx="9">
                  <c:v>9832.5980848152394</c:v>
                </c:pt>
                <c:pt idx="10">
                  <c:v>10099.945553856611</c:v>
                </c:pt>
                <c:pt idx="11">
                  <c:v>10367.293022897979</c:v>
                </c:pt>
                <c:pt idx="12">
                  <c:v>10634.640491939352</c:v>
                </c:pt>
                <c:pt idx="13">
                  <c:v>10901.987960980725</c:v>
                </c:pt>
                <c:pt idx="14">
                  <c:v>11130.177983073525</c:v>
                </c:pt>
                <c:pt idx="15">
                  <c:v>11397.525452114895</c:v>
                </c:pt>
                <c:pt idx="16">
                  <c:v>11664.872921156266</c:v>
                </c:pt>
                <c:pt idx="17">
                  <c:v>11932.220390197639</c:v>
                </c:pt>
                <c:pt idx="18">
                  <c:v>12199.56785923901</c:v>
                </c:pt>
                <c:pt idx="19">
                  <c:v>12466.91532828038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39704"/>
        <c:axId val="306640096"/>
      </c:lineChart>
      <c:catAx>
        <c:axId val="306639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40096"/>
        <c:crosses val="autoZero"/>
        <c:auto val="1"/>
        <c:lblAlgn val="ctr"/>
        <c:lblOffset val="100"/>
        <c:noMultiLvlLbl val="0"/>
      </c:catAx>
      <c:valAx>
        <c:axId val="30664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39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d-ID"/>
              <a:t>Grafik</a:t>
            </a:r>
            <a:r>
              <a:rPr lang="id-ID" baseline="0"/>
              <a:t> Emisi GRK 2011 - 2030 Limbah Padat Domestik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'Rekapitulasi BaU Emisi GRK'!$H$61:$H$80</c:f>
              <c:numCache>
                <c:formatCode>General</c:formatCode>
                <c:ptCount val="20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  <c:pt idx="7">
                  <c:v>2018</c:v>
                </c:pt>
                <c:pt idx="8">
                  <c:v>2019</c:v>
                </c:pt>
                <c:pt idx="9">
                  <c:v>2020</c:v>
                </c:pt>
                <c:pt idx="10">
                  <c:v>2021</c:v>
                </c:pt>
                <c:pt idx="11">
                  <c:v>2022</c:v>
                </c:pt>
                <c:pt idx="12">
                  <c:v>2023</c:v>
                </c:pt>
                <c:pt idx="13">
                  <c:v>2024</c:v>
                </c:pt>
                <c:pt idx="14">
                  <c:v>2025</c:v>
                </c:pt>
                <c:pt idx="15">
                  <c:v>2026</c:v>
                </c:pt>
                <c:pt idx="16">
                  <c:v>2027</c:v>
                </c:pt>
                <c:pt idx="17">
                  <c:v>2028</c:v>
                </c:pt>
                <c:pt idx="18">
                  <c:v>2029</c:v>
                </c:pt>
                <c:pt idx="19">
                  <c:v>2030</c:v>
                </c:pt>
              </c:numCache>
            </c:numRef>
          </c:cat>
          <c:val>
            <c:numRef>
              <c:f>'Rekapitulasi BaU Emisi GRK'!$J$61:$J$80</c:f>
              <c:numCache>
                <c:formatCode>_-* #,##0_-;\-* #,##0_-;_-* "-"??_-;_-@_-</c:formatCode>
                <c:ptCount val="20"/>
                <c:pt idx="0">
                  <c:v>24015.337088373672</c:v>
                </c:pt>
                <c:pt idx="1">
                  <c:v>24975.818170553608</c:v>
                </c:pt>
                <c:pt idx="2">
                  <c:v>25902.993410462157</c:v>
                </c:pt>
                <c:pt idx="3">
                  <c:v>26793.668881766032</c:v>
                </c:pt>
                <c:pt idx="4">
                  <c:v>27665.587396652842</c:v>
                </c:pt>
                <c:pt idx="5">
                  <c:v>28520.859651593204</c:v>
                </c:pt>
                <c:pt idx="6">
                  <c:v>29369.399222229233</c:v>
                </c:pt>
                <c:pt idx="7">
                  <c:v>29830.686802923672</c:v>
                </c:pt>
                <c:pt idx="8">
                  <c:v>30455.773470667584</c:v>
                </c:pt>
                <c:pt idx="9">
                  <c:v>31196.859747149767</c:v>
                </c:pt>
                <c:pt idx="10">
                  <c:v>32021.713710403503</c:v>
                </c:pt>
                <c:pt idx="11">
                  <c:v>32908.550501555015</c:v>
                </c:pt>
                <c:pt idx="12">
                  <c:v>33842.589610130875</c:v>
                </c:pt>
                <c:pt idx="13">
                  <c:v>34813.737597936553</c:v>
                </c:pt>
                <c:pt idx="14">
                  <c:v>35815.02582089114</c:v>
                </c:pt>
                <c:pt idx="15">
                  <c:v>36841.554663449017</c:v>
                </c:pt>
                <c:pt idx="16">
                  <c:v>37889.777569418948</c:v>
                </c:pt>
                <c:pt idx="17">
                  <c:v>38957.012980968982</c:v>
                </c:pt>
                <c:pt idx="18">
                  <c:v>40041.109063205928</c:v>
                </c:pt>
                <c:pt idx="19">
                  <c:v>41140.108313210141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6642448"/>
        <c:axId val="306642840"/>
      </c:lineChart>
      <c:catAx>
        <c:axId val="3066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42840"/>
        <c:crosses val="autoZero"/>
        <c:auto val="1"/>
        <c:lblAlgn val="ctr"/>
        <c:lblOffset val="100"/>
        <c:noMultiLvlLbl val="0"/>
      </c:catAx>
      <c:valAx>
        <c:axId val="30664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642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257733</xdr:colOff>
      <xdr:row>29</xdr:row>
      <xdr:rowOff>118581</xdr:rowOff>
    </xdr:from>
    <xdr:to>
      <xdr:col>19</xdr:col>
      <xdr:colOff>22410</xdr:colOff>
      <xdr:row>46</xdr:row>
      <xdr:rowOff>168087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201706</xdr:colOff>
      <xdr:row>84</xdr:row>
      <xdr:rowOff>134472</xdr:rowOff>
    </xdr:from>
    <xdr:to>
      <xdr:col>18</xdr:col>
      <xdr:colOff>129378</xdr:colOff>
      <xdr:row>97</xdr:row>
      <xdr:rowOff>159939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219314</xdr:colOff>
      <xdr:row>98</xdr:row>
      <xdr:rowOff>112779</xdr:rowOff>
    </xdr:from>
    <xdr:to>
      <xdr:col>18</xdr:col>
      <xdr:colOff>212912</xdr:colOff>
      <xdr:row>115</xdr:row>
      <xdr:rowOff>156882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112057</xdr:colOff>
      <xdr:row>57</xdr:row>
      <xdr:rowOff>169209</xdr:rowOff>
    </xdr:from>
    <xdr:to>
      <xdr:col>18</xdr:col>
      <xdr:colOff>44823</xdr:colOff>
      <xdr:row>71</xdr:row>
      <xdr:rowOff>155762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23</xdr:row>
      <xdr:rowOff>114300</xdr:rowOff>
    </xdr:from>
    <xdr:to>
      <xdr:col>16</xdr:col>
      <xdr:colOff>571500</xdr:colOff>
      <xdr:row>23</xdr:row>
      <xdr:rowOff>123825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CxnSpPr/>
      </xdr:nvCxnSpPr>
      <xdr:spPr>
        <a:xfrm flipV="1">
          <a:off x="13411200" y="4381500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600075</xdr:colOff>
      <xdr:row>24</xdr:row>
      <xdr:rowOff>104775</xdr:rowOff>
    </xdr:from>
    <xdr:to>
      <xdr:col>16</xdr:col>
      <xdr:colOff>590550</xdr:colOff>
      <xdr:row>24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CxnSpPr/>
      </xdr:nvCxnSpPr>
      <xdr:spPr>
        <a:xfrm flipV="1">
          <a:off x="13430250" y="4562475"/>
          <a:ext cx="600075" cy="95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31</xdr:row>
      <xdr:rowOff>114300</xdr:rowOff>
    </xdr:from>
    <xdr:to>
      <xdr:col>16</xdr:col>
      <xdr:colOff>590550</xdr:colOff>
      <xdr:row>31</xdr:row>
      <xdr:rowOff>114301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CxnSpPr/>
      </xdr:nvCxnSpPr>
      <xdr:spPr>
        <a:xfrm>
          <a:off x="12858750" y="5905500"/>
          <a:ext cx="1171575" cy="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28575</xdr:colOff>
      <xdr:row>32</xdr:row>
      <xdr:rowOff>85725</xdr:rowOff>
    </xdr:from>
    <xdr:to>
      <xdr:col>16</xdr:col>
      <xdr:colOff>600075</xdr:colOff>
      <xdr:row>32</xdr:row>
      <xdr:rowOff>95251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CxnSpPr/>
      </xdr:nvCxnSpPr>
      <xdr:spPr>
        <a:xfrm>
          <a:off x="12858750" y="6067425"/>
          <a:ext cx="1181100" cy="952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Z_GELAMAI/8_RAD%20GRK%20Revisi/Perhitungan%20BAU%20Baseline%20dan%20Mitigasi_Hitung%20Ulang/Limbah/1_Data%20Jumlah%20Penduduk%20dan%20Pertumbuh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1_Diangkut%20TPA_Mitigasi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3_Dibuang%20Sembarangan_Mitigasi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2_Open%20Dumping_Mitigas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4_Buang%20ke%20sungai_Mitigas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IPCC%204A-TPA%20-%205_Air%20Limbah_Mitigasi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SER_Palm%20Oil%20Wastewater%20Industry_Mitigas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  <sheetName val="Sheet2"/>
    </sheetNames>
    <sheetDataSet>
      <sheetData sheetId="0"/>
      <sheetData sheetId="1">
        <row r="14">
          <cell r="C14">
            <v>237783</v>
          </cell>
        </row>
        <row r="15">
          <cell r="C15">
            <v>244111</v>
          </cell>
        </row>
        <row r="16">
          <cell r="C16">
            <v>249991</v>
          </cell>
        </row>
        <row r="17">
          <cell r="C17">
            <v>256175</v>
          </cell>
        </row>
        <row r="18">
          <cell r="C18">
            <v>262301</v>
          </cell>
        </row>
        <row r="19">
          <cell r="C19">
            <v>268261</v>
          </cell>
        </row>
        <row r="20">
          <cell r="C20">
            <v>276746</v>
          </cell>
        </row>
        <row r="21">
          <cell r="C21">
            <v>284939</v>
          </cell>
        </row>
        <row r="22">
          <cell r="C22">
            <v>293132</v>
          </cell>
        </row>
        <row r="23">
          <cell r="C23">
            <v>301325</v>
          </cell>
        </row>
        <row r="24">
          <cell r="C24">
            <v>309518</v>
          </cell>
        </row>
        <row r="25">
          <cell r="C25">
            <v>317711</v>
          </cell>
        </row>
        <row r="26">
          <cell r="C26">
            <v>325904</v>
          </cell>
        </row>
        <row r="27">
          <cell r="C27">
            <v>334097</v>
          </cell>
        </row>
        <row r="28">
          <cell r="C28">
            <v>342290</v>
          </cell>
        </row>
        <row r="29">
          <cell r="C29">
            <v>350483</v>
          </cell>
        </row>
        <row r="30">
          <cell r="C30">
            <v>358676</v>
          </cell>
        </row>
        <row r="31">
          <cell r="C31">
            <v>366869</v>
          </cell>
        </row>
        <row r="32">
          <cell r="C32">
            <v>375062</v>
          </cell>
        </row>
        <row r="33">
          <cell r="C33">
            <v>383255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0.65044600523697138</v>
          </cell>
        </row>
        <row r="29">
          <cell r="O29">
            <v>0.67670988783155095</v>
          </cell>
        </row>
        <row r="30">
          <cell r="O30">
            <v>0.70208096977805567</v>
          </cell>
        </row>
        <row r="31">
          <cell r="O31">
            <v>0.72641126957378155</v>
          </cell>
        </row>
        <row r="32">
          <cell r="O32">
            <v>0.7502235250606446</v>
          </cell>
        </row>
        <row r="33">
          <cell r="O33">
            <v>0.77358501571669092</v>
          </cell>
        </row>
        <row r="34">
          <cell r="O34">
            <v>0.79645582004085269</v>
          </cell>
        </row>
        <row r="35">
          <cell r="O35">
            <v>0.81233843079346324</v>
          </cell>
        </row>
        <row r="36">
          <cell r="O36">
            <v>0.83657700716219252</v>
          </cell>
        </row>
        <row r="37">
          <cell r="O37">
            <v>0.86703327333950508</v>
          </cell>
        </row>
        <row r="38">
          <cell r="O38">
            <v>0.90226210908175208</v>
          </cell>
        </row>
        <row r="39">
          <cell r="O39">
            <v>0.94128522162554062</v>
          </cell>
        </row>
        <row r="40">
          <cell r="O40">
            <v>0.98343891210691425</v>
          </cell>
        </row>
        <row r="41">
          <cell r="O41">
            <v>1.0282715666760622</v>
          </cell>
        </row>
        <row r="42">
          <cell r="O42">
            <v>1.0754745256304779</v>
          </cell>
        </row>
        <row r="43">
          <cell r="O43">
            <v>1.1248353635070527</v>
          </cell>
        </row>
        <row r="44">
          <cell r="O44">
            <v>1.1762062204343642</v>
          </cell>
        </row>
        <row r="45">
          <cell r="O45">
            <v>1.2294822442096687</v>
          </cell>
        </row>
        <row r="46">
          <cell r="O46">
            <v>1.2845868250703298</v>
          </cell>
        </row>
        <row r="47">
          <cell r="O47">
            <v>1.341461393460937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0</v>
          </cell>
        </row>
        <row r="36">
          <cell r="O36">
            <v>0</v>
          </cell>
        </row>
        <row r="37">
          <cell r="O37">
            <v>0</v>
          </cell>
        </row>
        <row r="38">
          <cell r="O38">
            <v>0</v>
          </cell>
        </row>
        <row r="39">
          <cell r="O39">
            <v>0</v>
          </cell>
        </row>
        <row r="40">
          <cell r="O40">
            <v>0</v>
          </cell>
        </row>
        <row r="41">
          <cell r="O41">
            <v>0</v>
          </cell>
        </row>
        <row r="42">
          <cell r="O42">
            <v>0</v>
          </cell>
        </row>
        <row r="43">
          <cell r="O43">
            <v>0</v>
          </cell>
        </row>
        <row r="44">
          <cell r="O44">
            <v>0</v>
          </cell>
        </row>
        <row r="45">
          <cell r="O45">
            <v>0</v>
          </cell>
        </row>
        <row r="46">
          <cell r="O46">
            <v>0</v>
          </cell>
        </row>
        <row r="47">
          <cell r="O47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0.46125902098677479</v>
          </cell>
        </row>
        <row r="29">
          <cell r="O29">
            <v>0.47988386098171615</v>
          </cell>
        </row>
        <row r="30">
          <cell r="O30">
            <v>0.49787557793561843</v>
          </cell>
        </row>
        <row r="31">
          <cell r="O31">
            <v>0.5151292318496008</v>
          </cell>
        </row>
        <row r="32">
          <cell r="O32">
            <v>0.53201551843591943</v>
          </cell>
        </row>
        <row r="33">
          <cell r="O33">
            <v>0.54858214844369968</v>
          </cell>
        </row>
        <row r="34">
          <cell r="O34">
            <v>0.56480081183283004</v>
          </cell>
        </row>
        <row r="35">
          <cell r="O35">
            <v>0.57834992563970888</v>
          </cell>
        </row>
        <row r="36">
          <cell r="O36">
            <v>0.58968186775386622</v>
          </cell>
        </row>
        <row r="37">
          <cell r="O37">
            <v>0.5992815992438012</v>
          </cell>
        </row>
        <row r="38">
          <cell r="O38">
            <v>0.60748910910600806</v>
          </cell>
        </row>
        <row r="39">
          <cell r="O39">
            <v>0.61454590848333135</v>
          </cell>
        </row>
        <row r="40">
          <cell r="O40">
            <v>0.6206263662513809</v>
          </cell>
        </row>
        <row r="41">
          <cell r="O41">
            <v>0.62585885784000517</v>
          </cell>
        </row>
        <row r="42">
          <cell r="O42">
            <v>0.63034006402529941</v>
          </cell>
        </row>
        <row r="43">
          <cell r="O43">
            <v>0.63414465974139256</v>
          </cell>
        </row>
        <row r="44">
          <cell r="O44">
            <v>0.63733189730346063</v>
          </cell>
        </row>
        <row r="45">
          <cell r="O45">
            <v>0.63995009486265719</v>
          </cell>
        </row>
        <row r="46">
          <cell r="O46">
            <v>0.64203970968828095</v>
          </cell>
        </row>
        <row r="47">
          <cell r="O47">
            <v>0.64363545352915175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Parameters"/>
      <sheetName val="MCF"/>
      <sheetName val="Activity"/>
      <sheetName val="Dry_Matter_Content"/>
      <sheetName val="Amnt_Deposited"/>
      <sheetName val="Recovery_OX"/>
      <sheetName val="Results"/>
      <sheetName val="HWP"/>
      <sheetName val="Stored_C"/>
      <sheetName val="Theory"/>
      <sheetName val="Defaults"/>
      <sheetName val="Food"/>
      <sheetName val="Paper"/>
      <sheetName val="Nappies"/>
      <sheetName val="Garden"/>
      <sheetName val="Wood"/>
      <sheetName val="Textiles"/>
      <sheetName val="Sludge"/>
      <sheetName val="MSW"/>
      <sheetName val="Indust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8">
          <cell r="O28">
            <v>0</v>
          </cell>
        </row>
        <row r="29">
          <cell r="O29">
            <v>0</v>
          </cell>
        </row>
        <row r="30">
          <cell r="O30">
            <v>0</v>
          </cell>
        </row>
        <row r="31">
          <cell r="O31">
            <v>0</v>
          </cell>
        </row>
        <row r="32">
          <cell r="O32">
            <v>0</v>
          </cell>
        </row>
        <row r="33">
          <cell r="O33">
            <v>0</v>
          </cell>
        </row>
        <row r="34">
          <cell r="O34">
            <v>0</v>
          </cell>
        </row>
        <row r="35">
          <cell r="O35">
            <v>8.7595703704470371E-3</v>
          </cell>
        </row>
        <row r="36">
          <cell r="O36">
            <v>1.5874481453018129E-2</v>
          </cell>
        </row>
        <row r="37">
          <cell r="O37">
            <v>2.1968214685724557E-2</v>
          </cell>
        </row>
        <row r="38">
          <cell r="O38">
            <v>2.7471145327721568E-2</v>
          </cell>
        </row>
        <row r="39">
          <cell r="O39">
            <v>3.268454237841463E-2</v>
          </cell>
        </row>
        <row r="40">
          <cell r="O40">
            <v>3.7823610176061985E-2</v>
          </cell>
        </row>
        <row r="41">
          <cell r="O41">
            <v>4.3046475640619065E-2</v>
          </cell>
        </row>
        <row r="42">
          <cell r="O42">
            <v>4.8473751249354574E-2</v>
          </cell>
        </row>
        <row r="43">
          <cell r="O43">
            <v>5.4201779372518973E-2</v>
          </cell>
        </row>
        <row r="44">
          <cell r="O44">
            <v>6.0311641528831769E-2</v>
          </cell>
        </row>
        <row r="45">
          <cell r="O45">
            <v>6.687533085703927E-2</v>
          </cell>
        </row>
        <row r="46">
          <cell r="O46">
            <v>7.3960026636766624E-2</v>
          </cell>
        </row>
        <row r="47">
          <cell r="O47">
            <v>8.1631101616986876E-2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A_DOC"/>
      <sheetName val="4B_CH4 emissions"/>
      <sheetName val="4B_N2O emission"/>
      <sheetName val="REKAPITULASI"/>
      <sheetName val="4C1_Amount_Waste_OpenBurned"/>
      <sheetName val="4C2_CO2_OpenBurning"/>
      <sheetName val="4C2_CH4_OpenBurning"/>
      <sheetName val="4C2_N2O_OpenBurning"/>
      <sheetName val="4D1_TOW_DomesticWastewater"/>
      <sheetName val="4D1_CH4_EF_DomesticWastewater"/>
      <sheetName val="4D1_CH4_Domestic_Wastewater"/>
      <sheetName val="4D1_N_effluent"/>
      <sheetName val="4D1_Indirect_N2O"/>
    </sheetNames>
    <sheetDataSet>
      <sheetData sheetId="0"/>
      <sheetData sheetId="1"/>
      <sheetData sheetId="2"/>
      <sheetData sheetId="3">
        <row r="6">
          <cell r="B6">
            <v>2.5680564000000001E-3</v>
          </cell>
          <cell r="D6">
            <v>1.9260423E-4</v>
          </cell>
        </row>
        <row r="7">
          <cell r="B7">
            <v>2.6363988000000001E-3</v>
          </cell>
          <cell r="D7">
            <v>1.9772991E-4</v>
          </cell>
        </row>
        <row r="8">
          <cell r="B8">
            <v>2.6999028000000004E-3</v>
          </cell>
          <cell r="D8">
            <v>2.0249271000000001E-4</v>
          </cell>
        </row>
        <row r="9">
          <cell r="B9">
            <v>2.76669E-3</v>
          </cell>
          <cell r="D9">
            <v>2.0750175E-4</v>
          </cell>
        </row>
        <row r="10">
          <cell r="B10">
            <v>2.8328508000000007E-3</v>
          </cell>
          <cell r="D10">
            <v>2.1246381000000002E-4</v>
          </cell>
        </row>
        <row r="11">
          <cell r="B11">
            <v>2.8972188000000007E-3</v>
          </cell>
          <cell r="D11">
            <v>2.1729141000000003E-4</v>
          </cell>
        </row>
        <row r="12">
          <cell r="B12">
            <v>3.0740392188E-3</v>
          </cell>
          <cell r="D12">
            <v>2.3055294141E-4</v>
          </cell>
        </row>
        <row r="13">
          <cell r="B13">
            <v>3.2552492187896999E-3</v>
          </cell>
          <cell r="D13">
            <v>2.441436914092275E-4</v>
          </cell>
        </row>
        <row r="14">
          <cell r="B14">
            <v>3.4442913004233424E-3</v>
          </cell>
          <cell r="D14">
            <v>2.5832184753175067E-4</v>
          </cell>
        </row>
        <row r="15">
          <cell r="B15">
            <v>3.6414647045321406E-3</v>
          </cell>
          <cell r="D15">
            <v>2.7310985283991051E-4</v>
          </cell>
        </row>
        <row r="16">
          <cell r="B16">
            <v>3.8470793670663719E-3</v>
          </cell>
          <cell r="D16">
            <v>2.8853095252997791E-4</v>
          </cell>
        </row>
        <row r="17">
          <cell r="B17">
            <v>4.0614562856587976E-3</v>
          </cell>
          <cell r="D17">
            <v>3.0460922142440985E-4</v>
          </cell>
        </row>
        <row r="18">
          <cell r="B18">
            <v>4.2849278983950918E-3</v>
          </cell>
          <cell r="D18">
            <v>3.213695923796319E-4</v>
          </cell>
        </row>
        <row r="19">
          <cell r="B19">
            <v>4.5178384751893294E-3</v>
          </cell>
          <cell r="D19">
            <v>3.3883788563919965E-4</v>
          </cell>
        </row>
        <row r="20">
          <cell r="B20">
            <v>4.7605445221753657E-3</v>
          </cell>
          <cell r="D20">
            <v>3.5704083916315236E-4</v>
          </cell>
        </row>
        <row r="21">
          <cell r="B21">
            <v>5.0134151995381345E-3</v>
          </cell>
          <cell r="D21">
            <v>3.7600613996536007E-4</v>
          </cell>
        </row>
        <row r="22">
          <cell r="B22">
            <v>5.2768327532224423E-3</v>
          </cell>
          <cell r="D22">
            <v>3.9576245649168318E-4</v>
          </cell>
        </row>
        <row r="23">
          <cell r="B23">
            <v>5.551192960970933E-3</v>
          </cell>
          <cell r="D23">
            <v>4.1633947207282002E-4</v>
          </cell>
        </row>
        <row r="24">
          <cell r="B24">
            <v>5.8369055931572836E-3</v>
          </cell>
          <cell r="D24">
            <v>4.3776791948679626E-4</v>
          </cell>
        </row>
        <row r="25">
          <cell r="B25">
            <v>6.1320799999999998E-3</v>
          </cell>
          <cell r="D25">
            <v>4.59906E-4</v>
          </cell>
        </row>
        <row r="32">
          <cell r="B32">
            <v>1.9744905862499995E-2</v>
          </cell>
          <cell r="D32">
            <v>4.5565167374999992E-4</v>
          </cell>
        </row>
        <row r="33">
          <cell r="B33">
            <v>2.0270367162500004E-2</v>
          </cell>
          <cell r="D33">
            <v>4.6777770375000001E-4</v>
          </cell>
        </row>
        <row r="34">
          <cell r="B34">
            <v>2.0758627662499998E-2</v>
          </cell>
          <cell r="D34">
            <v>4.7904525374999995E-4</v>
          </cell>
        </row>
        <row r="35">
          <cell r="B35">
            <v>2.1272131562499998E-2</v>
          </cell>
          <cell r="D35">
            <v>4.9089534375000002E-4</v>
          </cell>
        </row>
        <row r="36">
          <cell r="B36">
            <v>2.1780819287499999E-2</v>
          </cell>
          <cell r="D36">
            <v>5.0263429124999999E-4</v>
          </cell>
        </row>
        <row r="37">
          <cell r="B37">
            <v>2.2275722787500001E-2</v>
          </cell>
          <cell r="D37">
            <v>5.1405514125E-4</v>
          </cell>
        </row>
        <row r="38">
          <cell r="B38">
            <v>2.2980295974999999E-2</v>
          </cell>
          <cell r="D38">
            <v>5.3031452249999991E-4</v>
          </cell>
        </row>
        <row r="39">
          <cell r="B39">
            <v>2.3660622212500003E-2</v>
          </cell>
          <cell r="D39">
            <v>5.4601435875000002E-4</v>
          </cell>
        </row>
        <row r="40">
          <cell r="B40">
            <v>2.4340948450000004E-2</v>
          </cell>
          <cell r="D40">
            <v>5.6171419500000003E-4</v>
          </cell>
        </row>
        <row r="41">
          <cell r="B41">
            <v>2.5021274687499998E-2</v>
          </cell>
          <cell r="D41">
            <v>5.7741403125000004E-4</v>
          </cell>
        </row>
        <row r="42">
          <cell r="B42">
            <v>2.5701600924999998E-2</v>
          </cell>
          <cell r="D42">
            <v>5.9311386749999993E-4</v>
          </cell>
        </row>
        <row r="43">
          <cell r="B43">
            <v>2.6381927162500002E-2</v>
          </cell>
          <cell r="D43">
            <v>6.0881370375000005E-4</v>
          </cell>
        </row>
        <row r="44">
          <cell r="B44">
            <v>2.7062253399999996E-2</v>
          </cell>
          <cell r="D44">
            <v>6.2451353999999995E-4</v>
          </cell>
        </row>
        <row r="45">
          <cell r="B45">
            <v>2.7742579637500001E-2</v>
          </cell>
          <cell r="D45">
            <v>6.4021337625000006E-4</v>
          </cell>
        </row>
        <row r="46">
          <cell r="B46">
            <v>2.8422905875000005E-2</v>
          </cell>
          <cell r="D46">
            <v>6.5591321250000007E-4</v>
          </cell>
        </row>
        <row r="47">
          <cell r="B47">
            <v>2.9103232112499995E-2</v>
          </cell>
          <cell r="D47">
            <v>6.7161304874999985E-4</v>
          </cell>
        </row>
        <row r="48">
          <cell r="B48">
            <v>2.9783558349999999E-2</v>
          </cell>
          <cell r="D48">
            <v>6.8731288500000008E-4</v>
          </cell>
        </row>
        <row r="49">
          <cell r="B49">
            <v>3.0463884587500007E-2</v>
          </cell>
          <cell r="D49">
            <v>7.0301272125000019E-4</v>
          </cell>
        </row>
        <row r="50">
          <cell r="B50">
            <v>3.1144210824999997E-2</v>
          </cell>
          <cell r="D50">
            <v>7.1871255749999998E-4</v>
          </cell>
        </row>
        <row r="51">
          <cell r="B51">
            <v>3.1824537062499998E-2</v>
          </cell>
          <cell r="D51">
            <v>7.3441239374999999E-4</v>
          </cell>
        </row>
        <row r="59">
          <cell r="B59">
            <v>0.24841608508080001</v>
          </cell>
          <cell r="D59">
            <v>8.4424514460000009E-3</v>
          </cell>
        </row>
        <row r="60">
          <cell r="B60">
            <v>0.25502705805359999</v>
          </cell>
          <cell r="D60">
            <v>8.3548733400000009E-3</v>
          </cell>
        </row>
        <row r="61">
          <cell r="B61">
            <v>0.26116999754160003</v>
          </cell>
          <cell r="D61">
            <v>8.4351248960000038E-3</v>
          </cell>
        </row>
        <row r="62">
          <cell r="B62">
            <v>0.26763053118000002</v>
          </cell>
          <cell r="D62">
            <v>8.8356709309523815E-3</v>
          </cell>
        </row>
        <row r="63">
          <cell r="B63">
            <v>0.27403047119760005</v>
          </cell>
          <cell r="D63">
            <v>9.0469613383809527E-3</v>
          </cell>
        </row>
        <row r="64">
          <cell r="B64">
            <v>0.2802569880936</v>
          </cell>
          <cell r="D64">
            <v>9.252526279333333E-3</v>
          </cell>
        </row>
        <row r="65">
          <cell r="B65">
            <v>0.28912141692960003</v>
          </cell>
          <cell r="D65">
            <v>9.5451803940952377E-3</v>
          </cell>
        </row>
        <row r="66">
          <cell r="B66">
            <v>0.29768078822640004</v>
          </cell>
          <cell r="D66">
            <v>9.8277632063809538E-3</v>
          </cell>
        </row>
        <row r="67">
          <cell r="B67">
            <v>0.30624015952320005</v>
          </cell>
          <cell r="D67">
            <v>1.0110346018666668E-2</v>
          </cell>
        </row>
        <row r="68">
          <cell r="B68">
            <v>0.31479953082000001</v>
          </cell>
          <cell r="D68">
            <v>1.0392928830952384E-2</v>
          </cell>
        </row>
        <row r="69">
          <cell r="B69">
            <v>0.32335890211680002</v>
          </cell>
          <cell r="D69">
            <v>1.0675511643238097E-2</v>
          </cell>
        </row>
        <row r="70">
          <cell r="B70">
            <v>0.33191827341359992</v>
          </cell>
          <cell r="D70">
            <v>1.0958094455523809E-2</v>
          </cell>
        </row>
        <row r="71">
          <cell r="B71">
            <v>0.34047764471039998</v>
          </cell>
          <cell r="D71">
            <v>1.1240677267809526E-2</v>
          </cell>
        </row>
        <row r="72">
          <cell r="B72">
            <v>0.34903701600720005</v>
          </cell>
          <cell r="D72">
            <v>1.1523260080095238E-2</v>
          </cell>
        </row>
        <row r="73">
          <cell r="B73">
            <v>0.35634272618400004</v>
          </cell>
          <cell r="D73">
            <v>1.1764453978095238E-2</v>
          </cell>
        </row>
        <row r="74">
          <cell r="B74">
            <v>0.36490209748079994</v>
          </cell>
          <cell r="D74">
            <v>1.2047036790380952E-2</v>
          </cell>
        </row>
        <row r="75">
          <cell r="B75">
            <v>0.3734614687776</v>
          </cell>
          <cell r="D75">
            <v>1.2329619602666668E-2</v>
          </cell>
        </row>
        <row r="76">
          <cell r="B76">
            <v>0.38202084007440001</v>
          </cell>
          <cell r="D76">
            <v>1.2612202414952381E-2</v>
          </cell>
        </row>
        <row r="77">
          <cell r="B77">
            <v>0.39058021137120003</v>
          </cell>
          <cell r="D77">
            <v>1.2894785227238099E-2</v>
          </cell>
        </row>
        <row r="78">
          <cell r="B78">
            <v>0.39913958266800004</v>
          </cell>
          <cell r="D78">
            <v>1.3177368039523808E-2</v>
          </cell>
        </row>
      </sheetData>
      <sheetData sheetId="4"/>
      <sheetData sheetId="5">
        <row r="14">
          <cell r="M14">
            <v>0.54054503307426582</v>
          </cell>
        </row>
        <row r="15">
          <cell r="M15">
            <v>0.55356535905087767</v>
          </cell>
        </row>
        <row r="16">
          <cell r="M16">
            <v>0.56725884473784494</v>
          </cell>
        </row>
        <row r="17">
          <cell r="M17">
            <v>0.58082389863796802</v>
          </cell>
        </row>
        <row r="18">
          <cell r="M18">
            <v>0.59402137190677862</v>
          </cell>
        </row>
        <row r="19">
          <cell r="M19">
            <v>0.61281005658561372</v>
          </cell>
        </row>
        <row r="20">
          <cell r="M20">
            <v>0.63095215364792334</v>
          </cell>
        </row>
        <row r="21">
          <cell r="M21">
            <v>0.64909425071023319</v>
          </cell>
        </row>
        <row r="22">
          <cell r="M22">
            <v>0.66723634777254259</v>
          </cell>
        </row>
        <row r="23">
          <cell r="M23">
            <v>0.68537844483485211</v>
          </cell>
        </row>
        <row r="24">
          <cell r="M24">
            <v>0.70352054189716196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B_CH4 emissions"/>
      <sheetName val="4B_N2O emission"/>
      <sheetName val="4C1_CO2_Incineration"/>
      <sheetName val="4C2_Amount_Waste_OpenBurned"/>
      <sheetName val="4C2_CO2_OpenBurning"/>
      <sheetName val="4C1_CO2_fossil_liquid"/>
      <sheetName val="4C1_CH4_Incineration"/>
      <sheetName val="4C2_CH4_OpenBurning"/>
      <sheetName val="4C1_N2O_Incineration"/>
      <sheetName val="4C2_N2O_OpenBurning"/>
      <sheetName val="4D1_TOW_DomesticWastewater"/>
      <sheetName val="4D1_CH4_EF_DomesticWastewater"/>
      <sheetName val="4D1_CH4_Domestic_Wastewater"/>
      <sheetName val="4D2_TOW_IndustryWastewater"/>
      <sheetName val="4D2_CH4_EF_IndustrialWastewater"/>
      <sheetName val="4D2_CH4_Industrial_Wastewater"/>
      <sheetName val="4D1_N_effluent"/>
      <sheetName val="4D1_Indirect_N2O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12">
          <cell r="G12">
            <v>5512074</v>
          </cell>
        </row>
        <row r="13">
          <cell r="G13">
            <v>6027270</v>
          </cell>
        </row>
        <row r="14">
          <cell r="G14">
            <v>6259908</v>
          </cell>
        </row>
        <row r="15">
          <cell r="G15">
            <v>8156952</v>
          </cell>
        </row>
        <row r="16">
          <cell r="G16">
            <v>8186580</v>
          </cell>
        </row>
        <row r="17">
          <cell r="G17">
            <v>12767946</v>
          </cell>
        </row>
        <row r="18">
          <cell r="G18">
            <v>17307963.557999998</v>
          </cell>
        </row>
        <row r="19">
          <cell r="G19">
            <v>18632047.103999998</v>
          </cell>
        </row>
        <row r="20">
          <cell r="G20">
            <v>19995254.838</v>
          </cell>
        </row>
        <row r="21">
          <cell r="G21">
            <v>21397586.759999998</v>
          </cell>
        </row>
        <row r="22">
          <cell r="G22">
            <v>22389377.173333328</v>
          </cell>
        </row>
        <row r="23">
          <cell r="G23">
            <v>23403132.015999988</v>
          </cell>
        </row>
        <row r="24">
          <cell r="G24">
            <v>24438851.287999988</v>
          </cell>
        </row>
        <row r="25">
          <cell r="G25">
            <v>25496534.989333317</v>
          </cell>
        </row>
        <row r="26">
          <cell r="G26">
            <v>26576183.119999986</v>
          </cell>
        </row>
        <row r="27">
          <cell r="G27">
            <v>27677795.679999985</v>
          </cell>
        </row>
        <row r="28">
          <cell r="G28">
            <v>28801372.669333309</v>
          </cell>
        </row>
        <row r="29">
          <cell r="G29">
            <v>29946914.08799997</v>
          </cell>
        </row>
        <row r="30">
          <cell r="G30">
            <v>31114419.935999975</v>
          </cell>
        </row>
        <row r="31">
          <cell r="G31">
            <v>31629479.807999969</v>
          </cell>
        </row>
      </sheetData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opLeftCell="A3" zoomScale="85" zoomScaleNormal="85" workbookViewId="0">
      <selection activeCell="I18" sqref="I18"/>
    </sheetView>
  </sheetViews>
  <sheetFormatPr defaultRowHeight="15" x14ac:dyDescent="0.25"/>
  <cols>
    <col min="1" max="1" width="9.140625" style="79"/>
    <col min="2" max="2" width="18.42578125" style="79" customWidth="1"/>
    <col min="3" max="3" width="19.42578125" style="79" customWidth="1"/>
    <col min="4" max="4" width="14" style="79" customWidth="1"/>
    <col min="5" max="5" width="16.7109375" style="79" customWidth="1"/>
    <col min="6" max="9" width="9.140625" style="79"/>
    <col min="10" max="10" width="7.5703125" style="79" customWidth="1"/>
    <col min="11" max="11" width="2" style="79" customWidth="1"/>
    <col min="12" max="12" width="5.7109375" style="79" customWidth="1"/>
    <col min="13" max="16384" width="9.140625" style="79"/>
  </cols>
  <sheetData>
    <row r="1" spans="1:14" x14ac:dyDescent="0.25">
      <c r="A1" s="79" t="s">
        <v>123</v>
      </c>
    </row>
    <row r="2" spans="1:14" ht="21" x14ac:dyDescent="0.25">
      <c r="G2" s="80" t="s">
        <v>17</v>
      </c>
    </row>
    <row r="3" spans="1:14" ht="15.75" customHeight="1" x14ac:dyDescent="0.25">
      <c r="A3" s="177" t="s">
        <v>10</v>
      </c>
      <c r="B3" s="177" t="s">
        <v>124</v>
      </c>
      <c r="C3" s="78" t="s">
        <v>11</v>
      </c>
      <c r="D3" s="176" t="s">
        <v>11</v>
      </c>
      <c r="E3" s="176"/>
      <c r="G3" s="81" t="s">
        <v>15</v>
      </c>
      <c r="H3" s="81"/>
      <c r="I3" s="81"/>
    </row>
    <row r="4" spans="1:14" x14ac:dyDescent="0.25">
      <c r="A4" s="178"/>
      <c r="B4" s="178"/>
      <c r="C4" s="78" t="s">
        <v>118</v>
      </c>
      <c r="D4" s="78" t="s">
        <v>13</v>
      </c>
      <c r="E4" s="78" t="s">
        <v>14</v>
      </c>
      <c r="G4" s="81" t="s">
        <v>16</v>
      </c>
      <c r="H4" s="81"/>
      <c r="I4" s="81"/>
    </row>
    <row r="5" spans="1:14" x14ac:dyDescent="0.25">
      <c r="A5" s="89">
        <v>2011</v>
      </c>
      <c r="B5" s="90">
        <f>[1]Sheet3!C14</f>
        <v>237783</v>
      </c>
      <c r="C5" s="82">
        <v>0.2</v>
      </c>
      <c r="D5" s="137">
        <f t="shared" ref="D5:D24" si="0">C5*B5</f>
        <v>47556.600000000006</v>
      </c>
      <c r="E5" s="137">
        <f>D5/1000</f>
        <v>47.556600000000003</v>
      </c>
    </row>
    <row r="6" spans="1:14" x14ac:dyDescent="0.25">
      <c r="A6" s="89">
        <v>2012</v>
      </c>
      <c r="B6" s="90">
        <f>[1]Sheet3!C15</f>
        <v>244111</v>
      </c>
      <c r="C6" s="82">
        <v>0.2</v>
      </c>
      <c r="D6" s="137">
        <f t="shared" si="0"/>
        <v>48822.200000000004</v>
      </c>
      <c r="E6" s="137">
        <f t="shared" ref="E6:E24" si="1">D6/1000</f>
        <v>48.822200000000002</v>
      </c>
      <c r="G6" s="83" t="s">
        <v>36</v>
      </c>
      <c r="H6" s="83"/>
      <c r="I6" s="83"/>
      <c r="J6" s="84">
        <v>2</v>
      </c>
      <c r="K6" s="85" t="s">
        <v>32</v>
      </c>
      <c r="L6" s="84">
        <v>3</v>
      </c>
      <c r="M6" s="83" t="s">
        <v>37</v>
      </c>
      <c r="N6" s="83"/>
    </row>
    <row r="7" spans="1:14" x14ac:dyDescent="0.25">
      <c r="A7" s="89">
        <v>2013</v>
      </c>
      <c r="B7" s="90">
        <f>[1]Sheet3!C16</f>
        <v>249991</v>
      </c>
      <c r="C7" s="82">
        <v>0.2</v>
      </c>
      <c r="D7" s="137">
        <f t="shared" si="0"/>
        <v>49998.200000000004</v>
      </c>
      <c r="E7" s="137">
        <f t="shared" si="1"/>
        <v>49.998200000000004</v>
      </c>
      <c r="G7" s="83"/>
      <c r="H7" s="83"/>
      <c r="I7" s="83"/>
      <c r="J7" s="84">
        <f>(2*250)/1000</f>
        <v>0.5</v>
      </c>
      <c r="K7" s="85" t="s">
        <v>32</v>
      </c>
      <c r="L7" s="84">
        <f>(3*250)/1000</f>
        <v>0.75</v>
      </c>
      <c r="M7" s="83" t="s">
        <v>12</v>
      </c>
      <c r="N7" s="83"/>
    </row>
    <row r="8" spans="1:14" x14ac:dyDescent="0.25">
      <c r="A8" s="89">
        <v>2014</v>
      </c>
      <c r="B8" s="90">
        <f>[1]Sheet3!C17</f>
        <v>256175</v>
      </c>
      <c r="C8" s="82">
        <v>0.2</v>
      </c>
      <c r="D8" s="137">
        <f t="shared" si="0"/>
        <v>51235</v>
      </c>
      <c r="E8" s="137">
        <f t="shared" si="1"/>
        <v>51.234999999999999</v>
      </c>
      <c r="G8" s="83"/>
      <c r="H8" s="83"/>
      <c r="I8" s="83"/>
      <c r="J8" s="86">
        <f>J7*(365/1000)</f>
        <v>0.1825</v>
      </c>
      <c r="K8" s="87" t="s">
        <v>32</v>
      </c>
      <c r="L8" s="86">
        <f>L7*(365/1000)</f>
        <v>0.27374999999999999</v>
      </c>
      <c r="M8" s="83" t="s">
        <v>38</v>
      </c>
      <c r="N8" s="83"/>
    </row>
    <row r="9" spans="1:14" x14ac:dyDescent="0.25">
      <c r="A9" s="89">
        <v>2015</v>
      </c>
      <c r="B9" s="90">
        <f>[1]Sheet3!C18</f>
        <v>262301</v>
      </c>
      <c r="C9" s="82">
        <v>0.2</v>
      </c>
      <c r="D9" s="137">
        <f t="shared" si="0"/>
        <v>52460.200000000004</v>
      </c>
      <c r="E9" s="137">
        <f t="shared" si="1"/>
        <v>52.460200000000007</v>
      </c>
    </row>
    <row r="10" spans="1:14" x14ac:dyDescent="0.25">
      <c r="A10" s="89">
        <v>2016</v>
      </c>
      <c r="B10" s="90">
        <f>[1]Sheet3!C19</f>
        <v>268261</v>
      </c>
      <c r="C10" s="82">
        <v>0.2</v>
      </c>
      <c r="D10" s="137">
        <f t="shared" si="0"/>
        <v>53652.200000000004</v>
      </c>
      <c r="E10" s="137">
        <f t="shared" si="1"/>
        <v>53.652200000000008</v>
      </c>
      <c r="G10" s="88" t="s">
        <v>33</v>
      </c>
      <c r="H10" s="88"/>
      <c r="I10" s="88" t="s">
        <v>34</v>
      </c>
      <c r="J10" s="88"/>
      <c r="K10" s="88"/>
    </row>
    <row r="11" spans="1:14" x14ac:dyDescent="0.25">
      <c r="A11" s="89">
        <v>2017</v>
      </c>
      <c r="B11" s="90">
        <f>[1]Sheet3!C20</f>
        <v>276746</v>
      </c>
      <c r="C11" s="82">
        <v>0.2</v>
      </c>
      <c r="D11" s="137">
        <f t="shared" si="0"/>
        <v>55349.200000000004</v>
      </c>
      <c r="E11" s="137">
        <f t="shared" si="1"/>
        <v>55.349200000000003</v>
      </c>
      <c r="G11" s="88"/>
      <c r="H11" s="88"/>
      <c r="I11" s="88" t="s">
        <v>35</v>
      </c>
      <c r="J11" s="88"/>
      <c r="K11" s="88"/>
    </row>
    <row r="12" spans="1:14" x14ac:dyDescent="0.25">
      <c r="A12" s="89">
        <v>2018</v>
      </c>
      <c r="B12" s="90">
        <f>[1]Sheet3!C21</f>
        <v>284939</v>
      </c>
      <c r="C12" s="82">
        <v>0.2</v>
      </c>
      <c r="D12" s="137">
        <f t="shared" si="0"/>
        <v>56987.8</v>
      </c>
      <c r="E12" s="137">
        <f t="shared" si="1"/>
        <v>56.9878</v>
      </c>
    </row>
    <row r="13" spans="1:14" x14ac:dyDescent="0.25">
      <c r="A13" s="89">
        <v>2019</v>
      </c>
      <c r="B13" s="90">
        <f>[1]Sheet3!C22</f>
        <v>293132</v>
      </c>
      <c r="C13" s="82">
        <v>0.2</v>
      </c>
      <c r="D13" s="137">
        <f t="shared" si="0"/>
        <v>58626.400000000001</v>
      </c>
      <c r="E13" s="137">
        <f t="shared" si="1"/>
        <v>58.626400000000004</v>
      </c>
    </row>
    <row r="14" spans="1:14" x14ac:dyDescent="0.25">
      <c r="A14" s="89">
        <v>2020</v>
      </c>
      <c r="B14" s="90">
        <f>[1]Sheet3!C23</f>
        <v>301325</v>
      </c>
      <c r="C14" s="82">
        <v>0.2</v>
      </c>
      <c r="D14" s="137">
        <f t="shared" si="0"/>
        <v>60265</v>
      </c>
      <c r="E14" s="137">
        <f t="shared" si="1"/>
        <v>60.265000000000001</v>
      </c>
    </row>
    <row r="15" spans="1:14" x14ac:dyDescent="0.25">
      <c r="A15" s="89">
        <v>2021</v>
      </c>
      <c r="B15" s="90">
        <f>[1]Sheet3!C24</f>
        <v>309518</v>
      </c>
      <c r="C15" s="82">
        <v>0.2</v>
      </c>
      <c r="D15" s="137">
        <f t="shared" si="0"/>
        <v>61903.600000000006</v>
      </c>
      <c r="E15" s="137">
        <f t="shared" si="1"/>
        <v>61.903600000000004</v>
      </c>
    </row>
    <row r="16" spans="1:14" x14ac:dyDescent="0.25">
      <c r="A16" s="89">
        <v>2022</v>
      </c>
      <c r="B16" s="90">
        <f>[1]Sheet3!C25</f>
        <v>317711</v>
      </c>
      <c r="C16" s="82">
        <v>0.2</v>
      </c>
      <c r="D16" s="137">
        <f t="shared" si="0"/>
        <v>63542.200000000004</v>
      </c>
      <c r="E16" s="137">
        <f t="shared" si="1"/>
        <v>63.542200000000001</v>
      </c>
    </row>
    <row r="17" spans="1:10" x14ac:dyDescent="0.25">
      <c r="A17" s="89">
        <v>2023</v>
      </c>
      <c r="B17" s="90">
        <f>[1]Sheet3!C26</f>
        <v>325904</v>
      </c>
      <c r="C17" s="82">
        <v>0.2</v>
      </c>
      <c r="D17" s="137">
        <f t="shared" si="0"/>
        <v>65180.800000000003</v>
      </c>
      <c r="E17" s="137">
        <f t="shared" si="1"/>
        <v>65.180800000000005</v>
      </c>
      <c r="G17" s="91"/>
      <c r="H17" s="91"/>
      <c r="I17" s="91"/>
      <c r="J17" s="91"/>
    </row>
    <row r="18" spans="1:10" x14ac:dyDescent="0.25">
      <c r="A18" s="89">
        <v>2024</v>
      </c>
      <c r="B18" s="90">
        <f>[1]Sheet3!C27</f>
        <v>334097</v>
      </c>
      <c r="C18" s="82">
        <v>0.2</v>
      </c>
      <c r="D18" s="137">
        <f t="shared" si="0"/>
        <v>66819.400000000009</v>
      </c>
      <c r="E18" s="137">
        <f t="shared" si="1"/>
        <v>66.819400000000002</v>
      </c>
      <c r="G18" s="91"/>
      <c r="H18" s="91"/>
      <c r="I18" s="91"/>
      <c r="J18" s="91"/>
    </row>
    <row r="19" spans="1:10" x14ac:dyDescent="0.25">
      <c r="A19" s="89">
        <v>2025</v>
      </c>
      <c r="B19" s="90">
        <f>[1]Sheet3!C28</f>
        <v>342290</v>
      </c>
      <c r="C19" s="82">
        <v>0.2</v>
      </c>
      <c r="D19" s="137">
        <f t="shared" si="0"/>
        <v>68458</v>
      </c>
      <c r="E19" s="137">
        <f t="shared" si="1"/>
        <v>68.457999999999998</v>
      </c>
      <c r="G19" s="91"/>
      <c r="H19" s="91"/>
      <c r="I19" s="91"/>
      <c r="J19" s="91"/>
    </row>
    <row r="20" spans="1:10" x14ac:dyDescent="0.25">
      <c r="A20" s="89">
        <v>2026</v>
      </c>
      <c r="B20" s="90">
        <f>[1]Sheet3!C29</f>
        <v>350483</v>
      </c>
      <c r="C20" s="82">
        <v>0.2</v>
      </c>
      <c r="D20" s="137">
        <f t="shared" si="0"/>
        <v>70096.600000000006</v>
      </c>
      <c r="E20" s="137">
        <f t="shared" si="1"/>
        <v>70.096600000000009</v>
      </c>
      <c r="G20" s="91"/>
      <c r="H20" s="91"/>
      <c r="I20" s="91"/>
      <c r="J20" s="91"/>
    </row>
    <row r="21" spans="1:10" x14ac:dyDescent="0.25">
      <c r="A21" s="89">
        <v>2027</v>
      </c>
      <c r="B21" s="90">
        <f>[1]Sheet3!C30</f>
        <v>358676</v>
      </c>
      <c r="C21" s="82">
        <v>0.2</v>
      </c>
      <c r="D21" s="137">
        <f t="shared" si="0"/>
        <v>71735.199999999997</v>
      </c>
      <c r="E21" s="137">
        <f t="shared" si="1"/>
        <v>71.735199999999992</v>
      </c>
      <c r="G21" s="91"/>
      <c r="H21" s="91"/>
      <c r="I21" s="91"/>
      <c r="J21" s="91"/>
    </row>
    <row r="22" spans="1:10" x14ac:dyDescent="0.25">
      <c r="A22" s="89">
        <v>2028</v>
      </c>
      <c r="B22" s="90">
        <f>[1]Sheet3!C31</f>
        <v>366869</v>
      </c>
      <c r="C22" s="82">
        <v>0.2</v>
      </c>
      <c r="D22" s="137">
        <f t="shared" si="0"/>
        <v>73373.8</v>
      </c>
      <c r="E22" s="137">
        <f t="shared" si="1"/>
        <v>73.373800000000003</v>
      </c>
      <c r="G22" s="91"/>
      <c r="H22" s="91"/>
      <c r="I22" s="91"/>
      <c r="J22" s="91"/>
    </row>
    <row r="23" spans="1:10" x14ac:dyDescent="0.25">
      <c r="A23" s="89">
        <v>2029</v>
      </c>
      <c r="B23" s="90">
        <f>[1]Sheet3!C32</f>
        <v>375062</v>
      </c>
      <c r="C23" s="82">
        <v>0.2</v>
      </c>
      <c r="D23" s="137">
        <f t="shared" si="0"/>
        <v>75012.400000000009</v>
      </c>
      <c r="E23" s="137">
        <f t="shared" si="1"/>
        <v>75.012400000000014</v>
      </c>
      <c r="G23" s="91"/>
      <c r="H23" s="91"/>
      <c r="I23" s="91"/>
      <c r="J23" s="91"/>
    </row>
    <row r="24" spans="1:10" x14ac:dyDescent="0.25">
      <c r="A24" s="89">
        <v>2030</v>
      </c>
      <c r="B24" s="90">
        <f>[1]Sheet3!C33</f>
        <v>383255</v>
      </c>
      <c r="C24" s="82">
        <v>0.2</v>
      </c>
      <c r="D24" s="137">
        <f t="shared" si="0"/>
        <v>76651</v>
      </c>
      <c r="E24" s="137">
        <f t="shared" si="1"/>
        <v>76.650999999999996</v>
      </c>
      <c r="G24" s="91"/>
      <c r="H24" s="91"/>
      <c r="I24" s="91"/>
      <c r="J24" s="91"/>
    </row>
  </sheetData>
  <mergeCells count="3">
    <mergeCell ref="D3:E3"/>
    <mergeCell ref="B3:B4"/>
    <mergeCell ref="A3:A4"/>
  </mergeCells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Y76"/>
  <sheetViews>
    <sheetView topLeftCell="A51" zoomScaleNormal="100" workbookViewId="0">
      <selection activeCell="B71" sqref="B70:B71"/>
    </sheetView>
  </sheetViews>
  <sheetFormatPr defaultRowHeight="12.75" x14ac:dyDescent="0.25"/>
  <cols>
    <col min="1" max="1" width="9.140625" style="131"/>
    <col min="2" max="2" width="15.5703125" style="131" customWidth="1"/>
    <col min="3" max="3" width="11" style="131" customWidth="1"/>
    <col min="4" max="6" width="9.140625" style="131"/>
    <col min="7" max="7" width="12.28515625" style="131" customWidth="1"/>
    <col min="8" max="8" width="9.140625" style="131"/>
    <col min="9" max="9" width="16.85546875" style="131" customWidth="1"/>
    <col min="10" max="10" width="24.7109375" style="131" customWidth="1"/>
    <col min="11" max="11" width="9.140625" style="131"/>
    <col min="12" max="12" width="9" style="138" bestFit="1" customWidth="1"/>
    <col min="13" max="13" width="12" style="138" bestFit="1" customWidth="1"/>
    <col min="14" max="14" width="2.42578125" style="138" customWidth="1"/>
    <col min="15" max="15" width="7.140625" style="138" customWidth="1"/>
    <col min="16" max="19" width="9.140625" style="138"/>
    <col min="20" max="20" width="1.42578125" style="138" customWidth="1"/>
    <col min="21" max="21" width="7.140625" style="138" customWidth="1"/>
    <col min="22" max="22" width="50.28515625" style="138" customWidth="1"/>
    <col min="23" max="25" width="9.140625" style="138"/>
    <col min="26" max="16384" width="9.140625" style="131"/>
  </cols>
  <sheetData>
    <row r="2" spans="1:21" ht="51" x14ac:dyDescent="0.25">
      <c r="A2" s="179" t="s">
        <v>153</v>
      </c>
      <c r="B2" s="179"/>
      <c r="C2" s="179"/>
      <c r="D2" s="179"/>
      <c r="E2" s="179"/>
      <c r="F2" s="179"/>
      <c r="G2" s="179"/>
      <c r="H2" s="179"/>
      <c r="I2" s="179"/>
      <c r="J2" s="163" t="s">
        <v>154</v>
      </c>
    </row>
    <row r="3" spans="1:21" x14ac:dyDescent="0.25">
      <c r="A3" s="139" t="s">
        <v>152</v>
      </c>
    </row>
    <row r="4" spans="1:21" x14ac:dyDescent="0.25">
      <c r="A4" s="180" t="s">
        <v>8</v>
      </c>
      <c r="B4" s="180" t="s">
        <v>0</v>
      </c>
      <c r="C4" s="180"/>
      <c r="D4" s="180"/>
      <c r="E4" s="180"/>
      <c r="F4" s="180"/>
      <c r="G4" s="180"/>
      <c r="H4" s="180"/>
      <c r="I4" s="184" t="s">
        <v>9</v>
      </c>
    </row>
    <row r="5" spans="1:21" ht="25.5" x14ac:dyDescent="0.25">
      <c r="A5" s="180"/>
      <c r="B5" s="136" t="s">
        <v>1</v>
      </c>
      <c r="C5" s="136" t="s">
        <v>2</v>
      </c>
      <c r="D5" s="136" t="s">
        <v>148</v>
      </c>
      <c r="E5" s="136" t="s">
        <v>4</v>
      </c>
      <c r="F5" s="170" t="s">
        <v>155</v>
      </c>
      <c r="G5" s="136" t="s">
        <v>127</v>
      </c>
      <c r="H5" s="136" t="s">
        <v>7</v>
      </c>
      <c r="I5" s="185"/>
      <c r="P5" s="140"/>
    </row>
    <row r="6" spans="1:21" ht="17.25" customHeight="1" x14ac:dyDescent="0.25">
      <c r="A6" s="141">
        <v>2011</v>
      </c>
      <c r="B6" s="169">
        <v>0.31609999999999999</v>
      </c>
      <c r="C6" s="169">
        <f>4%+9.35%+8.46%+6.21%</f>
        <v>0.2802</v>
      </c>
      <c r="D6" s="169">
        <v>1.35E-2</v>
      </c>
      <c r="E6" s="169">
        <v>0.39019999999999999</v>
      </c>
      <c r="F6" s="161">
        <v>0</v>
      </c>
      <c r="G6" s="161"/>
      <c r="H6" s="161"/>
      <c r="I6" s="142">
        <f>SUM(B6:H6)</f>
        <v>1</v>
      </c>
      <c r="L6" s="92"/>
    </row>
    <row r="7" spans="1:21" x14ac:dyDescent="0.25">
      <c r="A7" s="141">
        <v>2012</v>
      </c>
      <c r="B7" s="169">
        <v>0.31609999999999999</v>
      </c>
      <c r="C7" s="169">
        <f t="shared" ref="C7:C11" si="0">4%+9.35%+8.46%+6.21%</f>
        <v>0.2802</v>
      </c>
      <c r="D7" s="169">
        <v>1.35E-2</v>
      </c>
      <c r="E7" s="169">
        <v>0.39019999999999999</v>
      </c>
      <c r="F7" s="161">
        <v>0</v>
      </c>
      <c r="G7" s="161"/>
      <c r="H7" s="161"/>
      <c r="I7" s="142">
        <f t="shared" ref="I7:I25" si="1">SUM(B7:H7)</f>
        <v>1</v>
      </c>
      <c r="L7" s="138">
        <v>2000</v>
      </c>
      <c r="M7" s="138">
        <f>M8-(M8*0.024)</f>
        <v>0</v>
      </c>
      <c r="N7" s="93"/>
      <c r="O7" s="94"/>
      <c r="P7" s="140"/>
      <c r="S7" s="143"/>
      <c r="T7" s="144"/>
      <c r="U7" s="143"/>
    </row>
    <row r="8" spans="1:21" x14ac:dyDescent="0.25">
      <c r="A8" s="141">
        <v>2013</v>
      </c>
      <c r="B8" s="169">
        <v>0.31609999999999999</v>
      </c>
      <c r="C8" s="169">
        <f t="shared" si="0"/>
        <v>0.2802</v>
      </c>
      <c r="D8" s="169">
        <v>1.35E-2</v>
      </c>
      <c r="E8" s="169">
        <v>0.39019999999999999</v>
      </c>
      <c r="F8" s="161">
        <v>0</v>
      </c>
      <c r="G8" s="161"/>
      <c r="H8" s="161"/>
      <c r="I8" s="142">
        <f t="shared" si="1"/>
        <v>1</v>
      </c>
      <c r="L8" s="138">
        <v>2001</v>
      </c>
      <c r="M8" s="138">
        <f t="shared" ref="M8:M10" si="2">M9-(M9*0.024)</f>
        <v>0</v>
      </c>
      <c r="N8" s="94"/>
      <c r="O8" s="94"/>
      <c r="P8" s="140"/>
      <c r="S8" s="145"/>
      <c r="T8" s="145"/>
      <c r="U8" s="145"/>
    </row>
    <row r="9" spans="1:21" x14ac:dyDescent="0.25">
      <c r="A9" s="141">
        <v>2014</v>
      </c>
      <c r="B9" s="169">
        <v>0.31609999999999999</v>
      </c>
      <c r="C9" s="169">
        <f t="shared" si="0"/>
        <v>0.2802</v>
      </c>
      <c r="D9" s="169">
        <v>1.35E-2</v>
      </c>
      <c r="E9" s="169">
        <v>0.39019999999999999</v>
      </c>
      <c r="F9" s="161">
        <v>0</v>
      </c>
      <c r="G9" s="161"/>
      <c r="H9" s="161"/>
      <c r="I9" s="142">
        <f t="shared" si="1"/>
        <v>1</v>
      </c>
      <c r="L9" s="138">
        <v>2002</v>
      </c>
      <c r="M9" s="138">
        <f t="shared" si="2"/>
        <v>0</v>
      </c>
      <c r="N9" s="94"/>
      <c r="O9" s="94"/>
      <c r="P9" s="140"/>
    </row>
    <row r="10" spans="1:21" x14ac:dyDescent="0.25">
      <c r="A10" s="141">
        <v>2015</v>
      </c>
      <c r="B10" s="169">
        <v>0.31609999999999999</v>
      </c>
      <c r="C10" s="169">
        <f t="shared" si="0"/>
        <v>0.2802</v>
      </c>
      <c r="D10" s="169">
        <v>1.35E-2</v>
      </c>
      <c r="E10" s="169">
        <v>0.39019999999999999</v>
      </c>
      <c r="F10" s="161">
        <v>0</v>
      </c>
      <c r="G10" s="161"/>
      <c r="H10" s="161"/>
      <c r="I10" s="142">
        <f t="shared" si="1"/>
        <v>1</v>
      </c>
      <c r="L10" s="138">
        <v>2003</v>
      </c>
      <c r="M10" s="138">
        <f t="shared" si="2"/>
        <v>0</v>
      </c>
      <c r="N10" s="93"/>
      <c r="O10" s="94"/>
      <c r="P10" s="140"/>
    </row>
    <row r="11" spans="1:21" x14ac:dyDescent="0.25">
      <c r="A11" s="141">
        <v>2016</v>
      </c>
      <c r="B11" s="169">
        <v>0.31609999999999999</v>
      </c>
      <c r="C11" s="169">
        <f t="shared" si="0"/>
        <v>0.2802</v>
      </c>
      <c r="D11" s="169">
        <v>1.35E-2</v>
      </c>
      <c r="E11" s="169">
        <v>0.39019999999999999</v>
      </c>
      <c r="F11" s="161">
        <v>0</v>
      </c>
      <c r="G11" s="161"/>
      <c r="H11" s="161"/>
      <c r="I11" s="142">
        <f t="shared" si="1"/>
        <v>1</v>
      </c>
      <c r="L11" s="138">
        <v>2004</v>
      </c>
      <c r="M11" s="138">
        <f>M12-(M12*0.024)</f>
        <v>0</v>
      </c>
    </row>
    <row r="12" spans="1:21" x14ac:dyDescent="0.25">
      <c r="A12" s="141">
        <v>2017</v>
      </c>
      <c r="B12" s="169">
        <f>B11*1.0255</f>
        <v>0.32416054999999999</v>
      </c>
      <c r="C12" s="169">
        <f>C11*(1-0.0238)</f>
        <v>0.27353124000000001</v>
      </c>
      <c r="D12" s="169">
        <f t="shared" ref="D12:D24" si="3">D11*1.0285</f>
        <v>1.388475E-2</v>
      </c>
      <c r="E12" s="169">
        <f>E11*(1-0.0119)</f>
        <v>0.38555661999999996</v>
      </c>
      <c r="F12" s="161">
        <v>0.02</v>
      </c>
      <c r="G12" s="161"/>
      <c r="H12" s="161"/>
      <c r="I12" s="142">
        <f t="shared" si="1"/>
        <v>1.01713316</v>
      </c>
      <c r="L12" s="138">
        <v>2005</v>
      </c>
      <c r="M12" s="138">
        <f>M13-(M13*O29)</f>
        <v>0</v>
      </c>
    </row>
    <row r="13" spans="1:21" x14ac:dyDescent="0.25">
      <c r="A13" s="141">
        <v>2018</v>
      </c>
      <c r="B13" s="169">
        <f t="shared" ref="B13:B24" si="4">B12*1.0255</f>
        <v>0.332426644025</v>
      </c>
      <c r="C13" s="169">
        <f t="shared" ref="C13:C24" si="5">C12*(1-0.0238)</f>
        <v>0.26702119648799999</v>
      </c>
      <c r="D13" s="169">
        <f t="shared" si="3"/>
        <v>1.4280465374999999E-2</v>
      </c>
      <c r="E13" s="169">
        <f t="shared" ref="E13:E24" si="6">E12*(1-0.0119)</f>
        <v>0.38096849622199996</v>
      </c>
      <c r="F13" s="161">
        <f>F12*1.073</f>
        <v>2.146E-2</v>
      </c>
      <c r="G13" s="161"/>
      <c r="H13" s="161"/>
      <c r="I13" s="142">
        <f t="shared" si="1"/>
        <v>1.01615680211</v>
      </c>
      <c r="L13" s="138">
        <v>2006</v>
      </c>
      <c r="M13" s="138">
        <f>M14-(M14*O29)</f>
        <v>0</v>
      </c>
    </row>
    <row r="14" spans="1:21" x14ac:dyDescent="0.25">
      <c r="A14" s="141">
        <v>2019</v>
      </c>
      <c r="B14" s="169">
        <f t="shared" si="4"/>
        <v>0.34090352344763752</v>
      </c>
      <c r="C14" s="169">
        <f t="shared" si="5"/>
        <v>0.26066609201158558</v>
      </c>
      <c r="D14" s="169">
        <f t="shared" si="3"/>
        <v>1.4687458638187498E-2</v>
      </c>
      <c r="E14" s="169">
        <f t="shared" si="6"/>
        <v>0.37643497111695817</v>
      </c>
      <c r="F14" s="161">
        <f t="shared" ref="F14:F24" si="7">F13*1.073</f>
        <v>2.3026579999999998E-2</v>
      </c>
      <c r="G14" s="161"/>
      <c r="H14" s="161"/>
      <c r="I14" s="142">
        <f t="shared" si="1"/>
        <v>1.0157186252143688</v>
      </c>
      <c r="L14" s="138">
        <v>2007</v>
      </c>
      <c r="M14" s="138">
        <f>M15-(M15*O29)</f>
        <v>0</v>
      </c>
      <c r="P14" s="140"/>
    </row>
    <row r="15" spans="1:21" x14ac:dyDescent="0.25">
      <c r="A15" s="141">
        <v>2020</v>
      </c>
      <c r="B15" s="169">
        <f t="shared" si="4"/>
        <v>0.34959656329555233</v>
      </c>
      <c r="C15" s="169">
        <f t="shared" si="5"/>
        <v>0.25446223902170984</v>
      </c>
      <c r="D15" s="169">
        <f t="shared" si="3"/>
        <v>1.5106051209375842E-2</v>
      </c>
      <c r="E15" s="169">
        <f t="shared" si="6"/>
        <v>0.37195539496066637</v>
      </c>
      <c r="F15" s="161">
        <f t="shared" si="7"/>
        <v>2.4707520339999997E-2</v>
      </c>
      <c r="G15" s="161"/>
      <c r="H15" s="161"/>
      <c r="I15" s="142">
        <f t="shared" si="1"/>
        <v>1.0158277688273043</v>
      </c>
      <c r="L15" s="138">
        <v>2008</v>
      </c>
      <c r="M15" s="138">
        <f>M27-(M27*O29)</f>
        <v>0</v>
      </c>
      <c r="S15" s="143"/>
    </row>
    <row r="16" spans="1:21" x14ac:dyDescent="0.25">
      <c r="A16" s="141">
        <v>2021</v>
      </c>
      <c r="B16" s="169">
        <f t="shared" si="4"/>
        <v>0.35851127565958896</v>
      </c>
      <c r="C16" s="169">
        <f t="shared" si="5"/>
        <v>0.24840603773299313</v>
      </c>
      <c r="D16" s="169">
        <f t="shared" si="3"/>
        <v>1.5536573668843054E-2</v>
      </c>
      <c r="E16" s="169">
        <f t="shared" si="6"/>
        <v>0.36752912576063446</v>
      </c>
      <c r="F16" s="161">
        <f t="shared" si="7"/>
        <v>2.6511169324819995E-2</v>
      </c>
      <c r="G16" s="161"/>
      <c r="H16" s="161"/>
      <c r="I16" s="142">
        <f t="shared" si="1"/>
        <v>1.0164941821468796</v>
      </c>
      <c r="S16" s="143"/>
    </row>
    <row r="17" spans="1:19" x14ac:dyDescent="0.25">
      <c r="A17" s="141">
        <v>2022</v>
      </c>
      <c r="B17" s="169">
        <f t="shared" si="4"/>
        <v>0.36765331318890848</v>
      </c>
      <c r="C17" s="169">
        <f t="shared" si="5"/>
        <v>0.24249397403494788</v>
      </c>
      <c r="D17" s="169">
        <f t="shared" si="3"/>
        <v>1.5979366018405081E-2</v>
      </c>
      <c r="E17" s="169">
        <f t="shared" si="6"/>
        <v>0.36315552916408289</v>
      </c>
      <c r="F17" s="161">
        <f t="shared" si="7"/>
        <v>2.8446484685531855E-2</v>
      </c>
      <c r="G17" s="161"/>
      <c r="H17" s="161"/>
      <c r="I17" s="142">
        <f t="shared" si="1"/>
        <v>1.0177286670918761</v>
      </c>
      <c r="S17" s="143"/>
    </row>
    <row r="18" spans="1:19" x14ac:dyDescent="0.25">
      <c r="A18" s="141">
        <v>2023</v>
      </c>
      <c r="B18" s="169">
        <f t="shared" si="4"/>
        <v>0.37702847267522566</v>
      </c>
      <c r="C18" s="169">
        <f t="shared" si="5"/>
        <v>0.23672261745291612</v>
      </c>
      <c r="D18" s="169">
        <f t="shared" si="3"/>
        <v>1.6434777949929626E-2</v>
      </c>
      <c r="E18" s="169">
        <f t="shared" si="6"/>
        <v>0.35883397836703029</v>
      </c>
      <c r="F18" s="161">
        <f t="shared" si="7"/>
        <v>3.052307806757568E-2</v>
      </c>
      <c r="G18" s="161"/>
      <c r="H18" s="161"/>
      <c r="I18" s="142">
        <f t="shared" si="1"/>
        <v>1.0195429245126773</v>
      </c>
      <c r="S18" s="143"/>
    </row>
    <row r="19" spans="1:19" x14ac:dyDescent="0.25">
      <c r="A19" s="141">
        <v>2024</v>
      </c>
      <c r="B19" s="169">
        <f t="shared" si="4"/>
        <v>0.38664269872844392</v>
      </c>
      <c r="C19" s="169">
        <f t="shared" si="5"/>
        <v>0.2310886191575367</v>
      </c>
      <c r="D19" s="169">
        <f t="shared" si="3"/>
        <v>1.690316912150262E-2</v>
      </c>
      <c r="E19" s="169">
        <f t="shared" si="6"/>
        <v>0.35456385402446261</v>
      </c>
      <c r="F19" s="161">
        <f t="shared" si="7"/>
        <v>3.27512627665087E-2</v>
      </c>
      <c r="G19" s="161"/>
      <c r="H19" s="161"/>
      <c r="I19" s="142">
        <f t="shared" si="1"/>
        <v>1.0219496037984546</v>
      </c>
      <c r="S19" s="143"/>
    </row>
    <row r="20" spans="1:19" x14ac:dyDescent="0.25">
      <c r="A20" s="141">
        <v>2025</v>
      </c>
      <c r="B20" s="169">
        <f t="shared" si="4"/>
        <v>0.39650208754601929</v>
      </c>
      <c r="C20" s="169">
        <f t="shared" si="5"/>
        <v>0.22558871002158731</v>
      </c>
      <c r="D20" s="169">
        <f t="shared" si="3"/>
        <v>1.7384909441465445E-2</v>
      </c>
      <c r="E20" s="169">
        <f t="shared" si="6"/>
        <v>0.35034454416157151</v>
      </c>
      <c r="F20" s="161">
        <f t="shared" si="7"/>
        <v>3.5142104948463836E-2</v>
      </c>
      <c r="G20" s="161"/>
      <c r="H20" s="161"/>
      <c r="I20" s="142">
        <f t="shared" si="1"/>
        <v>1.0249623561191075</v>
      </c>
      <c r="S20" s="143"/>
    </row>
    <row r="21" spans="1:19" x14ac:dyDescent="0.25">
      <c r="A21" s="141">
        <v>2026</v>
      </c>
      <c r="B21" s="169">
        <f t="shared" si="4"/>
        <v>0.40661289077844281</v>
      </c>
      <c r="C21" s="169">
        <f t="shared" si="5"/>
        <v>0.22021969872307354</v>
      </c>
      <c r="D21" s="169">
        <f t="shared" si="3"/>
        <v>1.7880379360547208E-2</v>
      </c>
      <c r="E21" s="169">
        <f t="shared" si="6"/>
        <v>0.34617544408604878</v>
      </c>
      <c r="F21" s="161">
        <f t="shared" si="7"/>
        <v>3.7707478609701695E-2</v>
      </c>
      <c r="G21" s="161"/>
      <c r="H21" s="161"/>
      <c r="I21" s="142">
        <f t="shared" si="1"/>
        <v>1.0285958915578139</v>
      </c>
      <c r="S21" s="143"/>
    </row>
    <row r="22" spans="1:19" x14ac:dyDescent="0.25">
      <c r="A22" s="141">
        <v>2027</v>
      </c>
      <c r="B22" s="169">
        <f t="shared" si="4"/>
        <v>0.41698151949329315</v>
      </c>
      <c r="C22" s="169">
        <f t="shared" si="5"/>
        <v>0.21497846989346436</v>
      </c>
      <c r="D22" s="169">
        <f t="shared" si="3"/>
        <v>1.8389970172322804E-2</v>
      </c>
      <c r="E22" s="169">
        <f t="shared" si="6"/>
        <v>0.34205595630142477</v>
      </c>
      <c r="F22" s="161">
        <f t="shared" si="7"/>
        <v>4.0460124548209915E-2</v>
      </c>
      <c r="G22" s="161"/>
      <c r="H22" s="161"/>
      <c r="I22" s="142">
        <f t="shared" si="1"/>
        <v>1.0328660404087151</v>
      </c>
      <c r="S22" s="143"/>
    </row>
    <row r="23" spans="1:19" x14ac:dyDescent="0.25">
      <c r="A23" s="141">
        <v>2028</v>
      </c>
      <c r="B23" s="169">
        <f t="shared" si="4"/>
        <v>0.42761454824037215</v>
      </c>
      <c r="C23" s="169">
        <f t="shared" si="5"/>
        <v>0.20986198230999989</v>
      </c>
      <c r="D23" s="169">
        <f t="shared" si="3"/>
        <v>1.8914084322234005E-2</v>
      </c>
      <c r="E23" s="169">
        <f t="shared" si="6"/>
        <v>0.33798549042143783</v>
      </c>
      <c r="F23" s="161">
        <f t="shared" si="7"/>
        <v>4.3413713640229237E-2</v>
      </c>
      <c r="G23" s="161"/>
      <c r="H23" s="161"/>
      <c r="I23" s="142">
        <f t="shared" si="1"/>
        <v>1.0377898189342731</v>
      </c>
      <c r="S23" s="143"/>
    </row>
    <row r="24" spans="1:19" x14ac:dyDescent="0.25">
      <c r="A24" s="141">
        <v>2029</v>
      </c>
      <c r="B24" s="169">
        <f t="shared" si="4"/>
        <v>0.43851871922050167</v>
      </c>
      <c r="C24" s="169">
        <f t="shared" si="5"/>
        <v>0.20486726713102188</v>
      </c>
      <c r="D24" s="169">
        <f t="shared" si="3"/>
        <v>1.9453135725417674E-2</v>
      </c>
      <c r="E24" s="169">
        <f t="shared" si="6"/>
        <v>0.33396346308542268</v>
      </c>
      <c r="F24" s="161">
        <f t="shared" si="7"/>
        <v>4.6582914735965972E-2</v>
      </c>
      <c r="G24" s="161"/>
      <c r="H24" s="161"/>
      <c r="I24" s="142">
        <f t="shared" si="1"/>
        <v>1.0433854998983298</v>
      </c>
      <c r="S24" s="143"/>
    </row>
    <row r="25" spans="1:19" x14ac:dyDescent="0.25">
      <c r="A25" s="141">
        <v>2030</v>
      </c>
      <c r="B25" s="169">
        <v>0.45</v>
      </c>
      <c r="C25" s="169">
        <v>0.2</v>
      </c>
      <c r="D25" s="169">
        <v>0.02</v>
      </c>
      <c r="E25" s="169">
        <v>0.33</v>
      </c>
      <c r="F25" s="161">
        <v>0.05</v>
      </c>
      <c r="G25" s="161"/>
      <c r="H25" s="161"/>
      <c r="I25" s="142">
        <f t="shared" si="1"/>
        <v>1.05</v>
      </c>
      <c r="S25" s="143"/>
    </row>
    <row r="26" spans="1:19" ht="14.25" customHeight="1" x14ac:dyDescent="0.25">
      <c r="B26" s="162">
        <f>((B25/B11)^(1/14)-1)</f>
        <v>2.5548696592848197E-2</v>
      </c>
      <c r="C26" s="162">
        <f t="shared" ref="C26:H26" si="8">((C25/C11)^(1/14)-1)</f>
        <v>-2.379701072791307E-2</v>
      </c>
      <c r="D26" s="162">
        <f t="shared" si="8"/>
        <v>2.8472272495493778E-2</v>
      </c>
      <c r="E26" s="162">
        <f>((E25/E11)^(1/14)-1)</f>
        <v>-1.1897711048976523E-2</v>
      </c>
      <c r="F26" s="162" t="e">
        <f t="shared" si="8"/>
        <v>#DIV/0!</v>
      </c>
      <c r="G26" s="162" t="e">
        <f t="shared" si="8"/>
        <v>#DIV/0!</v>
      </c>
      <c r="H26" s="162" t="e">
        <f t="shared" si="8"/>
        <v>#DIV/0!</v>
      </c>
    </row>
    <row r="27" spans="1:19" x14ac:dyDescent="0.25">
      <c r="A27" s="180" t="s">
        <v>10</v>
      </c>
      <c r="B27" s="181" t="s">
        <v>149</v>
      </c>
      <c r="C27" s="182"/>
      <c r="D27" s="182"/>
      <c r="E27" s="182"/>
      <c r="F27" s="182"/>
      <c r="G27" s="182"/>
      <c r="H27" s="183"/>
      <c r="I27" s="184" t="s">
        <v>39</v>
      </c>
    </row>
    <row r="28" spans="1:19" ht="25.5" x14ac:dyDescent="0.25">
      <c r="A28" s="180"/>
      <c r="B28" s="136" t="s">
        <v>1</v>
      </c>
      <c r="C28" s="136" t="s">
        <v>2</v>
      </c>
      <c r="D28" s="136" t="s">
        <v>148</v>
      </c>
      <c r="E28" s="130" t="s">
        <v>4</v>
      </c>
      <c r="F28" s="170" t="s">
        <v>155</v>
      </c>
      <c r="G28" s="136" t="s">
        <v>127</v>
      </c>
      <c r="H28" s="130" t="s">
        <v>7</v>
      </c>
      <c r="I28" s="185"/>
    </row>
    <row r="29" spans="1:19" x14ac:dyDescent="0.25">
      <c r="A29" s="141">
        <v>2011</v>
      </c>
      <c r="B29" s="146">
        <f t="shared" ref="B29:H29" si="9">$I$29*B6</f>
        <v>15.03264126</v>
      </c>
      <c r="C29" s="146">
        <f t="shared" si="9"/>
        <v>13.32535932</v>
      </c>
      <c r="D29" s="146">
        <f t="shared" si="9"/>
        <v>0.64201410000000003</v>
      </c>
      <c r="E29" s="147">
        <f t="shared" si="9"/>
        <v>18.55658532</v>
      </c>
      <c r="F29" s="171">
        <f t="shared" si="9"/>
        <v>0</v>
      </c>
      <c r="G29" s="146">
        <f t="shared" si="9"/>
        <v>0</v>
      </c>
      <c r="H29" s="148">
        <f t="shared" si="9"/>
        <v>0</v>
      </c>
      <c r="I29" s="149">
        <f>'timbulan sampah'!E5</f>
        <v>47.556600000000003</v>
      </c>
      <c r="J29" s="150">
        <f>SUM(B29:H29)</f>
        <v>47.556600000000003</v>
      </c>
    </row>
    <row r="30" spans="1:19" x14ac:dyDescent="0.25">
      <c r="A30" s="141">
        <v>2012</v>
      </c>
      <c r="B30" s="146">
        <f t="shared" ref="B30:H30" si="10">$I$30*B7</f>
        <v>15.43269742</v>
      </c>
      <c r="C30" s="146">
        <f t="shared" si="10"/>
        <v>13.679980440000001</v>
      </c>
      <c r="D30" s="146">
        <f t="shared" si="10"/>
        <v>0.65909970000000007</v>
      </c>
      <c r="E30" s="147">
        <f t="shared" si="10"/>
        <v>19.050422440000002</v>
      </c>
      <c r="F30" s="171">
        <f t="shared" si="10"/>
        <v>0</v>
      </c>
      <c r="G30" s="146">
        <f t="shared" si="10"/>
        <v>0</v>
      </c>
      <c r="H30" s="148">
        <f t="shared" si="10"/>
        <v>0</v>
      </c>
      <c r="I30" s="149">
        <f>'timbulan sampah'!E6</f>
        <v>48.822200000000002</v>
      </c>
      <c r="J30" s="150">
        <f t="shared" ref="J30:J48" si="11">SUM(B30:H30)</f>
        <v>48.822200000000002</v>
      </c>
    </row>
    <row r="31" spans="1:19" x14ac:dyDescent="0.25">
      <c r="A31" s="141">
        <v>2013</v>
      </c>
      <c r="B31" s="146">
        <f t="shared" ref="B31:H31" si="12">$I$31*B8</f>
        <v>15.804431020000001</v>
      </c>
      <c r="C31" s="146">
        <f t="shared" si="12"/>
        <v>14.009495640000001</v>
      </c>
      <c r="D31" s="146">
        <f t="shared" si="12"/>
        <v>0.67497570000000007</v>
      </c>
      <c r="E31" s="147">
        <f t="shared" si="12"/>
        <v>19.50929764</v>
      </c>
      <c r="F31" s="171">
        <f t="shared" si="12"/>
        <v>0</v>
      </c>
      <c r="G31" s="146">
        <f t="shared" si="12"/>
        <v>0</v>
      </c>
      <c r="H31" s="148">
        <f t="shared" si="12"/>
        <v>0</v>
      </c>
      <c r="I31" s="149">
        <f>'timbulan sampah'!E7</f>
        <v>49.998200000000004</v>
      </c>
      <c r="J31" s="150">
        <f t="shared" si="11"/>
        <v>49.998199999999997</v>
      </c>
    </row>
    <row r="32" spans="1:19" x14ac:dyDescent="0.25">
      <c r="A32" s="141">
        <v>2014</v>
      </c>
      <c r="B32" s="146">
        <f t="shared" ref="B32:H32" si="13">$I$32*B9</f>
        <v>16.195383499999998</v>
      </c>
      <c r="C32" s="146">
        <f t="shared" si="13"/>
        <v>14.356047</v>
      </c>
      <c r="D32" s="146">
        <f t="shared" si="13"/>
        <v>0.69167250000000002</v>
      </c>
      <c r="E32" s="147">
        <f t="shared" si="13"/>
        <v>19.991896999999998</v>
      </c>
      <c r="F32" s="171">
        <f t="shared" si="13"/>
        <v>0</v>
      </c>
      <c r="G32" s="146">
        <f t="shared" si="13"/>
        <v>0</v>
      </c>
      <c r="H32" s="148">
        <f t="shared" si="13"/>
        <v>0</v>
      </c>
      <c r="I32" s="149">
        <f>'timbulan sampah'!E8</f>
        <v>51.234999999999999</v>
      </c>
      <c r="J32" s="150">
        <f t="shared" si="11"/>
        <v>51.234999999999999</v>
      </c>
      <c r="P32" s="140"/>
    </row>
    <row r="33" spans="1:16" x14ac:dyDescent="0.25">
      <c r="A33" s="141">
        <v>2015</v>
      </c>
      <c r="B33" s="146">
        <f t="shared" ref="B33:H33" si="14">$I$33*B10</f>
        <v>16.582669220000003</v>
      </c>
      <c r="C33" s="146">
        <f t="shared" si="14"/>
        <v>14.699348040000002</v>
      </c>
      <c r="D33" s="146">
        <f t="shared" si="14"/>
        <v>0.70821270000000014</v>
      </c>
      <c r="E33" s="147">
        <f t="shared" si="14"/>
        <v>20.469970040000003</v>
      </c>
      <c r="F33" s="171">
        <f t="shared" si="14"/>
        <v>0</v>
      </c>
      <c r="G33" s="146">
        <f t="shared" si="14"/>
        <v>0</v>
      </c>
      <c r="H33" s="148">
        <f t="shared" si="14"/>
        <v>0</v>
      </c>
      <c r="I33" s="149">
        <f>'timbulan sampah'!E9</f>
        <v>52.460200000000007</v>
      </c>
      <c r="J33" s="150">
        <f t="shared" si="11"/>
        <v>52.460200000000007</v>
      </c>
      <c r="P33" s="140"/>
    </row>
    <row r="34" spans="1:16" x14ac:dyDescent="0.25">
      <c r="A34" s="141">
        <v>2016</v>
      </c>
      <c r="B34" s="146">
        <f t="shared" ref="B34:H34" si="15">$I$34*B11</f>
        <v>16.959460420000003</v>
      </c>
      <c r="C34" s="146">
        <f t="shared" si="15"/>
        <v>15.033346440000003</v>
      </c>
      <c r="D34" s="146">
        <f t="shared" si="15"/>
        <v>0.72430470000000013</v>
      </c>
      <c r="E34" s="147">
        <f t="shared" si="15"/>
        <v>20.935088440000001</v>
      </c>
      <c r="F34" s="171">
        <f t="shared" si="15"/>
        <v>0</v>
      </c>
      <c r="G34" s="146">
        <f t="shared" si="15"/>
        <v>0</v>
      </c>
      <c r="H34" s="148">
        <f t="shared" si="15"/>
        <v>0</v>
      </c>
      <c r="I34" s="149">
        <f>'timbulan sampah'!E10</f>
        <v>53.652200000000008</v>
      </c>
      <c r="J34" s="150">
        <f t="shared" si="11"/>
        <v>53.652200000000008</v>
      </c>
    </row>
    <row r="35" spans="1:16" x14ac:dyDescent="0.25">
      <c r="A35" s="141">
        <v>2017</v>
      </c>
      <c r="B35" s="171">
        <f>(I35*B12)-F35</f>
        <v>16.835043114059999</v>
      </c>
      <c r="C35" s="146">
        <f t="shared" ref="C35:H35" si="16">$I$35*C12</f>
        <v>15.139735309008001</v>
      </c>
      <c r="D35" s="146">
        <f t="shared" si="16"/>
        <v>0.76850980469999997</v>
      </c>
      <c r="E35" s="147">
        <f t="shared" si="16"/>
        <v>21.340250471704</v>
      </c>
      <c r="F35" s="171">
        <f t="shared" si="16"/>
        <v>1.1069840000000002</v>
      </c>
      <c r="G35" s="146">
        <f t="shared" si="16"/>
        <v>0</v>
      </c>
      <c r="H35" s="148">
        <f t="shared" si="16"/>
        <v>0</v>
      </c>
      <c r="I35" s="149">
        <f>'timbulan sampah'!E11</f>
        <v>55.349200000000003</v>
      </c>
      <c r="J35" s="150">
        <f t="shared" si="11"/>
        <v>55.190522699471998</v>
      </c>
    </row>
    <row r="36" spans="1:16" x14ac:dyDescent="0.25">
      <c r="A36" s="141">
        <v>2018</v>
      </c>
      <c r="B36" s="171">
        <f t="shared" ref="B36:B48" si="17">(I36*B13)-F36</f>
        <v>17.721304916367895</v>
      </c>
      <c r="C36" s="146">
        <f t="shared" ref="C36:H36" si="18">$I$36*C13</f>
        <v>15.216950541218846</v>
      </c>
      <c r="D36" s="146">
        <f t="shared" si="18"/>
        <v>0.81381230469742494</v>
      </c>
      <c r="E36" s="147">
        <f t="shared" si="18"/>
        <v>21.710556469000089</v>
      </c>
      <c r="F36" s="171">
        <f t="shared" si="18"/>
        <v>1.222958188</v>
      </c>
      <c r="G36" s="146">
        <f t="shared" si="18"/>
        <v>0</v>
      </c>
      <c r="H36" s="148">
        <f t="shared" si="18"/>
        <v>0</v>
      </c>
      <c r="I36" s="149">
        <f>'timbulan sampah'!E12</f>
        <v>56.9878</v>
      </c>
      <c r="J36" s="150">
        <f t="shared" si="11"/>
        <v>56.685582419284252</v>
      </c>
    </row>
    <row r="37" spans="1:16" x14ac:dyDescent="0.25">
      <c r="A37" s="141">
        <v>2019</v>
      </c>
      <c r="B37" s="171">
        <f t="shared" si="17"/>
        <v>18.635980837338579</v>
      </c>
      <c r="C37" s="146">
        <f t="shared" ref="C37:H37" si="19">$I$37*C14</f>
        <v>15.281914576708022</v>
      </c>
      <c r="D37" s="146">
        <f t="shared" si="19"/>
        <v>0.8610728251058356</v>
      </c>
      <c r="E37" s="147">
        <f t="shared" si="19"/>
        <v>22.069027190691237</v>
      </c>
      <c r="F37" s="171">
        <f t="shared" si="19"/>
        <v>1.3499654897119999</v>
      </c>
      <c r="G37" s="146">
        <f t="shared" si="19"/>
        <v>0</v>
      </c>
      <c r="H37" s="148">
        <f t="shared" si="19"/>
        <v>0</v>
      </c>
      <c r="I37" s="149">
        <f>'timbulan sampah'!E13</f>
        <v>58.626400000000004</v>
      </c>
      <c r="J37" s="150">
        <f t="shared" si="11"/>
        <v>58.197960919555669</v>
      </c>
    </row>
    <row r="38" spans="1:16" x14ac:dyDescent="0.25">
      <c r="A38" s="141">
        <v>2020</v>
      </c>
      <c r="B38" s="171">
        <f t="shared" si="17"/>
        <v>19.579438173716362</v>
      </c>
      <c r="C38" s="146">
        <f t="shared" ref="C38:H38" si="20">$I$38*C15</f>
        <v>15.335166834643344</v>
      </c>
      <c r="D38" s="146">
        <f t="shared" si="20"/>
        <v>0.91036617613303517</v>
      </c>
      <c r="E38" s="147">
        <f t="shared" si="20"/>
        <v>22.41589187730456</v>
      </c>
      <c r="F38" s="171">
        <f t="shared" si="20"/>
        <v>1.4889987132900999</v>
      </c>
      <c r="G38" s="146">
        <f t="shared" si="20"/>
        <v>0</v>
      </c>
      <c r="H38" s="148">
        <f t="shared" si="20"/>
        <v>0</v>
      </c>
      <c r="I38" s="149">
        <f>'timbulan sampah'!E14</f>
        <v>60.265000000000001</v>
      </c>
      <c r="J38" s="150">
        <f t="shared" si="11"/>
        <v>59.729861775087407</v>
      </c>
    </row>
    <row r="39" spans="1:16" x14ac:dyDescent="0.25">
      <c r="A39" s="141">
        <v>2021</v>
      </c>
      <c r="B39" s="171">
        <f t="shared" si="17"/>
        <v>20.552001782505005</v>
      </c>
      <c r="C39" s="146">
        <f t="shared" ref="C39:H39" si="21">$I$39*C16</f>
        <v>15.377227997408115</v>
      </c>
      <c r="D39" s="146">
        <f t="shared" si="21"/>
        <v>0.96176984176659297</v>
      </c>
      <c r="E39" s="147">
        <f t="shared" si="21"/>
        <v>22.751375989436013</v>
      </c>
      <c r="F39" s="171">
        <f t="shared" si="21"/>
        <v>1.6411368214159272</v>
      </c>
      <c r="G39" s="146">
        <f t="shared" si="21"/>
        <v>0</v>
      </c>
      <c r="H39" s="148">
        <f t="shared" si="21"/>
        <v>0</v>
      </c>
      <c r="I39" s="149">
        <f>'timbulan sampah'!E15</f>
        <v>61.903600000000004</v>
      </c>
      <c r="J39" s="150">
        <f t="shared" si="11"/>
        <v>61.283512432531658</v>
      </c>
    </row>
    <row r="40" spans="1:16" x14ac:dyDescent="0.25">
      <c r="A40" s="141">
        <v>2022</v>
      </c>
      <c r="B40" s="171">
        <f t="shared" si="17"/>
        <v>21.553948138127257</v>
      </c>
      <c r="C40" s="146">
        <f t="shared" ref="C40:H40" si="22">$I$40*C17</f>
        <v>15.408600596923465</v>
      </c>
      <c r="D40" s="146">
        <f t="shared" si="22"/>
        <v>1.0153640714146994</v>
      </c>
      <c r="E40" s="147">
        <f t="shared" si="22"/>
        <v>23.07570126524999</v>
      </c>
      <c r="F40" s="171">
        <f t="shared" si="22"/>
        <v>1.8075522191850022</v>
      </c>
      <c r="G40" s="146">
        <f t="shared" si="22"/>
        <v>0</v>
      </c>
      <c r="H40" s="148">
        <f t="shared" si="22"/>
        <v>0</v>
      </c>
      <c r="I40" s="149">
        <f>'timbulan sampah'!E16</f>
        <v>63.542200000000001</v>
      </c>
      <c r="J40" s="150">
        <f t="shared" si="11"/>
        <v>62.861166290900421</v>
      </c>
    </row>
    <row r="41" spans="1:16" x14ac:dyDescent="0.25">
      <c r="A41" s="141">
        <v>2023</v>
      </c>
      <c r="B41" s="171">
        <f t="shared" si="17"/>
        <v>22.585498824842315</v>
      </c>
      <c r="C41" s="146">
        <f t="shared" ref="C41:H41" si="23">$I$41*C18</f>
        <v>15.429769583675036</v>
      </c>
      <c r="D41" s="146">
        <f t="shared" si="23"/>
        <v>1.0712319745987731</v>
      </c>
      <c r="E41" s="147">
        <f t="shared" si="23"/>
        <v>23.389085777145731</v>
      </c>
      <c r="F41" s="171">
        <f t="shared" si="23"/>
        <v>1.9895186469070369</v>
      </c>
      <c r="G41" s="146">
        <f t="shared" si="23"/>
        <v>0</v>
      </c>
      <c r="H41" s="148">
        <f t="shared" si="23"/>
        <v>0</v>
      </c>
      <c r="I41" s="149">
        <f>'timbulan sampah'!E17</f>
        <v>65.180800000000005</v>
      </c>
      <c r="J41" s="150">
        <f t="shared" si="11"/>
        <v>64.465104807168899</v>
      </c>
    </row>
    <row r="42" spans="1:16" x14ac:dyDescent="0.25">
      <c r="A42" s="141">
        <v>2024</v>
      </c>
      <c r="B42" s="171">
        <f t="shared" si="17"/>
        <v>23.646813416114934</v>
      </c>
      <c r="C42" s="146">
        <f t="shared" ref="C42:H42" si="24">$I$42*C19</f>
        <v>15.441202878935108</v>
      </c>
      <c r="D42" s="146">
        <f t="shared" si="24"/>
        <v>1.1294596187973323</v>
      </c>
      <c r="E42" s="147">
        <f t="shared" si="24"/>
        <v>23.691743987602177</v>
      </c>
      <c r="F42" s="171">
        <f t="shared" si="24"/>
        <v>2.1884197273004515</v>
      </c>
      <c r="G42" s="146">
        <f t="shared" si="24"/>
        <v>0</v>
      </c>
      <c r="H42" s="148">
        <f t="shared" si="24"/>
        <v>0</v>
      </c>
      <c r="I42" s="149">
        <f>'timbulan sampah'!E18</f>
        <v>66.819400000000002</v>
      </c>
      <c r="J42" s="150">
        <f t="shared" si="11"/>
        <v>66.097639628750002</v>
      </c>
    </row>
    <row r="43" spans="1:16" x14ac:dyDescent="0.25">
      <c r="A43" s="141">
        <v>2025</v>
      </c>
      <c r="B43" s="171">
        <f t="shared" si="17"/>
        <v>24.737981688663453</v>
      </c>
      <c r="C43" s="146">
        <f t="shared" ref="C43:H43" si="25">$I$43*C20</f>
        <v>15.443351910657825</v>
      </c>
      <c r="D43" s="146">
        <f t="shared" si="25"/>
        <v>1.1901361305438414</v>
      </c>
      <c r="E43" s="147">
        <f t="shared" si="25"/>
        <v>23.983886804212862</v>
      </c>
      <c r="F43" s="171">
        <f t="shared" si="25"/>
        <v>2.4057582205619372</v>
      </c>
      <c r="G43" s="146">
        <f t="shared" si="25"/>
        <v>0</v>
      </c>
      <c r="H43" s="148">
        <f t="shared" si="25"/>
        <v>0</v>
      </c>
      <c r="I43" s="149">
        <f>'timbulan sampah'!E19</f>
        <v>68.457999999999998</v>
      </c>
      <c r="J43" s="150">
        <f t="shared" si="11"/>
        <v>67.76111475463992</v>
      </c>
    </row>
    <row r="44" spans="1:16" x14ac:dyDescent="0.25">
      <c r="A44" s="141">
        <v>2026</v>
      </c>
      <c r="B44" s="171">
        <f t="shared" si="17"/>
        <v>25.859015114627383</v>
      </c>
      <c r="C44" s="146">
        <f t="shared" ref="C44:H44" si="26">$I$44*C21</f>
        <v>15.436652133511799</v>
      </c>
      <c r="D44" s="146">
        <f t="shared" si="26"/>
        <v>1.2533537998845337</v>
      </c>
      <c r="E44" s="147">
        <f t="shared" si="26"/>
        <v>24.26572163392213</v>
      </c>
      <c r="F44" s="171">
        <f t="shared" si="26"/>
        <v>2.6431660451128161</v>
      </c>
      <c r="G44" s="146">
        <f t="shared" si="26"/>
        <v>0</v>
      </c>
      <c r="H44" s="148">
        <f t="shared" si="26"/>
        <v>0</v>
      </c>
      <c r="I44" s="149">
        <f>'timbulan sampah'!E20</f>
        <v>70.096600000000009</v>
      </c>
      <c r="J44" s="150">
        <f t="shared" si="11"/>
        <v>69.457908727058665</v>
      </c>
    </row>
    <row r="45" spans="1:16" x14ac:dyDescent="0.25">
      <c r="A45" s="141">
        <v>2027</v>
      </c>
      <c r="B45" s="171">
        <f t="shared" si="17"/>
        <v>27.00983757066453</v>
      </c>
      <c r="C45" s="146">
        <f t="shared" ref="C45:H45" si="27">$I$45*C22</f>
        <v>15.421523533501643</v>
      </c>
      <c r="D45" s="146">
        <f t="shared" si="27"/>
        <v>1.3192081883056106</v>
      </c>
      <c r="E45" s="147">
        <f t="shared" si="27"/>
        <v>24.537452436473963</v>
      </c>
      <c r="F45" s="171">
        <f t="shared" si="27"/>
        <v>2.9024151264907476</v>
      </c>
      <c r="G45" s="146">
        <f t="shared" si="27"/>
        <v>0</v>
      </c>
      <c r="H45" s="148">
        <f t="shared" si="27"/>
        <v>0</v>
      </c>
      <c r="I45" s="149">
        <f>'timbulan sampah'!E21</f>
        <v>71.735199999999992</v>
      </c>
      <c r="J45" s="150">
        <f t="shared" si="11"/>
        <v>71.190436855436502</v>
      </c>
    </row>
    <row r="46" spans="1:16" x14ac:dyDescent="0.25">
      <c r="A46" s="141">
        <v>2028</v>
      </c>
      <c r="B46" s="171">
        <f t="shared" si="17"/>
        <v>28.190275197783969</v>
      </c>
      <c r="C46" s="146">
        <f t="shared" ref="C46:H46" si="28">$I$46*C23</f>
        <v>15.39837111761747</v>
      </c>
      <c r="D46" s="146">
        <f t="shared" si="28"/>
        <v>1.3877982402427333</v>
      </c>
      <c r="E46" s="147">
        <f t="shared" si="28"/>
        <v>24.799279777084497</v>
      </c>
      <c r="F46" s="171">
        <f t="shared" si="28"/>
        <v>3.1854291418954523</v>
      </c>
      <c r="G46" s="146">
        <f t="shared" si="28"/>
        <v>0</v>
      </c>
      <c r="H46" s="147">
        <f t="shared" si="28"/>
        <v>0</v>
      </c>
      <c r="I46" s="149">
        <f>'timbulan sampah'!E22</f>
        <v>73.373800000000003</v>
      </c>
      <c r="J46" s="150">
        <f t="shared" si="11"/>
        <v>72.961153474624126</v>
      </c>
    </row>
    <row r="47" spans="1:16" x14ac:dyDescent="0.25">
      <c r="A47" s="141">
        <v>2029</v>
      </c>
      <c r="B47" s="171">
        <f t="shared" si="17"/>
        <v>29.400045340315788</v>
      </c>
      <c r="C47" s="146">
        <f t="shared" ref="C47:H47" si="29">$I$47*C24</f>
        <v>15.367585388939068</v>
      </c>
      <c r="D47" s="146">
        <f t="shared" si="29"/>
        <v>1.459226398289321</v>
      </c>
      <c r="E47" s="147">
        <f t="shared" si="29"/>
        <v>25.051400878348964</v>
      </c>
      <c r="F47" s="171">
        <f t="shared" si="29"/>
        <v>3.4942962333401746</v>
      </c>
      <c r="G47" s="146">
        <f t="shared" si="29"/>
        <v>0</v>
      </c>
      <c r="H47" s="147">
        <f t="shared" si="29"/>
        <v>0</v>
      </c>
      <c r="I47" s="149">
        <f>'timbulan sampah'!E23</f>
        <v>75.012400000000014</v>
      </c>
      <c r="J47" s="150">
        <f t="shared" si="11"/>
        <v>74.77255423923333</v>
      </c>
    </row>
    <row r="48" spans="1:16" x14ac:dyDescent="0.25">
      <c r="A48" s="141">
        <v>2030</v>
      </c>
      <c r="B48" s="171">
        <f t="shared" si="17"/>
        <v>30.660399999999999</v>
      </c>
      <c r="C48" s="146">
        <f t="shared" ref="C48:H48" si="30">$I$48*C25</f>
        <v>15.3302</v>
      </c>
      <c r="D48" s="146">
        <f t="shared" si="30"/>
        <v>1.53302</v>
      </c>
      <c r="E48" s="147">
        <f t="shared" si="30"/>
        <v>25.294830000000001</v>
      </c>
      <c r="F48" s="171">
        <f t="shared" si="30"/>
        <v>3.8325499999999999</v>
      </c>
      <c r="G48" s="146">
        <f t="shared" si="30"/>
        <v>0</v>
      </c>
      <c r="H48" s="147">
        <f t="shared" si="30"/>
        <v>0</v>
      </c>
      <c r="I48" s="149">
        <f>'timbulan sampah'!E24</f>
        <v>76.650999999999996</v>
      </c>
      <c r="J48" s="150">
        <f t="shared" si="11"/>
        <v>76.650999999999996</v>
      </c>
    </row>
    <row r="50" spans="2:6" x14ac:dyDescent="0.25">
      <c r="B50" s="175">
        <f>B29*1000</f>
        <v>15032.64126</v>
      </c>
      <c r="E50" s="141">
        <v>2017</v>
      </c>
      <c r="F50" s="172">
        <f>F35*1000</f>
        <v>1106.9840000000002</v>
      </c>
    </row>
    <row r="51" spans="2:6" x14ac:dyDescent="0.25">
      <c r="B51" s="175">
        <f t="shared" ref="B51:B69" si="31">B30*1000</f>
        <v>15432.69742</v>
      </c>
      <c r="E51" s="141">
        <v>2018</v>
      </c>
      <c r="F51" s="172">
        <f t="shared" ref="F51:F63" si="32">F36*1000</f>
        <v>1222.9581880000001</v>
      </c>
    </row>
    <row r="52" spans="2:6" x14ac:dyDescent="0.25">
      <c r="B52" s="175">
        <f t="shared" si="31"/>
        <v>15804.43102</v>
      </c>
      <c r="E52" s="141">
        <v>2019</v>
      </c>
      <c r="F52" s="172">
        <f t="shared" si="32"/>
        <v>1349.9654897119999</v>
      </c>
    </row>
    <row r="53" spans="2:6" x14ac:dyDescent="0.25">
      <c r="B53" s="175">
        <f t="shared" si="31"/>
        <v>16195.383499999998</v>
      </c>
      <c r="E53" s="141">
        <v>2020</v>
      </c>
      <c r="F53" s="172">
        <f t="shared" si="32"/>
        <v>1488.9987132900999</v>
      </c>
    </row>
    <row r="54" spans="2:6" x14ac:dyDescent="0.25">
      <c r="B54" s="175">
        <f t="shared" si="31"/>
        <v>16582.669220000003</v>
      </c>
      <c r="E54" s="141">
        <v>2021</v>
      </c>
      <c r="F54" s="172">
        <f t="shared" si="32"/>
        <v>1641.1368214159272</v>
      </c>
    </row>
    <row r="55" spans="2:6" x14ac:dyDescent="0.25">
      <c r="B55" s="175">
        <f t="shared" si="31"/>
        <v>16959.460420000003</v>
      </c>
      <c r="E55" s="141">
        <v>2022</v>
      </c>
      <c r="F55" s="172">
        <f t="shared" si="32"/>
        <v>1807.5522191850023</v>
      </c>
    </row>
    <row r="56" spans="2:6" x14ac:dyDescent="0.25">
      <c r="B56" s="175">
        <f t="shared" si="31"/>
        <v>16835.043114059998</v>
      </c>
      <c r="E56" s="141">
        <v>2023</v>
      </c>
      <c r="F56" s="172">
        <f t="shared" si="32"/>
        <v>1989.518646907037</v>
      </c>
    </row>
    <row r="57" spans="2:6" x14ac:dyDescent="0.25">
      <c r="B57" s="175">
        <f t="shared" si="31"/>
        <v>17721.304916367895</v>
      </c>
      <c r="E57" s="141">
        <v>2024</v>
      </c>
      <c r="F57" s="172">
        <f t="shared" si="32"/>
        <v>2188.4197273004515</v>
      </c>
    </row>
    <row r="58" spans="2:6" x14ac:dyDescent="0.25">
      <c r="B58" s="175">
        <f t="shared" si="31"/>
        <v>18635.980837338579</v>
      </c>
      <c r="E58" s="141">
        <v>2025</v>
      </c>
      <c r="F58" s="172">
        <f t="shared" si="32"/>
        <v>2405.7582205619374</v>
      </c>
    </row>
    <row r="59" spans="2:6" x14ac:dyDescent="0.25">
      <c r="B59" s="175">
        <f t="shared" si="31"/>
        <v>19579.43817371636</v>
      </c>
      <c r="E59" s="141">
        <v>2026</v>
      </c>
      <c r="F59" s="172">
        <f t="shared" si="32"/>
        <v>2643.1660451128159</v>
      </c>
    </row>
    <row r="60" spans="2:6" x14ac:dyDescent="0.25">
      <c r="B60" s="175">
        <f t="shared" si="31"/>
        <v>20552.001782505005</v>
      </c>
      <c r="E60" s="141">
        <v>2027</v>
      </c>
      <c r="F60" s="172">
        <f t="shared" si="32"/>
        <v>2902.4151264907478</v>
      </c>
    </row>
    <row r="61" spans="2:6" x14ac:dyDescent="0.25">
      <c r="B61" s="175">
        <f t="shared" si="31"/>
        <v>21553.948138127256</v>
      </c>
      <c r="E61" s="141">
        <v>2028</v>
      </c>
      <c r="F61" s="172">
        <f t="shared" si="32"/>
        <v>3185.4291418954522</v>
      </c>
    </row>
    <row r="62" spans="2:6" x14ac:dyDescent="0.25">
      <c r="B62" s="175">
        <f t="shared" si="31"/>
        <v>22585.498824842314</v>
      </c>
      <c r="E62" s="141">
        <v>2029</v>
      </c>
      <c r="F62" s="172">
        <f t="shared" si="32"/>
        <v>3494.2962333401747</v>
      </c>
    </row>
    <row r="63" spans="2:6" x14ac:dyDescent="0.25">
      <c r="B63" s="175">
        <f t="shared" si="31"/>
        <v>23646.813416114936</v>
      </c>
      <c r="E63" s="141">
        <v>2030</v>
      </c>
      <c r="F63" s="172">
        <f t="shared" si="32"/>
        <v>3832.5499999999997</v>
      </c>
    </row>
    <row r="64" spans="2:6" x14ac:dyDescent="0.25">
      <c r="B64" s="175">
        <f t="shared" si="31"/>
        <v>24737.981688663454</v>
      </c>
      <c r="F64" s="173">
        <f>SUM(F50:F63)</f>
        <v>31259.148573211645</v>
      </c>
    </row>
    <row r="65" spans="2:6" x14ac:dyDescent="0.25">
      <c r="B65" s="175">
        <f t="shared" si="31"/>
        <v>25859.015114627382</v>
      </c>
      <c r="F65" s="174">
        <f>F64/14</f>
        <v>2232.7963266579745</v>
      </c>
    </row>
    <row r="66" spans="2:6" x14ac:dyDescent="0.25">
      <c r="B66" s="175">
        <f t="shared" si="31"/>
        <v>27009.837570664531</v>
      </c>
    </row>
    <row r="67" spans="2:6" x14ac:dyDescent="0.25">
      <c r="B67" s="175">
        <f t="shared" si="31"/>
        <v>28190.275197783969</v>
      </c>
    </row>
    <row r="68" spans="2:6" x14ac:dyDescent="0.25">
      <c r="B68" s="175">
        <f t="shared" si="31"/>
        <v>29400.045340315788</v>
      </c>
    </row>
    <row r="69" spans="2:6" x14ac:dyDescent="0.25">
      <c r="B69" s="175">
        <f t="shared" si="31"/>
        <v>30660.399999999998</v>
      </c>
    </row>
    <row r="70" spans="2:6" x14ac:dyDescent="0.25">
      <c r="B70" s="175">
        <f>SUM(B50:B69)</f>
        <v>422974.86695512751</v>
      </c>
    </row>
    <row r="71" spans="2:6" x14ac:dyDescent="0.25">
      <c r="B71" s="175">
        <f>B70/20</f>
        <v>21148.743347756375</v>
      </c>
    </row>
    <row r="72" spans="2:6" x14ac:dyDescent="0.25">
      <c r="B72" s="150"/>
    </row>
    <row r="73" spans="2:6" x14ac:dyDescent="0.25">
      <c r="B73" s="150"/>
    </row>
    <row r="74" spans="2:6" x14ac:dyDescent="0.25">
      <c r="B74" s="150"/>
    </row>
    <row r="75" spans="2:6" x14ac:dyDescent="0.25">
      <c r="B75" s="150"/>
    </row>
    <row r="76" spans="2:6" x14ac:dyDescent="0.25">
      <c r="B76" s="150"/>
    </row>
  </sheetData>
  <mergeCells count="7">
    <mergeCell ref="A2:I2"/>
    <mergeCell ref="A27:A28"/>
    <mergeCell ref="B27:H27"/>
    <mergeCell ref="I4:I5"/>
    <mergeCell ref="I27:I28"/>
    <mergeCell ref="A4:A5"/>
    <mergeCell ref="B4:H4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110"/>
  <sheetViews>
    <sheetView topLeftCell="A8" zoomScale="85" zoomScaleNormal="85" workbookViewId="0">
      <selection activeCell="I61" sqref="I61"/>
    </sheetView>
  </sheetViews>
  <sheetFormatPr defaultRowHeight="15" x14ac:dyDescent="0.25"/>
  <cols>
    <col min="1" max="1" width="9.42578125" style="95" bestFit="1" customWidth="1"/>
    <col min="2" max="2" width="11.5703125" style="95" bestFit="1" customWidth="1"/>
    <col min="3" max="3" width="11" style="95" bestFit="1" customWidth="1"/>
    <col min="4" max="4" width="12.7109375" style="95" bestFit="1" customWidth="1"/>
    <col min="5" max="5" width="12.42578125" style="95" customWidth="1"/>
    <col min="6" max="6" width="15.28515625" style="95" customWidth="1"/>
    <col min="7" max="7" width="14.7109375" style="95" customWidth="1"/>
    <col min="8" max="8" width="9.42578125" style="95" bestFit="1" customWidth="1"/>
    <col min="9" max="9" width="13.42578125" style="95" customWidth="1"/>
    <col min="10" max="10" width="10.28515625" style="95" bestFit="1" customWidth="1"/>
    <col min="11" max="14" width="9.42578125" style="95" bestFit="1" customWidth="1"/>
    <col min="15" max="15" width="9.140625" style="95"/>
    <col min="16" max="19" width="9.42578125" style="95" bestFit="1" customWidth="1"/>
    <col min="20" max="23" width="9.140625" style="95"/>
    <col min="24" max="24" width="9.5703125" style="95" bestFit="1" customWidth="1"/>
    <col min="25" max="16384" width="9.140625" style="95"/>
  </cols>
  <sheetData>
    <row r="2" spans="1:24" x14ac:dyDescent="0.25">
      <c r="A2" s="102" t="s">
        <v>116</v>
      </c>
      <c r="B2" s="102"/>
      <c r="C2" s="102"/>
      <c r="D2" s="103"/>
      <c r="E2" s="103"/>
      <c r="F2" s="103"/>
      <c r="G2" s="103"/>
      <c r="H2" s="103"/>
      <c r="I2" s="103"/>
    </row>
    <row r="3" spans="1:24" x14ac:dyDescent="0.25">
      <c r="A3" s="104"/>
    </row>
    <row r="4" spans="1:24" x14ac:dyDescent="0.25">
      <c r="A4" s="105" t="s">
        <v>125</v>
      </c>
    </row>
    <row r="6" spans="1:24" ht="35.25" customHeight="1" x14ac:dyDescent="0.25">
      <c r="A6" s="192" t="s">
        <v>10</v>
      </c>
      <c r="B6" s="194" t="s">
        <v>117</v>
      </c>
      <c r="C6" s="194"/>
      <c r="D6" s="194"/>
      <c r="E6" s="106" t="s">
        <v>113</v>
      </c>
      <c r="F6" s="192" t="s">
        <v>10</v>
      </c>
      <c r="G6" s="194" t="s">
        <v>110</v>
      </c>
      <c r="H6" s="194"/>
      <c r="I6" s="194"/>
      <c r="J6" s="96" t="s">
        <v>114</v>
      </c>
      <c r="K6" s="192" t="s">
        <v>10</v>
      </c>
      <c r="L6" s="194" t="s">
        <v>111</v>
      </c>
      <c r="M6" s="194"/>
      <c r="N6" s="194"/>
      <c r="O6" s="96" t="s">
        <v>114</v>
      </c>
      <c r="P6" s="192" t="s">
        <v>10</v>
      </c>
      <c r="Q6" s="194" t="s">
        <v>156</v>
      </c>
      <c r="R6" s="194"/>
      <c r="S6" s="194"/>
      <c r="X6" s="97"/>
    </row>
    <row r="7" spans="1:24" ht="18" x14ac:dyDescent="0.25">
      <c r="A7" s="192"/>
      <c r="B7" s="192" t="s">
        <v>128</v>
      </c>
      <c r="C7" s="192"/>
      <c r="D7" s="194" t="s">
        <v>129</v>
      </c>
      <c r="E7" s="107"/>
      <c r="F7" s="192"/>
      <c r="G7" s="192" t="s">
        <v>128</v>
      </c>
      <c r="H7" s="192"/>
      <c r="I7" s="194" t="s">
        <v>129</v>
      </c>
      <c r="K7" s="192"/>
      <c r="L7" s="192" t="s">
        <v>128</v>
      </c>
      <c r="M7" s="192"/>
      <c r="N7" s="194" t="s">
        <v>129</v>
      </c>
      <c r="P7" s="192"/>
      <c r="Q7" s="192" t="s">
        <v>128</v>
      </c>
      <c r="R7" s="192"/>
      <c r="S7" s="194" t="s">
        <v>129</v>
      </c>
      <c r="X7" s="97"/>
    </row>
    <row r="8" spans="1:24" ht="18" x14ac:dyDescent="0.25">
      <c r="A8" s="192"/>
      <c r="B8" s="108" t="s">
        <v>130</v>
      </c>
      <c r="C8" s="108" t="s">
        <v>131</v>
      </c>
      <c r="D8" s="194"/>
      <c r="E8" s="109"/>
      <c r="F8" s="192"/>
      <c r="G8" s="108" t="s">
        <v>130</v>
      </c>
      <c r="H8" s="108" t="s">
        <v>131</v>
      </c>
      <c r="I8" s="194"/>
      <c r="K8" s="192"/>
      <c r="L8" s="108" t="s">
        <v>130</v>
      </c>
      <c r="M8" s="108" t="s">
        <v>131</v>
      </c>
      <c r="N8" s="194"/>
      <c r="P8" s="192"/>
      <c r="Q8" s="108" t="s">
        <v>130</v>
      </c>
      <c r="R8" s="108" t="s">
        <v>131</v>
      </c>
      <c r="S8" s="194"/>
    </row>
    <row r="9" spans="1:24" x14ac:dyDescent="0.25">
      <c r="A9" s="89">
        <v>2011</v>
      </c>
      <c r="B9" s="164">
        <f>[2]Results!O28</f>
        <v>0.65044600523697138</v>
      </c>
      <c r="C9" s="121">
        <f>B9*21</f>
        <v>13.6593661099764</v>
      </c>
      <c r="D9" s="165">
        <f t="shared" ref="D9:D14" si="0">E9+C9</f>
        <v>13.6593661099764</v>
      </c>
      <c r="E9" s="112"/>
      <c r="F9" s="89">
        <v>2011</v>
      </c>
      <c r="G9" s="164">
        <f>[3]Results!O28</f>
        <v>0</v>
      </c>
      <c r="H9" s="121">
        <f>G9*21</f>
        <v>0</v>
      </c>
      <c r="I9" s="165">
        <f t="shared" ref="I9:I14" si="1">J9+H9</f>
        <v>0</v>
      </c>
      <c r="K9" s="89">
        <v>2011</v>
      </c>
      <c r="L9" s="166">
        <f>[4]Results!O28</f>
        <v>0.46125902098677479</v>
      </c>
      <c r="M9" s="121">
        <f>L9*21</f>
        <v>9.6864394407222711</v>
      </c>
      <c r="N9" s="165">
        <f>O9+M9</f>
        <v>9.6864394407222711</v>
      </c>
      <c r="P9" s="89">
        <v>2011</v>
      </c>
      <c r="Q9" s="166">
        <f>[5]Results!O28</f>
        <v>0</v>
      </c>
      <c r="R9" s="121">
        <f>Q9*21</f>
        <v>0</v>
      </c>
      <c r="S9" s="165">
        <f>T9+R9</f>
        <v>0</v>
      </c>
    </row>
    <row r="10" spans="1:24" x14ac:dyDescent="0.25">
      <c r="A10" s="89">
        <v>2012</v>
      </c>
      <c r="B10" s="164">
        <f>[2]Results!O29</f>
        <v>0.67670988783155095</v>
      </c>
      <c r="C10" s="121">
        <f t="shared" ref="C10:C14" si="2">B10*21</f>
        <v>14.210907644462569</v>
      </c>
      <c r="D10" s="165">
        <f t="shared" si="0"/>
        <v>14.210907644462569</v>
      </c>
      <c r="E10" s="112"/>
      <c r="F10" s="89">
        <v>2012</v>
      </c>
      <c r="G10" s="164">
        <f>[3]Results!O29</f>
        <v>0</v>
      </c>
      <c r="H10" s="121">
        <f t="shared" ref="H10:H14" si="3">G10*21</f>
        <v>0</v>
      </c>
      <c r="I10" s="165">
        <f t="shared" si="1"/>
        <v>0</v>
      </c>
      <c r="K10" s="89">
        <v>2012</v>
      </c>
      <c r="L10" s="166">
        <f>[4]Results!O29</f>
        <v>0.47988386098171615</v>
      </c>
      <c r="M10" s="121">
        <f t="shared" ref="M10:M14" si="4">L10*21</f>
        <v>10.077561080616039</v>
      </c>
      <c r="N10" s="165">
        <f t="shared" ref="N10:N14" si="5">O10+M10</f>
        <v>10.077561080616039</v>
      </c>
      <c r="P10" s="89">
        <v>2012</v>
      </c>
      <c r="Q10" s="166">
        <f>[5]Results!O29</f>
        <v>0</v>
      </c>
      <c r="R10" s="121">
        <f t="shared" ref="R10:R14" si="6">Q10*21</f>
        <v>0</v>
      </c>
      <c r="S10" s="165">
        <f t="shared" ref="S10:S14" si="7">T10+R10</f>
        <v>0</v>
      </c>
    </row>
    <row r="11" spans="1:24" x14ac:dyDescent="0.25">
      <c r="A11" s="89">
        <v>2013</v>
      </c>
      <c r="B11" s="164">
        <f>[2]Results!O30</f>
        <v>0.70208096977805567</v>
      </c>
      <c r="C11" s="121">
        <f t="shared" si="2"/>
        <v>14.743700365339169</v>
      </c>
      <c r="D11" s="165">
        <f t="shared" si="0"/>
        <v>14.743700365339169</v>
      </c>
      <c r="E11" s="112"/>
      <c r="F11" s="89">
        <v>2013</v>
      </c>
      <c r="G11" s="164">
        <f>[3]Results!O30</f>
        <v>0</v>
      </c>
      <c r="H11" s="121">
        <f t="shared" si="3"/>
        <v>0</v>
      </c>
      <c r="I11" s="165">
        <f t="shared" si="1"/>
        <v>0</v>
      </c>
      <c r="K11" s="89">
        <v>2013</v>
      </c>
      <c r="L11" s="166">
        <f>[4]Results!O30</f>
        <v>0.49787557793561843</v>
      </c>
      <c r="M11" s="121">
        <f t="shared" si="4"/>
        <v>10.455387136647987</v>
      </c>
      <c r="N11" s="165">
        <f t="shared" si="5"/>
        <v>10.455387136647987</v>
      </c>
      <c r="P11" s="89">
        <v>2013</v>
      </c>
      <c r="Q11" s="166">
        <f>[5]Results!O30</f>
        <v>0</v>
      </c>
      <c r="R11" s="121">
        <f t="shared" si="6"/>
        <v>0</v>
      </c>
      <c r="S11" s="165">
        <f t="shared" si="7"/>
        <v>0</v>
      </c>
    </row>
    <row r="12" spans="1:24" x14ac:dyDescent="0.25">
      <c r="A12" s="89">
        <v>2014</v>
      </c>
      <c r="B12" s="164">
        <f>[2]Results!O31</f>
        <v>0.72641126957378155</v>
      </c>
      <c r="C12" s="121">
        <f t="shared" si="2"/>
        <v>15.254636661049412</v>
      </c>
      <c r="D12" s="165">
        <f t="shared" si="0"/>
        <v>15.254636661049412</v>
      </c>
      <c r="E12" s="112"/>
      <c r="F12" s="89">
        <v>2014</v>
      </c>
      <c r="G12" s="164">
        <f>[3]Results!O31</f>
        <v>0</v>
      </c>
      <c r="H12" s="121">
        <f t="shared" si="3"/>
        <v>0</v>
      </c>
      <c r="I12" s="165">
        <f t="shared" si="1"/>
        <v>0</v>
      </c>
      <c r="K12" s="89">
        <v>2014</v>
      </c>
      <c r="L12" s="166">
        <f>[4]Results!O31</f>
        <v>0.5151292318496008</v>
      </c>
      <c r="M12" s="121">
        <f t="shared" si="4"/>
        <v>10.817713868841617</v>
      </c>
      <c r="N12" s="165">
        <f t="shared" si="5"/>
        <v>10.817713868841617</v>
      </c>
      <c r="P12" s="89">
        <v>2014</v>
      </c>
      <c r="Q12" s="166">
        <f>[5]Results!O31</f>
        <v>0</v>
      </c>
      <c r="R12" s="121">
        <f t="shared" si="6"/>
        <v>0</v>
      </c>
      <c r="S12" s="165">
        <f t="shared" si="7"/>
        <v>0</v>
      </c>
    </row>
    <row r="13" spans="1:24" x14ac:dyDescent="0.25">
      <c r="A13" s="89">
        <v>2015</v>
      </c>
      <c r="B13" s="164">
        <f>[2]Results!O32</f>
        <v>0.7502235250606446</v>
      </c>
      <c r="C13" s="121">
        <f t="shared" si="2"/>
        <v>15.754694026273537</v>
      </c>
      <c r="D13" s="165">
        <f t="shared" si="0"/>
        <v>15.754694026273537</v>
      </c>
      <c r="E13" s="112"/>
      <c r="F13" s="89">
        <v>2015</v>
      </c>
      <c r="G13" s="164">
        <f>[3]Results!O32</f>
        <v>0</v>
      </c>
      <c r="H13" s="121">
        <f t="shared" si="3"/>
        <v>0</v>
      </c>
      <c r="I13" s="165">
        <f t="shared" si="1"/>
        <v>0</v>
      </c>
      <c r="K13" s="89">
        <v>2015</v>
      </c>
      <c r="L13" s="166">
        <f>[4]Results!O32</f>
        <v>0.53201551843591943</v>
      </c>
      <c r="M13" s="121">
        <f t="shared" si="4"/>
        <v>11.172325887154308</v>
      </c>
      <c r="N13" s="165">
        <f t="shared" si="5"/>
        <v>11.172325887154308</v>
      </c>
      <c r="P13" s="89">
        <v>2015</v>
      </c>
      <c r="Q13" s="166">
        <f>[5]Results!O32</f>
        <v>0</v>
      </c>
      <c r="R13" s="121">
        <f t="shared" si="6"/>
        <v>0</v>
      </c>
      <c r="S13" s="165">
        <f t="shared" si="7"/>
        <v>0</v>
      </c>
    </row>
    <row r="14" spans="1:24" x14ac:dyDescent="0.25">
      <c r="A14" s="89">
        <v>2016</v>
      </c>
      <c r="B14" s="164">
        <f>[2]Results!O33</f>
        <v>0.77358501571669092</v>
      </c>
      <c r="C14" s="121">
        <f t="shared" si="2"/>
        <v>16.24528533005051</v>
      </c>
      <c r="D14" s="165">
        <f t="shared" si="0"/>
        <v>16.24528533005051</v>
      </c>
      <c r="E14" s="112"/>
      <c r="F14" s="89">
        <v>2016</v>
      </c>
      <c r="G14" s="164">
        <f>[3]Results!O33</f>
        <v>0</v>
      </c>
      <c r="H14" s="121">
        <f t="shared" si="3"/>
        <v>0</v>
      </c>
      <c r="I14" s="165">
        <f t="shared" si="1"/>
        <v>0</v>
      </c>
      <c r="K14" s="89">
        <v>2016</v>
      </c>
      <c r="L14" s="166">
        <f>[4]Results!O33</f>
        <v>0.54858214844369968</v>
      </c>
      <c r="M14" s="121">
        <f t="shared" si="4"/>
        <v>11.520225117317693</v>
      </c>
      <c r="N14" s="165">
        <f t="shared" si="5"/>
        <v>11.520225117317693</v>
      </c>
      <c r="P14" s="89">
        <v>2016</v>
      </c>
      <c r="Q14" s="166">
        <f>[5]Results!O33</f>
        <v>0</v>
      </c>
      <c r="R14" s="121">
        <f t="shared" si="6"/>
        <v>0</v>
      </c>
      <c r="S14" s="165">
        <f t="shared" si="7"/>
        <v>0</v>
      </c>
    </row>
    <row r="15" spans="1:24" x14ac:dyDescent="0.25">
      <c r="A15" s="89">
        <v>2017</v>
      </c>
      <c r="B15" s="164">
        <f>[2]Results!O34</f>
        <v>0.79645582004085269</v>
      </c>
      <c r="C15" s="121">
        <f t="shared" ref="C15:C29" si="8">B15*21</f>
        <v>16.725572220857906</v>
      </c>
      <c r="D15" s="165">
        <f t="shared" ref="D15:D29" si="9">E15+C15</f>
        <v>16.725572220857906</v>
      </c>
      <c r="E15" s="112"/>
      <c r="F15" s="89">
        <v>2017</v>
      </c>
      <c r="G15" s="164">
        <f>[3]Results!O34</f>
        <v>0</v>
      </c>
      <c r="H15" s="121">
        <f t="shared" ref="H15:H29" si="10">G15*21</f>
        <v>0</v>
      </c>
      <c r="I15" s="165">
        <f t="shared" ref="I15:I29" si="11">J15+H15</f>
        <v>0</v>
      </c>
      <c r="K15" s="89">
        <v>2017</v>
      </c>
      <c r="L15" s="166">
        <f>[4]Results!O34</f>
        <v>0.56480081183283004</v>
      </c>
      <c r="M15" s="121">
        <f t="shared" ref="M15:M29" si="12">L15*21</f>
        <v>11.86081704848943</v>
      </c>
      <c r="N15" s="165">
        <f t="shared" ref="N15:N29" si="13">O15+M15</f>
        <v>11.86081704848943</v>
      </c>
      <c r="P15" s="89">
        <v>2017</v>
      </c>
      <c r="Q15" s="166">
        <f>[5]Results!O34</f>
        <v>0</v>
      </c>
      <c r="R15" s="121">
        <f t="shared" ref="R15:R29" si="14">Q15*21</f>
        <v>0</v>
      </c>
      <c r="S15" s="165">
        <f t="shared" ref="S15:S29" si="15">T15+R15</f>
        <v>0</v>
      </c>
    </row>
    <row r="16" spans="1:24" x14ac:dyDescent="0.25">
      <c r="A16" s="89">
        <v>2018</v>
      </c>
      <c r="B16" s="164">
        <f>[2]Results!O35</f>
        <v>0.81233843079346324</v>
      </c>
      <c r="C16" s="121">
        <f t="shared" si="8"/>
        <v>17.059107046662728</v>
      </c>
      <c r="D16" s="165">
        <f t="shared" si="9"/>
        <v>17.059107046662728</v>
      </c>
      <c r="E16" s="112"/>
      <c r="F16" s="89">
        <v>2018</v>
      </c>
      <c r="G16" s="164">
        <f>[3]Results!O35</f>
        <v>0</v>
      </c>
      <c r="H16" s="121">
        <f t="shared" si="10"/>
        <v>0</v>
      </c>
      <c r="I16" s="165">
        <f t="shared" si="11"/>
        <v>0</v>
      </c>
      <c r="K16" s="89">
        <v>2018</v>
      </c>
      <c r="L16" s="166">
        <f>[4]Results!O35</f>
        <v>0.57834992563970888</v>
      </c>
      <c r="M16" s="121">
        <f t="shared" si="12"/>
        <v>12.145348438433887</v>
      </c>
      <c r="N16" s="165">
        <f t="shared" si="13"/>
        <v>12.145348438433887</v>
      </c>
      <c r="P16" s="89">
        <v>2018</v>
      </c>
      <c r="Q16" s="166">
        <f>[5]Results!O35</f>
        <v>8.7595703704470371E-3</v>
      </c>
      <c r="R16" s="121">
        <f t="shared" si="14"/>
        <v>0.18395097777938779</v>
      </c>
      <c r="S16" s="165">
        <f t="shared" si="15"/>
        <v>0.18395097777938779</v>
      </c>
    </row>
    <row r="17" spans="1:19" x14ac:dyDescent="0.25">
      <c r="A17" s="89">
        <v>2019</v>
      </c>
      <c r="B17" s="164">
        <f>[2]Results!O36</f>
        <v>0.83657700716219252</v>
      </c>
      <c r="C17" s="121">
        <f t="shared" si="8"/>
        <v>17.568117150406042</v>
      </c>
      <c r="D17" s="165">
        <f t="shared" si="9"/>
        <v>17.568117150406042</v>
      </c>
      <c r="E17" s="112"/>
      <c r="F17" s="89">
        <v>2019</v>
      </c>
      <c r="G17" s="164">
        <f>[3]Results!O36</f>
        <v>0</v>
      </c>
      <c r="H17" s="121">
        <f t="shared" si="10"/>
        <v>0</v>
      </c>
      <c r="I17" s="165">
        <f t="shared" si="11"/>
        <v>0</v>
      </c>
      <c r="K17" s="89">
        <v>2019</v>
      </c>
      <c r="L17" s="166">
        <f>[4]Results!O36</f>
        <v>0.58968186775386622</v>
      </c>
      <c r="M17" s="121">
        <f t="shared" si="12"/>
        <v>12.38331922283119</v>
      </c>
      <c r="N17" s="165">
        <f t="shared" si="13"/>
        <v>12.38331922283119</v>
      </c>
      <c r="P17" s="89">
        <v>2019</v>
      </c>
      <c r="Q17" s="166">
        <f>[5]Results!O36</f>
        <v>1.5874481453018129E-2</v>
      </c>
      <c r="R17" s="121">
        <f t="shared" si="14"/>
        <v>0.33336411051338072</v>
      </c>
      <c r="S17" s="165">
        <f t="shared" si="15"/>
        <v>0.33336411051338072</v>
      </c>
    </row>
    <row r="18" spans="1:19" x14ac:dyDescent="0.25">
      <c r="A18" s="89">
        <v>2020</v>
      </c>
      <c r="B18" s="164">
        <f>[2]Results!O37</f>
        <v>0.86703327333950508</v>
      </c>
      <c r="C18" s="121">
        <f t="shared" si="8"/>
        <v>18.207698740129608</v>
      </c>
      <c r="D18" s="165">
        <f t="shared" si="9"/>
        <v>18.207698740129608</v>
      </c>
      <c r="E18" s="112"/>
      <c r="F18" s="89">
        <v>2020</v>
      </c>
      <c r="G18" s="164">
        <f>[3]Results!O37</f>
        <v>0</v>
      </c>
      <c r="H18" s="121">
        <f t="shared" si="10"/>
        <v>0</v>
      </c>
      <c r="I18" s="165">
        <f t="shared" si="11"/>
        <v>0</v>
      </c>
      <c r="K18" s="89">
        <v>2020</v>
      </c>
      <c r="L18" s="166">
        <f>[4]Results!O37</f>
        <v>0.5992815992438012</v>
      </c>
      <c r="M18" s="121">
        <f t="shared" si="12"/>
        <v>12.584913584119825</v>
      </c>
      <c r="N18" s="165">
        <f t="shared" si="13"/>
        <v>12.584913584119825</v>
      </c>
      <c r="P18" s="89">
        <v>2020</v>
      </c>
      <c r="Q18" s="166">
        <f>[5]Results!O37</f>
        <v>2.1968214685724557E-2</v>
      </c>
      <c r="R18" s="121">
        <f t="shared" si="14"/>
        <v>0.46133250840021567</v>
      </c>
      <c r="S18" s="165">
        <f t="shared" si="15"/>
        <v>0.46133250840021567</v>
      </c>
    </row>
    <row r="19" spans="1:19" x14ac:dyDescent="0.25">
      <c r="A19" s="89">
        <v>2021</v>
      </c>
      <c r="B19" s="164">
        <f>[2]Results!O38</f>
        <v>0.90226210908175208</v>
      </c>
      <c r="C19" s="121">
        <f t="shared" si="8"/>
        <v>18.947504290716793</v>
      </c>
      <c r="D19" s="165">
        <f t="shared" si="9"/>
        <v>18.947504290716793</v>
      </c>
      <c r="E19" s="112"/>
      <c r="F19" s="89">
        <v>2021</v>
      </c>
      <c r="G19" s="164">
        <f>[3]Results!O38</f>
        <v>0</v>
      </c>
      <c r="H19" s="121">
        <f t="shared" si="10"/>
        <v>0</v>
      </c>
      <c r="I19" s="165">
        <f t="shared" si="11"/>
        <v>0</v>
      </c>
      <c r="K19" s="89">
        <v>2021</v>
      </c>
      <c r="L19" s="166">
        <f>[4]Results!O38</f>
        <v>0.60748910910600806</v>
      </c>
      <c r="M19" s="121">
        <f t="shared" si="12"/>
        <v>12.75727129122617</v>
      </c>
      <c r="N19" s="165">
        <f t="shared" si="13"/>
        <v>12.75727129122617</v>
      </c>
      <c r="P19" s="89">
        <v>2021</v>
      </c>
      <c r="Q19" s="166">
        <f>[5]Results!O38</f>
        <v>2.7471145327721568E-2</v>
      </c>
      <c r="R19" s="121">
        <f t="shared" si="14"/>
        <v>0.57689405188215293</v>
      </c>
      <c r="S19" s="165">
        <f t="shared" si="15"/>
        <v>0.57689405188215293</v>
      </c>
    </row>
    <row r="20" spans="1:19" x14ac:dyDescent="0.25">
      <c r="A20" s="89">
        <v>2022</v>
      </c>
      <c r="B20" s="164">
        <f>[2]Results!O39</f>
        <v>0.94128522162554062</v>
      </c>
      <c r="C20" s="121">
        <f t="shared" si="8"/>
        <v>19.766989654136353</v>
      </c>
      <c r="D20" s="165">
        <f t="shared" si="9"/>
        <v>19.766989654136353</v>
      </c>
      <c r="E20" s="112"/>
      <c r="F20" s="89">
        <v>2022</v>
      </c>
      <c r="G20" s="164">
        <f>[3]Results!O39</f>
        <v>0</v>
      </c>
      <c r="H20" s="121">
        <f t="shared" si="10"/>
        <v>0</v>
      </c>
      <c r="I20" s="165">
        <f t="shared" si="11"/>
        <v>0</v>
      </c>
      <c r="K20" s="89">
        <v>2022</v>
      </c>
      <c r="L20" s="166">
        <f>[4]Results!O39</f>
        <v>0.61454590848333135</v>
      </c>
      <c r="M20" s="121">
        <f t="shared" si="12"/>
        <v>12.905464078149958</v>
      </c>
      <c r="N20" s="165">
        <f t="shared" si="13"/>
        <v>12.905464078149958</v>
      </c>
      <c r="P20" s="89">
        <v>2022</v>
      </c>
      <c r="Q20" s="166">
        <f>[5]Results!O39</f>
        <v>3.268454237841463E-2</v>
      </c>
      <c r="R20" s="121">
        <f t="shared" si="14"/>
        <v>0.68637538994670722</v>
      </c>
      <c r="S20" s="165">
        <f t="shared" si="15"/>
        <v>0.68637538994670722</v>
      </c>
    </row>
    <row r="21" spans="1:19" x14ac:dyDescent="0.25">
      <c r="A21" s="89">
        <v>2023</v>
      </c>
      <c r="B21" s="164">
        <f>[2]Results!O40</f>
        <v>0.98343891210691425</v>
      </c>
      <c r="C21" s="121">
        <f t="shared" si="8"/>
        <v>20.6522171542452</v>
      </c>
      <c r="D21" s="165">
        <f t="shared" si="9"/>
        <v>20.6522171542452</v>
      </c>
      <c r="E21" s="112"/>
      <c r="F21" s="89">
        <v>2023</v>
      </c>
      <c r="G21" s="164">
        <f>[3]Results!O40</f>
        <v>0</v>
      </c>
      <c r="H21" s="121">
        <f t="shared" si="10"/>
        <v>0</v>
      </c>
      <c r="I21" s="165">
        <f t="shared" si="11"/>
        <v>0</v>
      </c>
      <c r="K21" s="89">
        <v>2023</v>
      </c>
      <c r="L21" s="166">
        <f>[4]Results!O40</f>
        <v>0.6206263662513809</v>
      </c>
      <c r="M21" s="121">
        <f t="shared" si="12"/>
        <v>13.033153691278999</v>
      </c>
      <c r="N21" s="165">
        <f t="shared" si="13"/>
        <v>13.033153691278999</v>
      </c>
      <c r="P21" s="89">
        <v>2023</v>
      </c>
      <c r="Q21" s="166">
        <f>[5]Results!O40</f>
        <v>3.7823610176061985E-2</v>
      </c>
      <c r="R21" s="121">
        <f t="shared" si="14"/>
        <v>0.79429581369730173</v>
      </c>
      <c r="S21" s="165">
        <f t="shared" si="15"/>
        <v>0.79429581369730173</v>
      </c>
    </row>
    <row r="22" spans="1:19" x14ac:dyDescent="0.25">
      <c r="A22" s="89">
        <v>2024</v>
      </c>
      <c r="B22" s="164">
        <f>[2]Results!O41</f>
        <v>1.0282715666760622</v>
      </c>
      <c r="C22" s="121">
        <f t="shared" si="8"/>
        <v>21.593702900197307</v>
      </c>
      <c r="D22" s="165">
        <f t="shared" si="9"/>
        <v>21.593702900197307</v>
      </c>
      <c r="E22" s="112"/>
      <c r="F22" s="89">
        <v>2024</v>
      </c>
      <c r="G22" s="164">
        <f>[3]Results!O41</f>
        <v>0</v>
      </c>
      <c r="H22" s="121">
        <f t="shared" si="10"/>
        <v>0</v>
      </c>
      <c r="I22" s="165">
        <f t="shared" si="11"/>
        <v>0</v>
      </c>
      <c r="K22" s="89">
        <v>2024</v>
      </c>
      <c r="L22" s="166">
        <f>[4]Results!O41</f>
        <v>0.62585885784000517</v>
      </c>
      <c r="M22" s="121">
        <f t="shared" si="12"/>
        <v>13.143036014640108</v>
      </c>
      <c r="N22" s="165">
        <f t="shared" si="13"/>
        <v>13.143036014640108</v>
      </c>
      <c r="P22" s="89">
        <v>2024</v>
      </c>
      <c r="Q22" s="166">
        <f>[5]Results!O41</f>
        <v>4.3046475640619065E-2</v>
      </c>
      <c r="R22" s="121">
        <f t="shared" si="14"/>
        <v>0.90397598845300042</v>
      </c>
      <c r="S22" s="165">
        <f t="shared" si="15"/>
        <v>0.90397598845300042</v>
      </c>
    </row>
    <row r="23" spans="1:19" x14ac:dyDescent="0.25">
      <c r="A23" s="89">
        <v>2025</v>
      </c>
      <c r="B23" s="164">
        <f>[2]Results!O42</f>
        <v>1.0754745256304779</v>
      </c>
      <c r="C23" s="121">
        <f t="shared" si="8"/>
        <v>22.584965038240036</v>
      </c>
      <c r="D23" s="165">
        <f t="shared" si="9"/>
        <v>22.584965038240036</v>
      </c>
      <c r="E23" s="112"/>
      <c r="F23" s="89">
        <v>2025</v>
      </c>
      <c r="G23" s="164">
        <f>[3]Results!O42</f>
        <v>0</v>
      </c>
      <c r="H23" s="121">
        <f t="shared" si="10"/>
        <v>0</v>
      </c>
      <c r="I23" s="165">
        <f t="shared" si="11"/>
        <v>0</v>
      </c>
      <c r="K23" s="89">
        <v>2025</v>
      </c>
      <c r="L23" s="166">
        <f>[4]Results!O42</f>
        <v>0.63034006402529941</v>
      </c>
      <c r="M23" s="121">
        <f t="shared" si="12"/>
        <v>13.237141344531288</v>
      </c>
      <c r="N23" s="165">
        <f t="shared" si="13"/>
        <v>13.237141344531288</v>
      </c>
      <c r="P23" s="89">
        <v>2025</v>
      </c>
      <c r="Q23" s="166">
        <f>[5]Results!O42</f>
        <v>4.8473751249354574E-2</v>
      </c>
      <c r="R23" s="121">
        <f t="shared" si="14"/>
        <v>1.0179487762364461</v>
      </c>
      <c r="S23" s="165">
        <f t="shared" si="15"/>
        <v>1.0179487762364461</v>
      </c>
    </row>
    <row r="24" spans="1:19" x14ac:dyDescent="0.25">
      <c r="A24" s="89">
        <v>2026</v>
      </c>
      <c r="B24" s="164">
        <f>[2]Results!O43</f>
        <v>1.1248353635070527</v>
      </c>
      <c r="C24" s="121">
        <f t="shared" si="8"/>
        <v>23.621542633648108</v>
      </c>
      <c r="D24" s="165">
        <f t="shared" si="9"/>
        <v>23.621542633648108</v>
      </c>
      <c r="E24" s="112"/>
      <c r="F24" s="89">
        <v>2026</v>
      </c>
      <c r="G24" s="164">
        <f>[3]Results!O43</f>
        <v>0</v>
      </c>
      <c r="H24" s="121">
        <f t="shared" si="10"/>
        <v>0</v>
      </c>
      <c r="I24" s="165">
        <f t="shared" si="11"/>
        <v>0</v>
      </c>
      <c r="K24" s="89">
        <v>2026</v>
      </c>
      <c r="L24" s="166">
        <f>[4]Results!O43</f>
        <v>0.63414465974139256</v>
      </c>
      <c r="M24" s="121">
        <f t="shared" si="12"/>
        <v>13.317037854569243</v>
      </c>
      <c r="N24" s="165">
        <f t="shared" si="13"/>
        <v>13.317037854569243</v>
      </c>
      <c r="P24" s="89">
        <v>2026</v>
      </c>
      <c r="Q24" s="166">
        <f>[5]Results!O43</f>
        <v>5.4201779372518973E-2</v>
      </c>
      <c r="R24" s="121">
        <f t="shared" si="14"/>
        <v>1.1382373668228984</v>
      </c>
      <c r="S24" s="165">
        <f t="shared" si="15"/>
        <v>1.1382373668228984</v>
      </c>
    </row>
    <row r="25" spans="1:19" x14ac:dyDescent="0.25">
      <c r="A25" s="89">
        <v>2027</v>
      </c>
      <c r="B25" s="164">
        <f>[2]Results!O44</f>
        <v>1.1762062204343642</v>
      </c>
      <c r="C25" s="121">
        <f t="shared" si="8"/>
        <v>24.700330629121648</v>
      </c>
      <c r="D25" s="165">
        <f t="shared" si="9"/>
        <v>24.700330629121648</v>
      </c>
      <c r="E25" s="112"/>
      <c r="F25" s="89">
        <v>2027</v>
      </c>
      <c r="G25" s="164">
        <f>[3]Results!O44</f>
        <v>0</v>
      </c>
      <c r="H25" s="121">
        <f t="shared" si="10"/>
        <v>0</v>
      </c>
      <c r="I25" s="165">
        <f t="shared" si="11"/>
        <v>0</v>
      </c>
      <c r="K25" s="89">
        <v>2027</v>
      </c>
      <c r="L25" s="166">
        <f>[4]Results!O44</f>
        <v>0.63733189730346063</v>
      </c>
      <c r="M25" s="121">
        <f t="shared" si="12"/>
        <v>13.383969843372673</v>
      </c>
      <c r="N25" s="165">
        <f t="shared" si="13"/>
        <v>13.383969843372673</v>
      </c>
      <c r="P25" s="89">
        <v>2027</v>
      </c>
      <c r="Q25" s="166">
        <f>[5]Results!O44</f>
        <v>6.0311641528831769E-2</v>
      </c>
      <c r="R25" s="121">
        <f t="shared" si="14"/>
        <v>1.2665444721054671</v>
      </c>
      <c r="S25" s="165">
        <f t="shared" si="15"/>
        <v>1.2665444721054671</v>
      </c>
    </row>
    <row r="26" spans="1:19" x14ac:dyDescent="0.25">
      <c r="A26" s="89">
        <v>2028</v>
      </c>
      <c r="B26" s="164">
        <f>[2]Results!O45</f>
        <v>1.2294822442096687</v>
      </c>
      <c r="C26" s="121">
        <f t="shared" si="8"/>
        <v>25.819127128403043</v>
      </c>
      <c r="D26" s="165">
        <f t="shared" si="9"/>
        <v>25.819127128403043</v>
      </c>
      <c r="E26" s="112"/>
      <c r="F26" s="89">
        <v>2028</v>
      </c>
      <c r="G26" s="164">
        <f>[3]Results!O45</f>
        <v>0</v>
      </c>
      <c r="H26" s="121">
        <f t="shared" si="10"/>
        <v>0</v>
      </c>
      <c r="I26" s="165">
        <f t="shared" si="11"/>
        <v>0</v>
      </c>
      <c r="K26" s="89">
        <v>2028</v>
      </c>
      <c r="L26" s="166">
        <f>[4]Results!O45</f>
        <v>0.63995009486265719</v>
      </c>
      <c r="M26" s="121">
        <f t="shared" si="12"/>
        <v>13.4389519921158</v>
      </c>
      <c r="N26" s="165">
        <f t="shared" si="13"/>
        <v>13.4389519921158</v>
      </c>
      <c r="P26" s="89">
        <v>2028</v>
      </c>
      <c r="Q26" s="166">
        <f>[5]Results!O45</f>
        <v>6.687533085703927E-2</v>
      </c>
      <c r="R26" s="121">
        <f t="shared" si="14"/>
        <v>1.4043819479978246</v>
      </c>
      <c r="S26" s="165">
        <f t="shared" si="15"/>
        <v>1.4043819479978246</v>
      </c>
    </row>
    <row r="27" spans="1:19" x14ac:dyDescent="0.25">
      <c r="A27" s="89">
        <v>2029</v>
      </c>
      <c r="B27" s="164">
        <f>[2]Results!O46</f>
        <v>1.2845868250703298</v>
      </c>
      <c r="C27" s="121">
        <f t="shared" si="8"/>
        <v>26.976323326476926</v>
      </c>
      <c r="D27" s="165">
        <f t="shared" si="9"/>
        <v>26.976323326476926</v>
      </c>
      <c r="E27" s="112"/>
      <c r="F27" s="89">
        <v>2029</v>
      </c>
      <c r="G27" s="164">
        <f>[3]Results!O46</f>
        <v>0</v>
      </c>
      <c r="H27" s="121">
        <f t="shared" si="10"/>
        <v>0</v>
      </c>
      <c r="I27" s="165">
        <f t="shared" si="11"/>
        <v>0</v>
      </c>
      <c r="K27" s="89">
        <v>2029</v>
      </c>
      <c r="L27" s="166">
        <f>[4]Results!O46</f>
        <v>0.64203970968828095</v>
      </c>
      <c r="M27" s="121">
        <f t="shared" si="12"/>
        <v>13.4828339034539</v>
      </c>
      <c r="N27" s="165">
        <f t="shared" si="13"/>
        <v>13.4828339034539</v>
      </c>
      <c r="P27" s="89">
        <v>2029</v>
      </c>
      <c r="Q27" s="166">
        <f>[5]Results!O46</f>
        <v>7.3960026636766624E-2</v>
      </c>
      <c r="R27" s="121">
        <f t="shared" si="14"/>
        <v>1.5531605593720992</v>
      </c>
      <c r="S27" s="165">
        <f t="shared" si="15"/>
        <v>1.5531605593720992</v>
      </c>
    </row>
    <row r="28" spans="1:19" x14ac:dyDescent="0.25">
      <c r="A28" s="89">
        <v>2030</v>
      </c>
      <c r="B28" s="164">
        <f>[2]Results!O47</f>
        <v>1.341461393460937</v>
      </c>
      <c r="C28" s="121">
        <f t="shared" si="8"/>
        <v>28.170689262679677</v>
      </c>
      <c r="D28" s="165">
        <f t="shared" si="9"/>
        <v>28.170689262679677</v>
      </c>
      <c r="E28" s="112"/>
      <c r="F28" s="89">
        <v>2030</v>
      </c>
      <c r="G28" s="164">
        <f>[3]Results!O47</f>
        <v>0</v>
      </c>
      <c r="H28" s="121">
        <f t="shared" si="10"/>
        <v>0</v>
      </c>
      <c r="I28" s="165">
        <f t="shared" si="11"/>
        <v>0</v>
      </c>
      <c r="K28" s="89">
        <v>2030</v>
      </c>
      <c r="L28" s="166">
        <f>[4]Results!O47</f>
        <v>0.64363545352915175</v>
      </c>
      <c r="M28" s="121">
        <f t="shared" si="12"/>
        <v>13.516344524112187</v>
      </c>
      <c r="N28" s="165">
        <f t="shared" si="13"/>
        <v>13.516344524112187</v>
      </c>
      <c r="P28" s="89">
        <v>2030</v>
      </c>
      <c r="Q28" s="166">
        <f>[5]Results!O47</f>
        <v>8.1631101616986876E-2</v>
      </c>
      <c r="R28" s="121">
        <f t="shared" si="14"/>
        <v>1.7142531339567244</v>
      </c>
      <c r="S28" s="165">
        <f t="shared" si="15"/>
        <v>1.7142531339567244</v>
      </c>
    </row>
    <row r="29" spans="1:19" x14ac:dyDescent="0.25">
      <c r="A29" s="89">
        <v>2031</v>
      </c>
      <c r="B29" s="135"/>
      <c r="C29" s="110">
        <f t="shared" si="8"/>
        <v>0</v>
      </c>
      <c r="D29" s="111">
        <f t="shared" si="9"/>
        <v>0</v>
      </c>
      <c r="E29" s="112"/>
      <c r="F29" s="89">
        <v>2031</v>
      </c>
      <c r="G29" s="135"/>
      <c r="H29" s="110">
        <f t="shared" si="10"/>
        <v>0</v>
      </c>
      <c r="I29" s="111">
        <f t="shared" si="11"/>
        <v>0</v>
      </c>
      <c r="K29" s="89">
        <v>2031</v>
      </c>
      <c r="L29" s="134"/>
      <c r="M29" s="110">
        <f t="shared" si="12"/>
        <v>0</v>
      </c>
      <c r="N29" s="111">
        <f t="shared" si="13"/>
        <v>0</v>
      </c>
      <c r="P29" s="89">
        <v>2031</v>
      </c>
      <c r="Q29" s="134"/>
      <c r="R29" s="113">
        <f t="shared" si="14"/>
        <v>0</v>
      </c>
      <c r="S29" s="114">
        <f t="shared" si="15"/>
        <v>0</v>
      </c>
    </row>
    <row r="31" spans="1:19" x14ac:dyDescent="0.25">
      <c r="A31" s="115" t="s">
        <v>126</v>
      </c>
    </row>
    <row r="32" spans="1:19" x14ac:dyDescent="0.25">
      <c r="A32" s="195" t="s">
        <v>10</v>
      </c>
      <c r="B32" s="195" t="s">
        <v>80</v>
      </c>
      <c r="C32" s="195"/>
      <c r="D32" s="195"/>
      <c r="E32" s="195"/>
      <c r="F32" s="195"/>
    </row>
    <row r="33" spans="1:6" ht="18" x14ac:dyDescent="0.25">
      <c r="A33" s="195"/>
      <c r="B33" s="195" t="s">
        <v>128</v>
      </c>
      <c r="C33" s="195"/>
      <c r="D33" s="195" t="s">
        <v>132</v>
      </c>
      <c r="E33" s="195"/>
      <c r="F33" s="196" t="s">
        <v>129</v>
      </c>
    </row>
    <row r="34" spans="1:6" ht="18" x14ac:dyDescent="0.25">
      <c r="A34" s="195"/>
      <c r="B34" s="160" t="s">
        <v>130</v>
      </c>
      <c r="C34" s="160" t="s">
        <v>131</v>
      </c>
      <c r="D34" s="160" t="s">
        <v>133</v>
      </c>
      <c r="E34" s="160" t="s">
        <v>131</v>
      </c>
      <c r="F34" s="196"/>
    </row>
    <row r="35" spans="1:6" x14ac:dyDescent="0.25">
      <c r="A35" s="89">
        <v>2011</v>
      </c>
      <c r="B35" s="110">
        <f>[6]REKAPITULASI!B6</f>
        <v>2.5680564000000001E-3</v>
      </c>
      <c r="C35" s="110">
        <f>B35*21</f>
        <v>5.3929184400000003E-2</v>
      </c>
      <c r="D35" s="110">
        <f>[6]REKAPITULASI!D6</f>
        <v>1.9260423E-4</v>
      </c>
      <c r="E35" s="110">
        <f>D35*310</f>
        <v>5.9707311300000003E-2</v>
      </c>
      <c r="F35" s="165">
        <f>E35+C35</f>
        <v>0.11363649570000001</v>
      </c>
    </row>
    <row r="36" spans="1:6" x14ac:dyDescent="0.25">
      <c r="A36" s="89">
        <v>2012</v>
      </c>
      <c r="B36" s="110">
        <f>[6]REKAPITULASI!B7</f>
        <v>2.6363988000000001E-3</v>
      </c>
      <c r="C36" s="110">
        <f t="shared" ref="C36:C45" si="16">B36*21</f>
        <v>5.5364374800000005E-2</v>
      </c>
      <c r="D36" s="110">
        <f>[6]REKAPITULASI!D7</f>
        <v>1.9772991E-4</v>
      </c>
      <c r="E36" s="110">
        <f t="shared" ref="E36:E45" si="17">D36*310</f>
        <v>6.12962721E-2</v>
      </c>
      <c r="F36" s="165">
        <f t="shared" ref="F36:F45" si="18">E36+C36</f>
        <v>0.1166606469</v>
      </c>
    </row>
    <row r="37" spans="1:6" x14ac:dyDescent="0.25">
      <c r="A37" s="89">
        <v>2013</v>
      </c>
      <c r="B37" s="110">
        <f>[6]REKAPITULASI!B8</f>
        <v>2.6999028000000004E-3</v>
      </c>
      <c r="C37" s="110">
        <f t="shared" si="16"/>
        <v>5.669795880000001E-2</v>
      </c>
      <c r="D37" s="110">
        <f>[6]REKAPITULASI!D8</f>
        <v>2.0249271000000001E-4</v>
      </c>
      <c r="E37" s="110">
        <f t="shared" si="17"/>
        <v>6.2772740100000002E-2</v>
      </c>
      <c r="F37" s="165">
        <f t="shared" si="18"/>
        <v>0.11947069890000001</v>
      </c>
    </row>
    <row r="38" spans="1:6" x14ac:dyDescent="0.25">
      <c r="A38" s="89">
        <v>2014</v>
      </c>
      <c r="B38" s="110">
        <f>[6]REKAPITULASI!B9</f>
        <v>2.76669E-3</v>
      </c>
      <c r="C38" s="110">
        <f t="shared" si="16"/>
        <v>5.8100489999999998E-2</v>
      </c>
      <c r="D38" s="110">
        <f>[6]REKAPITULASI!D9</f>
        <v>2.0750175E-4</v>
      </c>
      <c r="E38" s="110">
        <f t="shared" si="17"/>
        <v>6.4325542499999999E-2</v>
      </c>
      <c r="F38" s="165">
        <f t="shared" si="18"/>
        <v>0.1224260325</v>
      </c>
    </row>
    <row r="39" spans="1:6" x14ac:dyDescent="0.25">
      <c r="A39" s="89">
        <v>2015</v>
      </c>
      <c r="B39" s="110">
        <f>[6]REKAPITULASI!B10</f>
        <v>2.8328508000000007E-3</v>
      </c>
      <c r="C39" s="110">
        <f t="shared" si="16"/>
        <v>5.9489866800000013E-2</v>
      </c>
      <c r="D39" s="110">
        <f>[6]REKAPITULASI!D10</f>
        <v>2.1246381000000002E-4</v>
      </c>
      <c r="E39" s="110">
        <f t="shared" si="17"/>
        <v>6.5863781100000005E-2</v>
      </c>
      <c r="F39" s="165">
        <f t="shared" si="18"/>
        <v>0.12535364790000003</v>
      </c>
    </row>
    <row r="40" spans="1:6" x14ac:dyDescent="0.25">
      <c r="A40" s="89">
        <v>2016</v>
      </c>
      <c r="B40" s="110">
        <f>[6]REKAPITULASI!B11</f>
        <v>2.8972188000000007E-3</v>
      </c>
      <c r="C40" s="110">
        <f t="shared" si="16"/>
        <v>6.0841594800000016E-2</v>
      </c>
      <c r="D40" s="110">
        <f>[6]REKAPITULASI!D11</f>
        <v>2.1729141000000003E-4</v>
      </c>
      <c r="E40" s="110">
        <f t="shared" si="17"/>
        <v>6.7360337100000015E-2</v>
      </c>
      <c r="F40" s="165">
        <f t="shared" si="18"/>
        <v>0.12820193190000004</v>
      </c>
    </row>
    <row r="41" spans="1:6" x14ac:dyDescent="0.25">
      <c r="A41" s="89">
        <v>2017</v>
      </c>
      <c r="B41" s="110">
        <f>[6]REKAPITULASI!B12</f>
        <v>3.0740392188E-3</v>
      </c>
      <c r="C41" s="110">
        <f t="shared" si="16"/>
        <v>6.4554823594799998E-2</v>
      </c>
      <c r="D41" s="110">
        <f>[6]REKAPITULASI!D12</f>
        <v>2.3055294141E-4</v>
      </c>
      <c r="E41" s="110">
        <f t="shared" si="17"/>
        <v>7.1471411837099999E-2</v>
      </c>
      <c r="F41" s="165">
        <f t="shared" si="18"/>
        <v>0.13602623543190001</v>
      </c>
    </row>
    <row r="42" spans="1:6" x14ac:dyDescent="0.25">
      <c r="A42" s="89">
        <v>2018</v>
      </c>
      <c r="B42" s="110">
        <f>[6]REKAPITULASI!B13</f>
        <v>3.2552492187896999E-3</v>
      </c>
      <c r="C42" s="110">
        <f t="shared" si="16"/>
        <v>6.8360233594583694E-2</v>
      </c>
      <c r="D42" s="110">
        <f>[6]REKAPITULASI!D13</f>
        <v>2.441436914092275E-4</v>
      </c>
      <c r="E42" s="110">
        <f t="shared" si="17"/>
        <v>7.5684544336860532E-2</v>
      </c>
      <c r="F42" s="165">
        <f t="shared" si="18"/>
        <v>0.14404477793144421</v>
      </c>
    </row>
    <row r="43" spans="1:6" x14ac:dyDescent="0.25">
      <c r="A43" s="89">
        <v>2019</v>
      </c>
      <c r="B43" s="110">
        <f>[6]REKAPITULASI!B14</f>
        <v>3.4442913004233424E-3</v>
      </c>
      <c r="C43" s="110">
        <f t="shared" si="16"/>
        <v>7.2330117308890191E-2</v>
      </c>
      <c r="D43" s="110">
        <f>[6]REKAPITULASI!D14</f>
        <v>2.5832184753175067E-4</v>
      </c>
      <c r="E43" s="110">
        <f t="shared" si="17"/>
        <v>8.0079772734842708E-2</v>
      </c>
      <c r="F43" s="165">
        <f t="shared" si="18"/>
        <v>0.1524098900437329</v>
      </c>
    </row>
    <row r="44" spans="1:6" x14ac:dyDescent="0.25">
      <c r="A44" s="89">
        <v>2020</v>
      </c>
      <c r="B44" s="110">
        <f>[6]REKAPITULASI!B15</f>
        <v>3.6414647045321406E-3</v>
      </c>
      <c r="C44" s="110">
        <f t="shared" si="16"/>
        <v>7.6470758795174953E-2</v>
      </c>
      <c r="D44" s="110">
        <f>[6]REKAPITULASI!D15</f>
        <v>2.7310985283991051E-4</v>
      </c>
      <c r="E44" s="110">
        <f t="shared" si="17"/>
        <v>8.4664054380372264E-2</v>
      </c>
      <c r="F44" s="165">
        <f t="shared" si="18"/>
        <v>0.16113481317554723</v>
      </c>
    </row>
    <row r="45" spans="1:6" x14ac:dyDescent="0.25">
      <c r="A45" s="89">
        <v>2021</v>
      </c>
      <c r="B45" s="110">
        <f>[6]REKAPITULASI!B16</f>
        <v>3.8470793670663719E-3</v>
      </c>
      <c r="C45" s="110">
        <f t="shared" si="16"/>
        <v>8.0788666708393811E-2</v>
      </c>
      <c r="D45" s="110">
        <f>[6]REKAPITULASI!D16</f>
        <v>2.8853095252997791E-4</v>
      </c>
      <c r="E45" s="110">
        <f t="shared" si="17"/>
        <v>8.9444595284293146E-2</v>
      </c>
      <c r="F45" s="165">
        <f t="shared" si="18"/>
        <v>0.17023326199268696</v>
      </c>
    </row>
    <row r="46" spans="1:6" x14ac:dyDescent="0.25">
      <c r="A46" s="89">
        <v>2022</v>
      </c>
      <c r="B46" s="110">
        <f>[6]REKAPITULASI!B17</f>
        <v>4.0614562856587976E-3</v>
      </c>
      <c r="C46" s="110">
        <f t="shared" ref="C46:C55" si="19">B46*21</f>
        <v>8.5290581998834755E-2</v>
      </c>
      <c r="D46" s="110">
        <f>[6]REKAPITULASI!D17</f>
        <v>3.0460922142440985E-4</v>
      </c>
      <c r="E46" s="110">
        <f t="shared" ref="E46:E55" si="20">D46*310</f>
        <v>9.4428858641567054E-2</v>
      </c>
      <c r="F46" s="165">
        <f t="shared" ref="F46:F55" si="21">E46+C46</f>
        <v>0.1797194406404018</v>
      </c>
    </row>
    <row r="47" spans="1:6" x14ac:dyDescent="0.25">
      <c r="A47" s="89">
        <v>2023</v>
      </c>
      <c r="B47" s="110">
        <f>[6]REKAPITULASI!B18</f>
        <v>4.2849278983950918E-3</v>
      </c>
      <c r="C47" s="110">
        <f t="shared" si="19"/>
        <v>8.9983485866296925E-2</v>
      </c>
      <c r="D47" s="110">
        <f>[6]REKAPITULASI!D18</f>
        <v>3.213695923796319E-4</v>
      </c>
      <c r="E47" s="110">
        <f t="shared" si="20"/>
        <v>9.9624573637685884E-2</v>
      </c>
      <c r="F47" s="165">
        <f t="shared" si="21"/>
        <v>0.1896080595039828</v>
      </c>
    </row>
    <row r="48" spans="1:6" x14ac:dyDescent="0.25">
      <c r="A48" s="89">
        <v>2024</v>
      </c>
      <c r="B48" s="110">
        <f>[6]REKAPITULASI!B19</f>
        <v>4.5178384751893294E-3</v>
      </c>
      <c r="C48" s="110">
        <f t="shared" si="19"/>
        <v>9.4874607978975914E-2</v>
      </c>
      <c r="D48" s="110">
        <f>[6]REKAPITULASI!D19</f>
        <v>3.3883788563919965E-4</v>
      </c>
      <c r="E48" s="110">
        <f t="shared" si="20"/>
        <v>0.10503974454815189</v>
      </c>
      <c r="F48" s="165">
        <f t="shared" si="21"/>
        <v>0.1999143525271278</v>
      </c>
    </row>
    <row r="49" spans="1:10" x14ac:dyDescent="0.25">
      <c r="A49" s="89">
        <v>2025</v>
      </c>
      <c r="B49" s="110">
        <f>[6]REKAPITULASI!B20</f>
        <v>4.7605445221753657E-3</v>
      </c>
      <c r="C49" s="110">
        <f t="shared" si="19"/>
        <v>9.9971434965682685E-2</v>
      </c>
      <c r="D49" s="110">
        <f>[6]REKAPITULASI!D20</f>
        <v>3.5704083916315236E-4</v>
      </c>
      <c r="E49" s="110">
        <f t="shared" si="20"/>
        <v>0.11068266014057723</v>
      </c>
      <c r="F49" s="165">
        <f t="shared" si="21"/>
        <v>0.21065409510625993</v>
      </c>
    </row>
    <row r="50" spans="1:10" x14ac:dyDescent="0.25">
      <c r="A50" s="89">
        <v>2026</v>
      </c>
      <c r="B50" s="110">
        <f>[6]REKAPITULASI!B21</f>
        <v>5.0134151995381345E-3</v>
      </c>
      <c r="C50" s="110">
        <f t="shared" si="19"/>
        <v>0.10528171919030083</v>
      </c>
      <c r="D50" s="110">
        <f>[6]REKAPITULASI!D21</f>
        <v>3.7600613996536007E-4</v>
      </c>
      <c r="E50" s="110">
        <f t="shared" si="20"/>
        <v>0.11656190338926162</v>
      </c>
      <c r="F50" s="165">
        <f t="shared" si="21"/>
        <v>0.22184362257956244</v>
      </c>
    </row>
    <row r="51" spans="1:10" x14ac:dyDescent="0.25">
      <c r="A51" s="89">
        <v>2027</v>
      </c>
      <c r="B51" s="110">
        <f>[6]REKAPITULASI!B22</f>
        <v>5.2768327532224423E-3</v>
      </c>
      <c r="C51" s="110">
        <f t="shared" si="19"/>
        <v>0.11081348781767129</v>
      </c>
      <c r="D51" s="110">
        <f>[6]REKAPITULASI!D22</f>
        <v>3.9576245649168318E-4</v>
      </c>
      <c r="E51" s="110">
        <f t="shared" si="20"/>
        <v>0.12268636151242179</v>
      </c>
      <c r="F51" s="165">
        <f t="shared" si="21"/>
        <v>0.2334998493300931</v>
      </c>
    </row>
    <row r="52" spans="1:10" x14ac:dyDescent="0.25">
      <c r="A52" s="89">
        <v>2028</v>
      </c>
      <c r="B52" s="110">
        <f>[6]REKAPITULASI!B23</f>
        <v>5.551192960970933E-3</v>
      </c>
      <c r="C52" s="110">
        <f t="shared" si="19"/>
        <v>0.11657505218038959</v>
      </c>
      <c r="D52" s="110">
        <f>[6]REKAPITULASI!D23</f>
        <v>4.1633947207282002E-4</v>
      </c>
      <c r="E52" s="110">
        <f t="shared" si="20"/>
        <v>0.12906523634257422</v>
      </c>
      <c r="F52" s="165">
        <f t="shared" si="21"/>
        <v>0.24564028852296382</v>
      </c>
    </row>
    <row r="53" spans="1:10" x14ac:dyDescent="0.25">
      <c r="A53" s="89">
        <v>2029</v>
      </c>
      <c r="B53" s="110">
        <f>[6]REKAPITULASI!B24</f>
        <v>5.8369055931572836E-3</v>
      </c>
      <c r="C53" s="110">
        <f t="shared" si="19"/>
        <v>0.12257501745630295</v>
      </c>
      <c r="D53" s="110">
        <f>[6]REKAPITULASI!D24</f>
        <v>4.3776791948679626E-4</v>
      </c>
      <c r="E53" s="110">
        <f t="shared" si="20"/>
        <v>0.13570805504090683</v>
      </c>
      <c r="F53" s="165">
        <f t="shared" si="21"/>
        <v>0.25828307249720978</v>
      </c>
    </row>
    <row r="54" spans="1:10" x14ac:dyDescent="0.25">
      <c r="A54" s="89">
        <v>2030</v>
      </c>
      <c r="B54" s="110">
        <f>[6]REKAPITULASI!B25</f>
        <v>6.1320799999999998E-3</v>
      </c>
      <c r="C54" s="110">
        <f t="shared" si="19"/>
        <v>0.12877368</v>
      </c>
      <c r="D54" s="110">
        <f>[6]REKAPITULASI!D25</f>
        <v>4.59906E-4</v>
      </c>
      <c r="E54" s="110">
        <f t="shared" si="20"/>
        <v>0.14257085999999999</v>
      </c>
      <c r="F54" s="165">
        <f t="shared" si="21"/>
        <v>0.27134453999999997</v>
      </c>
    </row>
    <row r="55" spans="1:10" x14ac:dyDescent="0.25">
      <c r="A55" s="89">
        <v>2031</v>
      </c>
      <c r="B55" s="99"/>
      <c r="C55" s="110">
        <f t="shared" si="19"/>
        <v>0</v>
      </c>
      <c r="D55" s="110"/>
      <c r="E55" s="110">
        <f t="shared" si="20"/>
        <v>0</v>
      </c>
      <c r="F55" s="111">
        <f t="shared" si="21"/>
        <v>0</v>
      </c>
    </row>
    <row r="57" spans="1:10" x14ac:dyDescent="0.25">
      <c r="A57" s="104" t="s">
        <v>87</v>
      </c>
      <c r="J57" s="95">
        <v>1000</v>
      </c>
    </row>
    <row r="58" spans="1:10" x14ac:dyDescent="0.25">
      <c r="A58" s="193" t="s">
        <v>10</v>
      </c>
      <c r="B58" s="193" t="s">
        <v>88</v>
      </c>
      <c r="C58" s="193"/>
      <c r="D58" s="193"/>
      <c r="E58" s="193"/>
      <c r="F58" s="193"/>
    </row>
    <row r="59" spans="1:10" ht="18" x14ac:dyDescent="0.25">
      <c r="A59" s="193"/>
      <c r="B59" s="193" t="s">
        <v>128</v>
      </c>
      <c r="C59" s="193"/>
      <c r="D59" s="193" t="s">
        <v>132</v>
      </c>
      <c r="E59" s="193"/>
      <c r="F59" s="158" t="s">
        <v>134</v>
      </c>
      <c r="H59" s="187" t="s">
        <v>10</v>
      </c>
      <c r="I59" s="187" t="s">
        <v>144</v>
      </c>
      <c r="J59" s="187"/>
    </row>
    <row r="60" spans="1:10" ht="18" x14ac:dyDescent="0.25">
      <c r="A60" s="193"/>
      <c r="B60" s="159" t="s">
        <v>130</v>
      </c>
      <c r="C60" s="159" t="s">
        <v>131</v>
      </c>
      <c r="D60" s="159" t="s">
        <v>133</v>
      </c>
      <c r="E60" s="159" t="s">
        <v>131</v>
      </c>
      <c r="F60" s="159" t="s">
        <v>135</v>
      </c>
      <c r="H60" s="187"/>
      <c r="I60" s="127" t="s">
        <v>145</v>
      </c>
      <c r="J60" s="127" t="s">
        <v>146</v>
      </c>
    </row>
    <row r="61" spans="1:10" x14ac:dyDescent="0.25">
      <c r="A61" s="89">
        <v>2011</v>
      </c>
      <c r="B61" s="122">
        <f>[6]REKAPITULASI!B32</f>
        <v>1.9744905862499995E-2</v>
      </c>
      <c r="C61" s="117">
        <f>B61*21</f>
        <v>0.4146430231124999</v>
      </c>
      <c r="D61" s="122">
        <f>[6]REKAPITULASI!D32</f>
        <v>4.5565167374999992E-4</v>
      </c>
      <c r="E61" s="117">
        <f>D61*310</f>
        <v>0.14125201886249997</v>
      </c>
      <c r="F61" s="165">
        <f>SUM(C61+E61)</f>
        <v>0.55589504197499984</v>
      </c>
      <c r="H61" s="89">
        <v>2011</v>
      </c>
      <c r="I61" s="128">
        <f>D9+I9+N9+F35+F61-S9</f>
        <v>24.01533708837367</v>
      </c>
      <c r="J61" s="167">
        <f>I61*$J$57</f>
        <v>24015.337088373672</v>
      </c>
    </row>
    <row r="62" spans="1:10" x14ac:dyDescent="0.25">
      <c r="A62" s="89">
        <v>2012</v>
      </c>
      <c r="B62" s="122">
        <f>[6]REKAPITULASI!B33</f>
        <v>2.0270367162500004E-2</v>
      </c>
      <c r="C62" s="117">
        <f t="shared" ref="C62:C81" si="22">B62*21</f>
        <v>0.42567771041250008</v>
      </c>
      <c r="D62" s="122">
        <f>[6]REKAPITULASI!D33</f>
        <v>4.6777770375000001E-4</v>
      </c>
      <c r="E62" s="117">
        <f t="shared" ref="E62:E81" si="23">D62*310</f>
        <v>0.1450110881625</v>
      </c>
      <c r="F62" s="165">
        <f t="shared" ref="F62:F81" si="24">SUM(C62+E62)</f>
        <v>0.5706887985750001</v>
      </c>
      <c r="H62" s="89">
        <v>2012</v>
      </c>
      <c r="I62" s="128">
        <f t="shared" ref="I62:I81" si="25">D10+I10+N10+F36+F62-S10</f>
        <v>24.975818170553609</v>
      </c>
      <c r="J62" s="167">
        <f t="shared" ref="J62:J70" si="26">I62*$J$57</f>
        <v>24975.818170553608</v>
      </c>
    </row>
    <row r="63" spans="1:10" x14ac:dyDescent="0.25">
      <c r="A63" s="89">
        <v>2013</v>
      </c>
      <c r="B63" s="122">
        <f>[6]REKAPITULASI!B34</f>
        <v>2.0758627662499998E-2</v>
      </c>
      <c r="C63" s="117">
        <f t="shared" si="22"/>
        <v>0.43593118091249994</v>
      </c>
      <c r="D63" s="122">
        <f>[6]REKAPITULASI!D34</f>
        <v>4.7904525374999995E-4</v>
      </c>
      <c r="E63" s="117">
        <f t="shared" si="23"/>
        <v>0.14850402866249998</v>
      </c>
      <c r="F63" s="165">
        <f t="shared" si="24"/>
        <v>0.58443520957499995</v>
      </c>
      <c r="H63" s="89">
        <v>2013</v>
      </c>
      <c r="I63" s="128">
        <f t="shared" si="25"/>
        <v>25.902993410462155</v>
      </c>
      <c r="J63" s="167">
        <f t="shared" si="26"/>
        <v>25902.993410462157</v>
      </c>
    </row>
    <row r="64" spans="1:10" x14ac:dyDescent="0.25">
      <c r="A64" s="89">
        <v>2014</v>
      </c>
      <c r="B64" s="122">
        <f>[6]REKAPITULASI!B35</f>
        <v>2.1272131562499998E-2</v>
      </c>
      <c r="C64" s="117">
        <f t="shared" si="22"/>
        <v>0.44671476281249994</v>
      </c>
      <c r="D64" s="122">
        <f>[6]REKAPITULASI!D35</f>
        <v>4.9089534375000002E-4</v>
      </c>
      <c r="E64" s="117">
        <f t="shared" si="23"/>
        <v>0.15217755656250001</v>
      </c>
      <c r="F64" s="165">
        <f t="shared" si="24"/>
        <v>0.59889231937499998</v>
      </c>
      <c r="H64" s="89">
        <v>2014</v>
      </c>
      <c r="I64" s="128">
        <f t="shared" si="25"/>
        <v>26.793668881766031</v>
      </c>
      <c r="J64" s="167">
        <f t="shared" si="26"/>
        <v>26793.668881766032</v>
      </c>
    </row>
    <row r="65" spans="1:10" x14ac:dyDescent="0.25">
      <c r="A65" s="89">
        <v>2015</v>
      </c>
      <c r="B65" s="122">
        <f>[6]REKAPITULASI!B36</f>
        <v>2.1780819287499999E-2</v>
      </c>
      <c r="C65" s="117">
        <f t="shared" si="22"/>
        <v>0.45739720503749998</v>
      </c>
      <c r="D65" s="122">
        <f>[6]REKAPITULASI!D36</f>
        <v>5.0263429124999999E-4</v>
      </c>
      <c r="E65" s="117">
        <f t="shared" si="23"/>
        <v>0.15581663028750001</v>
      </c>
      <c r="F65" s="165">
        <f t="shared" si="24"/>
        <v>0.61321383532499996</v>
      </c>
      <c r="H65" s="89">
        <v>2015</v>
      </c>
      <c r="I65" s="128">
        <f t="shared" si="25"/>
        <v>27.665587396652843</v>
      </c>
      <c r="J65" s="167">
        <f t="shared" si="26"/>
        <v>27665.587396652842</v>
      </c>
    </row>
    <row r="66" spans="1:10" x14ac:dyDescent="0.25">
      <c r="A66" s="89">
        <v>2016</v>
      </c>
      <c r="B66" s="122">
        <f>[6]REKAPITULASI!B37</f>
        <v>2.2275722787500001E-2</v>
      </c>
      <c r="C66" s="117">
        <f t="shared" si="22"/>
        <v>0.46779017853749999</v>
      </c>
      <c r="D66" s="122">
        <f>[6]REKAPITULASI!D37</f>
        <v>5.1405514125E-4</v>
      </c>
      <c r="E66" s="117">
        <f t="shared" si="23"/>
        <v>0.15935709378749999</v>
      </c>
      <c r="F66" s="165">
        <f t="shared" si="24"/>
        <v>0.627147272325</v>
      </c>
      <c r="H66" s="89">
        <v>2016</v>
      </c>
      <c r="I66" s="128">
        <f t="shared" si="25"/>
        <v>28.520859651593206</v>
      </c>
      <c r="J66" s="167">
        <f t="shared" si="26"/>
        <v>28520.859651593204</v>
      </c>
    </row>
    <row r="67" spans="1:10" x14ac:dyDescent="0.25">
      <c r="A67" s="89">
        <v>2017</v>
      </c>
      <c r="B67" s="122">
        <f>[6]REKAPITULASI!B38</f>
        <v>2.2980295974999999E-2</v>
      </c>
      <c r="C67" s="117">
        <f t="shared" si="22"/>
        <v>0.48258621547499997</v>
      </c>
      <c r="D67" s="122">
        <f>[6]REKAPITULASI!D38</f>
        <v>5.3031452249999991E-4</v>
      </c>
      <c r="E67" s="117">
        <f t="shared" si="23"/>
        <v>0.16439750197499997</v>
      </c>
      <c r="F67" s="165">
        <f t="shared" si="24"/>
        <v>0.64698371744999994</v>
      </c>
      <c r="H67" s="89">
        <v>2017</v>
      </c>
      <c r="I67" s="128">
        <f t="shared" si="25"/>
        <v>29.369399222229234</v>
      </c>
      <c r="J67" s="167">
        <f t="shared" si="26"/>
        <v>29369.399222229233</v>
      </c>
    </row>
    <row r="68" spans="1:10" x14ac:dyDescent="0.25">
      <c r="A68" s="89">
        <v>2018</v>
      </c>
      <c r="B68" s="122">
        <f>[6]REKAPITULASI!B39</f>
        <v>2.3660622212500003E-2</v>
      </c>
      <c r="C68" s="117">
        <f t="shared" si="22"/>
        <v>0.49687306646250007</v>
      </c>
      <c r="D68" s="122">
        <f>[6]REKAPITULASI!D39</f>
        <v>5.4601435875000002E-4</v>
      </c>
      <c r="E68" s="117">
        <f t="shared" si="23"/>
        <v>0.1692644512125</v>
      </c>
      <c r="F68" s="165">
        <f t="shared" si="24"/>
        <v>0.66613751767500007</v>
      </c>
      <c r="H68" s="89">
        <v>2018</v>
      </c>
      <c r="I68" s="128">
        <f t="shared" si="25"/>
        <v>29.830686802923672</v>
      </c>
      <c r="J68" s="167">
        <f t="shared" si="26"/>
        <v>29830.686802923672</v>
      </c>
    </row>
    <row r="69" spans="1:10" x14ac:dyDescent="0.25">
      <c r="A69" s="89">
        <v>2019</v>
      </c>
      <c r="B69" s="122">
        <f>[6]REKAPITULASI!B40</f>
        <v>2.4340948450000004E-2</v>
      </c>
      <c r="C69" s="117">
        <f t="shared" si="22"/>
        <v>0.51115991745000011</v>
      </c>
      <c r="D69" s="122">
        <f>[6]REKAPITULASI!D40</f>
        <v>5.6171419500000003E-4</v>
      </c>
      <c r="E69" s="117">
        <f t="shared" si="23"/>
        <v>0.17413140045</v>
      </c>
      <c r="F69" s="165">
        <f t="shared" si="24"/>
        <v>0.68529131790000009</v>
      </c>
      <c r="H69" s="89">
        <v>2019</v>
      </c>
      <c r="I69" s="128">
        <f t="shared" si="25"/>
        <v>30.455773470667584</v>
      </c>
      <c r="J69" s="167">
        <f t="shared" si="26"/>
        <v>30455.773470667584</v>
      </c>
    </row>
    <row r="70" spans="1:10" x14ac:dyDescent="0.25">
      <c r="A70" s="89">
        <v>2020</v>
      </c>
      <c r="B70" s="122">
        <f>[6]REKAPITULASI!B41</f>
        <v>2.5021274687499998E-2</v>
      </c>
      <c r="C70" s="117">
        <f t="shared" si="22"/>
        <v>0.52544676843749993</v>
      </c>
      <c r="D70" s="122">
        <f>[6]REKAPITULASI!D41</f>
        <v>5.7741403125000004E-4</v>
      </c>
      <c r="E70" s="117">
        <f t="shared" si="23"/>
        <v>0.1789983496875</v>
      </c>
      <c r="F70" s="165">
        <f t="shared" si="24"/>
        <v>0.70444511812499999</v>
      </c>
      <c r="H70" s="89">
        <v>2020</v>
      </c>
      <c r="I70" s="128">
        <f t="shared" si="25"/>
        <v>31.196859747149766</v>
      </c>
      <c r="J70" s="167">
        <f t="shared" si="26"/>
        <v>31196.859747149767</v>
      </c>
    </row>
    <row r="71" spans="1:10" x14ac:dyDescent="0.25">
      <c r="A71" s="89">
        <v>2021</v>
      </c>
      <c r="B71" s="122">
        <f>[6]REKAPITULASI!B42</f>
        <v>2.5701600924999998E-2</v>
      </c>
      <c r="C71" s="117">
        <f t="shared" si="22"/>
        <v>0.53973361942499998</v>
      </c>
      <c r="D71" s="122">
        <f>[6]REKAPITULASI!D42</f>
        <v>5.9311386749999993E-4</v>
      </c>
      <c r="E71" s="117">
        <f t="shared" si="23"/>
        <v>0.18386529892499998</v>
      </c>
      <c r="F71" s="165">
        <f t="shared" si="24"/>
        <v>0.72359891835000001</v>
      </c>
      <c r="H71" s="89">
        <v>2021</v>
      </c>
      <c r="I71" s="128">
        <f t="shared" si="25"/>
        <v>32.021713710403503</v>
      </c>
      <c r="J71" s="167">
        <f>I71*$J$57</f>
        <v>32021.713710403503</v>
      </c>
    </row>
    <row r="72" spans="1:10" x14ac:dyDescent="0.25">
      <c r="A72" s="89">
        <v>2022</v>
      </c>
      <c r="B72" s="122">
        <f>[6]REKAPITULASI!B43</f>
        <v>2.6381927162500002E-2</v>
      </c>
      <c r="C72" s="117">
        <f t="shared" si="22"/>
        <v>0.55402047041250002</v>
      </c>
      <c r="D72" s="122">
        <f>[6]REKAPITULASI!D43</f>
        <v>6.0881370375000005E-4</v>
      </c>
      <c r="E72" s="117">
        <f t="shared" si="23"/>
        <v>0.1887322481625</v>
      </c>
      <c r="F72" s="165">
        <f t="shared" si="24"/>
        <v>0.74275271857500003</v>
      </c>
      <c r="H72" s="89">
        <v>2022</v>
      </c>
      <c r="I72" s="128">
        <f t="shared" si="25"/>
        <v>32.908550501555013</v>
      </c>
      <c r="J72" s="167">
        <f t="shared" ref="J72:J81" si="27">I72*$J$57</f>
        <v>32908.550501555015</v>
      </c>
    </row>
    <row r="73" spans="1:10" x14ac:dyDescent="0.25">
      <c r="A73" s="89">
        <v>2023</v>
      </c>
      <c r="B73" s="122">
        <f>[6]REKAPITULASI!B44</f>
        <v>2.7062253399999996E-2</v>
      </c>
      <c r="C73" s="117">
        <f t="shared" si="22"/>
        <v>0.56830732139999995</v>
      </c>
      <c r="D73" s="122">
        <f>[6]REKAPITULASI!D44</f>
        <v>6.2451353999999995E-4</v>
      </c>
      <c r="E73" s="117">
        <f t="shared" si="23"/>
        <v>0.19359919739999998</v>
      </c>
      <c r="F73" s="165">
        <f t="shared" si="24"/>
        <v>0.76190651879999993</v>
      </c>
      <c r="H73" s="89">
        <v>2023</v>
      </c>
      <c r="I73" s="128">
        <f t="shared" si="25"/>
        <v>33.842589610130872</v>
      </c>
      <c r="J73" s="167">
        <f t="shared" si="27"/>
        <v>33842.589610130875</v>
      </c>
    </row>
    <row r="74" spans="1:10" x14ac:dyDescent="0.25">
      <c r="A74" s="89">
        <v>2024</v>
      </c>
      <c r="B74" s="122">
        <f>[6]REKAPITULASI!B45</f>
        <v>2.7742579637500001E-2</v>
      </c>
      <c r="C74" s="117">
        <f t="shared" si="22"/>
        <v>0.5825941723875</v>
      </c>
      <c r="D74" s="122">
        <f>[6]REKAPITULASI!D45</f>
        <v>6.4021337625000006E-4</v>
      </c>
      <c r="E74" s="117">
        <f t="shared" si="23"/>
        <v>0.19846614663750001</v>
      </c>
      <c r="F74" s="165">
        <f t="shared" si="24"/>
        <v>0.78106031902500006</v>
      </c>
      <c r="H74" s="89">
        <v>2024</v>
      </c>
      <c r="I74" s="128">
        <f t="shared" si="25"/>
        <v>34.813737597936552</v>
      </c>
      <c r="J74" s="167">
        <f t="shared" si="27"/>
        <v>34813.737597936553</v>
      </c>
    </row>
    <row r="75" spans="1:10" x14ac:dyDescent="0.25">
      <c r="A75" s="89">
        <v>2025</v>
      </c>
      <c r="B75" s="122">
        <f>[6]REKAPITULASI!B46</f>
        <v>2.8422905875000005E-2</v>
      </c>
      <c r="C75" s="117">
        <f t="shared" si="22"/>
        <v>0.59688102337500015</v>
      </c>
      <c r="D75" s="122">
        <f>[6]REKAPITULASI!D46</f>
        <v>6.5591321250000007E-4</v>
      </c>
      <c r="E75" s="117">
        <f t="shared" si="23"/>
        <v>0.20333309587500001</v>
      </c>
      <c r="F75" s="165">
        <f t="shared" si="24"/>
        <v>0.80021411925000019</v>
      </c>
      <c r="H75" s="89">
        <v>2025</v>
      </c>
      <c r="I75" s="128">
        <f t="shared" si="25"/>
        <v>35.815025820891137</v>
      </c>
      <c r="J75" s="167">
        <f t="shared" si="27"/>
        <v>35815.02582089114</v>
      </c>
    </row>
    <row r="76" spans="1:10" x14ac:dyDescent="0.25">
      <c r="A76" s="89">
        <v>2026</v>
      </c>
      <c r="B76" s="122">
        <f>[6]REKAPITULASI!B47</f>
        <v>2.9103232112499995E-2</v>
      </c>
      <c r="C76" s="117">
        <f t="shared" si="22"/>
        <v>0.61116787436249986</v>
      </c>
      <c r="D76" s="122">
        <f>[6]REKAPITULASI!D47</f>
        <v>6.7161304874999985E-4</v>
      </c>
      <c r="E76" s="117">
        <f t="shared" si="23"/>
        <v>0.20820004511249995</v>
      </c>
      <c r="F76" s="165">
        <f t="shared" si="24"/>
        <v>0.81936791947499987</v>
      </c>
      <c r="H76" s="89">
        <v>2026</v>
      </c>
      <c r="I76" s="128">
        <f t="shared" si="25"/>
        <v>36.841554663449017</v>
      </c>
      <c r="J76" s="167">
        <f t="shared" si="27"/>
        <v>36841.554663449017</v>
      </c>
    </row>
    <row r="77" spans="1:10" x14ac:dyDescent="0.25">
      <c r="A77" s="89">
        <v>2027</v>
      </c>
      <c r="B77" s="122">
        <f>[6]REKAPITULASI!B48</f>
        <v>2.9783558349999999E-2</v>
      </c>
      <c r="C77" s="117">
        <f t="shared" si="22"/>
        <v>0.62545472535000002</v>
      </c>
      <c r="D77" s="122">
        <f>[6]REKAPITULASI!D48</f>
        <v>6.8731288500000008E-4</v>
      </c>
      <c r="E77" s="117">
        <f t="shared" si="23"/>
        <v>0.21306699435000001</v>
      </c>
      <c r="F77" s="165">
        <f t="shared" si="24"/>
        <v>0.8385217197</v>
      </c>
      <c r="H77" s="89">
        <v>2027</v>
      </c>
      <c r="I77" s="128">
        <f t="shared" si="25"/>
        <v>37.889777569418946</v>
      </c>
      <c r="J77" s="167">
        <f t="shared" si="27"/>
        <v>37889.777569418948</v>
      </c>
    </row>
    <row r="78" spans="1:10" x14ac:dyDescent="0.25">
      <c r="A78" s="89">
        <v>2028</v>
      </c>
      <c r="B78" s="122">
        <f>[6]REKAPITULASI!B49</f>
        <v>3.0463884587500007E-2</v>
      </c>
      <c r="C78" s="117">
        <f t="shared" si="22"/>
        <v>0.63974157633750017</v>
      </c>
      <c r="D78" s="122">
        <f>[6]REKAPITULASI!D49</f>
        <v>7.0301272125000019E-4</v>
      </c>
      <c r="E78" s="117">
        <f t="shared" si="23"/>
        <v>0.21793394358750007</v>
      </c>
      <c r="F78" s="165">
        <f t="shared" si="24"/>
        <v>0.85767551992500024</v>
      </c>
      <c r="H78" s="89">
        <v>2028</v>
      </c>
      <c r="I78" s="128">
        <f t="shared" si="25"/>
        <v>38.957012980968983</v>
      </c>
      <c r="J78" s="167">
        <f t="shared" si="27"/>
        <v>38957.012980968982</v>
      </c>
    </row>
    <row r="79" spans="1:10" x14ac:dyDescent="0.25">
      <c r="A79" s="89">
        <v>2029</v>
      </c>
      <c r="B79" s="122">
        <f>[6]REKAPITULASI!B50</f>
        <v>3.1144210824999997E-2</v>
      </c>
      <c r="C79" s="117">
        <f t="shared" si="22"/>
        <v>0.65402842732499999</v>
      </c>
      <c r="D79" s="122">
        <f>[6]REKAPITULASI!D50</f>
        <v>7.1871255749999998E-4</v>
      </c>
      <c r="E79" s="117">
        <f t="shared" si="23"/>
        <v>0.22280089282499999</v>
      </c>
      <c r="F79" s="165">
        <f t="shared" si="24"/>
        <v>0.87682932014999992</v>
      </c>
      <c r="H79" s="89">
        <v>2029</v>
      </c>
      <c r="I79" s="128">
        <f t="shared" si="25"/>
        <v>40.04110906320593</v>
      </c>
      <c r="J79" s="167">
        <f t="shared" si="27"/>
        <v>40041.109063205928</v>
      </c>
    </row>
    <row r="80" spans="1:10" x14ac:dyDescent="0.25">
      <c r="A80" s="89">
        <v>2030</v>
      </c>
      <c r="B80" s="122">
        <f>[6]REKAPITULASI!B51</f>
        <v>3.1824537062499998E-2</v>
      </c>
      <c r="C80" s="117">
        <f t="shared" si="22"/>
        <v>0.66831527831249993</v>
      </c>
      <c r="D80" s="122">
        <f>[6]REKAPITULASI!D51</f>
        <v>7.3441239374999999E-4</v>
      </c>
      <c r="E80" s="117">
        <f t="shared" si="23"/>
        <v>0.22766784206249999</v>
      </c>
      <c r="F80" s="165">
        <f t="shared" si="24"/>
        <v>0.89598312037499994</v>
      </c>
      <c r="H80" s="89">
        <v>2030</v>
      </c>
      <c r="I80" s="128">
        <f t="shared" si="25"/>
        <v>41.140108313210142</v>
      </c>
      <c r="J80" s="167">
        <f t="shared" si="27"/>
        <v>41140.108313210141</v>
      </c>
    </row>
    <row r="81" spans="1:10" x14ac:dyDescent="0.25">
      <c r="A81" s="89">
        <v>2031</v>
      </c>
      <c r="B81" s="116"/>
      <c r="C81" s="117">
        <f t="shared" si="22"/>
        <v>0</v>
      </c>
      <c r="D81" s="116"/>
      <c r="E81" s="117">
        <f t="shared" si="23"/>
        <v>0</v>
      </c>
      <c r="F81" s="118">
        <f t="shared" si="24"/>
        <v>0</v>
      </c>
      <c r="H81" s="89">
        <v>2031</v>
      </c>
      <c r="I81" s="128">
        <f t="shared" si="25"/>
        <v>0</v>
      </c>
      <c r="J81" s="129">
        <f t="shared" si="27"/>
        <v>0</v>
      </c>
    </row>
    <row r="84" spans="1:10" x14ac:dyDescent="0.25">
      <c r="A84" s="119"/>
      <c r="B84" s="100"/>
      <c r="C84" s="101"/>
      <c r="D84" s="100"/>
      <c r="E84" s="101"/>
      <c r="F84" s="101"/>
    </row>
    <row r="85" spans="1:10" x14ac:dyDescent="0.25">
      <c r="A85" s="120" t="s">
        <v>143</v>
      </c>
      <c r="B85" s="101"/>
      <c r="C85" s="100"/>
      <c r="D85" s="101"/>
      <c r="G85" s="95">
        <v>1000</v>
      </c>
    </row>
    <row r="86" spans="1:10" ht="18" x14ac:dyDescent="0.25">
      <c r="A86" s="189" t="s">
        <v>10</v>
      </c>
      <c r="B86" s="190" t="s">
        <v>136</v>
      </c>
      <c r="C86" s="190"/>
      <c r="D86" s="186" t="s">
        <v>137</v>
      </c>
      <c r="E86" s="186"/>
      <c r="F86" s="188" t="s">
        <v>94</v>
      </c>
      <c r="G86" s="188"/>
    </row>
    <row r="87" spans="1:10" ht="81" x14ac:dyDescent="0.25">
      <c r="A87" s="189"/>
      <c r="B87" s="152" t="s">
        <v>138</v>
      </c>
      <c r="C87" s="152" t="s">
        <v>139</v>
      </c>
      <c r="D87" s="153" t="s">
        <v>140</v>
      </c>
      <c r="E87" s="153" t="s">
        <v>141</v>
      </c>
      <c r="F87" s="154" t="s">
        <v>142</v>
      </c>
      <c r="G87" s="154" t="s">
        <v>147</v>
      </c>
    </row>
    <row r="88" spans="1:10" x14ac:dyDescent="0.25">
      <c r="A88" s="189"/>
      <c r="B88" s="191" t="s">
        <v>100</v>
      </c>
      <c r="C88" s="155" t="s">
        <v>101</v>
      </c>
      <c r="D88" s="156" t="s">
        <v>102</v>
      </c>
      <c r="E88" s="156" t="s">
        <v>103</v>
      </c>
      <c r="F88" s="157" t="s">
        <v>104</v>
      </c>
      <c r="G88" s="157" t="s">
        <v>104</v>
      </c>
    </row>
    <row r="89" spans="1:10" x14ac:dyDescent="0.25">
      <c r="A89" s="189"/>
      <c r="B89" s="191"/>
      <c r="C89" s="155" t="s">
        <v>105</v>
      </c>
      <c r="D89" s="156"/>
      <c r="E89" s="156" t="s">
        <v>106</v>
      </c>
      <c r="F89" s="157" t="s">
        <v>107</v>
      </c>
      <c r="G89" s="157" t="s">
        <v>107</v>
      </c>
    </row>
    <row r="90" spans="1:10" x14ac:dyDescent="0.25">
      <c r="A90" s="89">
        <v>2011</v>
      </c>
      <c r="B90" s="123">
        <f>[6]REKAPITULASI!B59</f>
        <v>0.24841608508080001</v>
      </c>
      <c r="C90" s="126">
        <f>B90*21</f>
        <v>5.2167377866968003</v>
      </c>
      <c r="D90" s="125">
        <f>[6]REKAPITULASI!D59</f>
        <v>8.4424514460000009E-3</v>
      </c>
      <c r="E90" s="121">
        <f>D90*310</f>
        <v>2.6171599482600003</v>
      </c>
      <c r="F90" s="124">
        <f>C90+E90</f>
        <v>7.8338977349568006</v>
      </c>
      <c r="G90" s="168">
        <f>F90*$G$85</f>
        <v>7833.8977349568004</v>
      </c>
    </row>
    <row r="91" spans="1:10" x14ac:dyDescent="0.25">
      <c r="A91" s="89">
        <v>2012</v>
      </c>
      <c r="B91" s="123">
        <f>[6]REKAPITULASI!B60</f>
        <v>0.25502705805359999</v>
      </c>
      <c r="C91" s="126">
        <f t="shared" ref="C91:C110" si="28">B91*21</f>
        <v>5.3555682191255993</v>
      </c>
      <c r="D91" s="125">
        <f>[6]REKAPITULASI!D60</f>
        <v>8.3548733400000009E-3</v>
      </c>
      <c r="E91" s="121">
        <f t="shared" ref="E91:E110" si="29">D91*310</f>
        <v>2.5900107354000004</v>
      </c>
      <c r="F91" s="124">
        <f t="shared" ref="F91:F110" si="30">C91+E91</f>
        <v>7.9455789545255993</v>
      </c>
      <c r="G91" s="168">
        <f t="shared" ref="G91:G109" si="31">F91*$G$85</f>
        <v>7945.5789545255993</v>
      </c>
    </row>
    <row r="92" spans="1:10" x14ac:dyDescent="0.25">
      <c r="A92" s="89">
        <v>2013</v>
      </c>
      <c r="B92" s="123">
        <f>[6]REKAPITULASI!B61</f>
        <v>0.26116999754160003</v>
      </c>
      <c r="C92" s="126">
        <f t="shared" si="28"/>
        <v>5.4845699483736006</v>
      </c>
      <c r="D92" s="125">
        <f>[6]REKAPITULASI!D61</f>
        <v>8.4351248960000038E-3</v>
      </c>
      <c r="E92" s="121">
        <f t="shared" si="29"/>
        <v>2.6148887177600013</v>
      </c>
      <c r="F92" s="124">
        <f t="shared" si="30"/>
        <v>8.0994586661336019</v>
      </c>
      <c r="G92" s="168">
        <f t="shared" si="31"/>
        <v>8099.4586661336016</v>
      </c>
    </row>
    <row r="93" spans="1:10" x14ac:dyDescent="0.25">
      <c r="A93" s="89">
        <v>2014</v>
      </c>
      <c r="B93" s="123">
        <f>[6]REKAPITULASI!B62</f>
        <v>0.26763053118000002</v>
      </c>
      <c r="C93" s="126">
        <f t="shared" si="28"/>
        <v>5.6202411547800004</v>
      </c>
      <c r="D93" s="125">
        <f>[6]REKAPITULASI!D62</f>
        <v>8.8356709309523815E-3</v>
      </c>
      <c r="E93" s="121">
        <f t="shared" si="29"/>
        <v>2.7390579885952384</v>
      </c>
      <c r="F93" s="124">
        <f t="shared" si="30"/>
        <v>8.3592991433752388</v>
      </c>
      <c r="G93" s="168">
        <f t="shared" si="31"/>
        <v>8359.2991433752395</v>
      </c>
    </row>
    <row r="94" spans="1:10" x14ac:dyDescent="0.25">
      <c r="A94" s="89">
        <v>2015</v>
      </c>
      <c r="B94" s="123">
        <f>[6]REKAPITULASI!B63</f>
        <v>0.27403047119760005</v>
      </c>
      <c r="C94" s="126">
        <f t="shared" si="28"/>
        <v>5.7546398951496007</v>
      </c>
      <c r="D94" s="125">
        <f>[6]REKAPITULASI!D63</f>
        <v>9.0469613383809527E-3</v>
      </c>
      <c r="E94" s="121">
        <f t="shared" si="29"/>
        <v>2.8045580148980953</v>
      </c>
      <c r="F94" s="124">
        <f t="shared" si="30"/>
        <v>8.5591979100476969</v>
      </c>
      <c r="G94" s="168">
        <f t="shared" si="31"/>
        <v>8559.1979100476965</v>
      </c>
    </row>
    <row r="95" spans="1:10" x14ac:dyDescent="0.25">
      <c r="A95" s="89">
        <v>2016</v>
      </c>
      <c r="B95" s="123">
        <f>[6]REKAPITULASI!B64</f>
        <v>0.2802569880936</v>
      </c>
      <c r="C95" s="126">
        <f t="shared" si="28"/>
        <v>5.8853967499655999</v>
      </c>
      <c r="D95" s="125">
        <f>[6]REKAPITULASI!D64</f>
        <v>9.252526279333333E-3</v>
      </c>
      <c r="E95" s="121">
        <f t="shared" si="29"/>
        <v>2.8682831465933334</v>
      </c>
      <c r="F95" s="124">
        <f t="shared" si="30"/>
        <v>8.7536798965589337</v>
      </c>
      <c r="G95" s="168">
        <f t="shared" si="31"/>
        <v>8753.6798965589333</v>
      </c>
    </row>
    <row r="96" spans="1:10" x14ac:dyDescent="0.25">
      <c r="A96" s="89">
        <v>2017</v>
      </c>
      <c r="B96" s="123">
        <f>[6]REKAPITULASI!B65</f>
        <v>0.28912141692960003</v>
      </c>
      <c r="C96" s="126">
        <f t="shared" si="28"/>
        <v>6.0715497555216009</v>
      </c>
      <c r="D96" s="125">
        <f>[6]REKAPITULASI!D65</f>
        <v>9.5451803940952377E-3</v>
      </c>
      <c r="E96" s="121">
        <f t="shared" si="29"/>
        <v>2.9590059221695237</v>
      </c>
      <c r="F96" s="124">
        <f t="shared" si="30"/>
        <v>9.0305556776911242</v>
      </c>
      <c r="G96" s="168">
        <f t="shared" si="31"/>
        <v>9030.5556776911235</v>
      </c>
    </row>
    <row r="97" spans="1:7" x14ac:dyDescent="0.25">
      <c r="A97" s="89">
        <v>2018</v>
      </c>
      <c r="B97" s="123">
        <f>[6]REKAPITULASI!B66</f>
        <v>0.29768078822640004</v>
      </c>
      <c r="C97" s="126">
        <f t="shared" si="28"/>
        <v>6.2512965527544004</v>
      </c>
      <c r="D97" s="125">
        <f>[6]REKAPITULASI!D66</f>
        <v>9.8277632063809538E-3</v>
      </c>
      <c r="E97" s="121">
        <f t="shared" si="29"/>
        <v>3.0466065939780957</v>
      </c>
      <c r="F97" s="124">
        <f t="shared" si="30"/>
        <v>9.2979031467324962</v>
      </c>
      <c r="G97" s="168">
        <f t="shared" si="31"/>
        <v>9297.9031467324967</v>
      </c>
    </row>
    <row r="98" spans="1:7" x14ac:dyDescent="0.25">
      <c r="A98" s="89">
        <v>2019</v>
      </c>
      <c r="B98" s="123">
        <f>[6]REKAPITULASI!B67</f>
        <v>0.30624015952320005</v>
      </c>
      <c r="C98" s="126">
        <f t="shared" si="28"/>
        <v>6.4310433499872008</v>
      </c>
      <c r="D98" s="125">
        <f>[6]REKAPITULASI!D67</f>
        <v>1.0110346018666668E-2</v>
      </c>
      <c r="E98" s="121">
        <f t="shared" si="29"/>
        <v>3.1342072657866673</v>
      </c>
      <c r="F98" s="124">
        <f t="shared" si="30"/>
        <v>9.5652506157738681</v>
      </c>
      <c r="G98" s="168">
        <f t="shared" si="31"/>
        <v>9565.250615773868</v>
      </c>
    </row>
    <row r="99" spans="1:7" x14ac:dyDescent="0.25">
      <c r="A99" s="89">
        <v>2020</v>
      </c>
      <c r="B99" s="123">
        <f>[6]REKAPITULASI!B68</f>
        <v>0.31479953082000001</v>
      </c>
      <c r="C99" s="126">
        <f t="shared" si="28"/>
        <v>6.6107901472200004</v>
      </c>
      <c r="D99" s="125">
        <f>[6]REKAPITULASI!D68</f>
        <v>1.0392928830952384E-2</v>
      </c>
      <c r="E99" s="121">
        <f t="shared" si="29"/>
        <v>3.2218079375952393</v>
      </c>
      <c r="F99" s="124">
        <f t="shared" si="30"/>
        <v>9.8325980848152401</v>
      </c>
      <c r="G99" s="168">
        <f t="shared" si="31"/>
        <v>9832.5980848152394</v>
      </c>
    </row>
    <row r="100" spans="1:7" x14ac:dyDescent="0.25">
      <c r="A100" s="89">
        <v>2021</v>
      </c>
      <c r="B100" s="123">
        <f>[6]REKAPITULASI!B69</f>
        <v>0.32335890211680002</v>
      </c>
      <c r="C100" s="126">
        <f t="shared" si="28"/>
        <v>6.7905369444528008</v>
      </c>
      <c r="D100" s="125">
        <f>[6]REKAPITULASI!D69</f>
        <v>1.0675511643238097E-2</v>
      </c>
      <c r="E100" s="121">
        <f t="shared" si="29"/>
        <v>3.30940860940381</v>
      </c>
      <c r="F100" s="124">
        <f t="shared" si="30"/>
        <v>10.09994555385661</v>
      </c>
      <c r="G100" s="168">
        <f t="shared" si="31"/>
        <v>10099.945553856611</v>
      </c>
    </row>
    <row r="101" spans="1:7" x14ac:dyDescent="0.25">
      <c r="A101" s="89">
        <v>2022</v>
      </c>
      <c r="B101" s="123">
        <f>[6]REKAPITULASI!B70</f>
        <v>0.33191827341359992</v>
      </c>
      <c r="C101" s="126">
        <f t="shared" si="28"/>
        <v>6.9702837416855985</v>
      </c>
      <c r="D101" s="125">
        <f>[6]REKAPITULASI!D70</f>
        <v>1.0958094455523809E-2</v>
      </c>
      <c r="E101" s="121">
        <f t="shared" si="29"/>
        <v>3.3970092812123811</v>
      </c>
      <c r="F101" s="124">
        <f t="shared" si="30"/>
        <v>10.367293022897979</v>
      </c>
      <c r="G101" s="168">
        <f t="shared" si="31"/>
        <v>10367.293022897979</v>
      </c>
    </row>
    <row r="102" spans="1:7" x14ac:dyDescent="0.25">
      <c r="A102" s="89">
        <v>2023</v>
      </c>
      <c r="B102" s="123">
        <f>[6]REKAPITULASI!B71</f>
        <v>0.34047764471039998</v>
      </c>
      <c r="C102" s="126">
        <f t="shared" si="28"/>
        <v>7.1500305389183998</v>
      </c>
      <c r="D102" s="125">
        <f>[6]REKAPITULASI!D71</f>
        <v>1.1240677267809526E-2</v>
      </c>
      <c r="E102" s="121">
        <f t="shared" si="29"/>
        <v>3.4846099530209531</v>
      </c>
      <c r="F102" s="124">
        <f t="shared" si="30"/>
        <v>10.634640491939352</v>
      </c>
      <c r="G102" s="168">
        <f t="shared" si="31"/>
        <v>10634.640491939352</v>
      </c>
    </row>
    <row r="103" spans="1:7" x14ac:dyDescent="0.25">
      <c r="A103" s="89">
        <v>2024</v>
      </c>
      <c r="B103" s="123">
        <f>[6]REKAPITULASI!B72</f>
        <v>0.34903701600720005</v>
      </c>
      <c r="C103" s="126">
        <f t="shared" si="28"/>
        <v>7.3297773361512011</v>
      </c>
      <c r="D103" s="125">
        <f>[6]REKAPITULASI!D72</f>
        <v>1.1523260080095238E-2</v>
      </c>
      <c r="E103" s="121">
        <f t="shared" si="29"/>
        <v>3.5722106248295238</v>
      </c>
      <c r="F103" s="124">
        <f t="shared" si="30"/>
        <v>10.901987960980724</v>
      </c>
      <c r="G103" s="168">
        <f t="shared" si="31"/>
        <v>10901.987960980725</v>
      </c>
    </row>
    <row r="104" spans="1:7" x14ac:dyDescent="0.25">
      <c r="A104" s="89">
        <v>2025</v>
      </c>
      <c r="B104" s="123">
        <f>[6]REKAPITULASI!B73</f>
        <v>0.35634272618400004</v>
      </c>
      <c r="C104" s="126">
        <f t="shared" si="28"/>
        <v>7.4831972498640011</v>
      </c>
      <c r="D104" s="125">
        <f>[6]REKAPITULASI!D73</f>
        <v>1.1764453978095238E-2</v>
      </c>
      <c r="E104" s="121">
        <f t="shared" si="29"/>
        <v>3.6469807332095239</v>
      </c>
      <c r="F104" s="124">
        <f t="shared" si="30"/>
        <v>11.130177983073525</v>
      </c>
      <c r="G104" s="168">
        <f t="shared" si="31"/>
        <v>11130.177983073525</v>
      </c>
    </row>
    <row r="105" spans="1:7" x14ac:dyDescent="0.25">
      <c r="A105" s="89">
        <v>2026</v>
      </c>
      <c r="B105" s="123">
        <f>[6]REKAPITULASI!B74</f>
        <v>0.36490209748079994</v>
      </c>
      <c r="C105" s="126">
        <f t="shared" si="28"/>
        <v>7.6629440470967989</v>
      </c>
      <c r="D105" s="125">
        <f>[6]REKAPITULASI!D74</f>
        <v>1.2047036790380952E-2</v>
      </c>
      <c r="E105" s="121">
        <f t="shared" si="29"/>
        <v>3.734581405018095</v>
      </c>
      <c r="F105" s="124">
        <f t="shared" si="30"/>
        <v>11.397525452114895</v>
      </c>
      <c r="G105" s="168">
        <f t="shared" si="31"/>
        <v>11397.525452114895</v>
      </c>
    </row>
    <row r="106" spans="1:7" x14ac:dyDescent="0.25">
      <c r="A106" s="89">
        <v>2027</v>
      </c>
      <c r="B106" s="123">
        <f>[6]REKAPITULASI!B75</f>
        <v>0.3734614687776</v>
      </c>
      <c r="C106" s="126">
        <f t="shared" si="28"/>
        <v>7.8426908443296002</v>
      </c>
      <c r="D106" s="125">
        <f>[6]REKAPITULASI!D75</f>
        <v>1.2329619602666668E-2</v>
      </c>
      <c r="E106" s="121">
        <f t="shared" si="29"/>
        <v>3.822182076826667</v>
      </c>
      <c r="F106" s="124">
        <f t="shared" si="30"/>
        <v>11.664872921156267</v>
      </c>
      <c r="G106" s="168">
        <f t="shared" si="31"/>
        <v>11664.872921156266</v>
      </c>
    </row>
    <row r="107" spans="1:7" x14ac:dyDescent="0.25">
      <c r="A107" s="89">
        <v>2028</v>
      </c>
      <c r="B107" s="123">
        <f>[6]REKAPITULASI!B76</f>
        <v>0.38202084007440001</v>
      </c>
      <c r="C107" s="126">
        <f t="shared" si="28"/>
        <v>8.0224376415623997</v>
      </c>
      <c r="D107" s="125">
        <f>[6]REKAPITULASI!D76</f>
        <v>1.2612202414952381E-2</v>
      </c>
      <c r="E107" s="121">
        <f t="shared" si="29"/>
        <v>3.9097827486352381</v>
      </c>
      <c r="F107" s="124">
        <f t="shared" si="30"/>
        <v>11.932220390197639</v>
      </c>
      <c r="G107" s="168">
        <f t="shared" si="31"/>
        <v>11932.220390197639</v>
      </c>
    </row>
    <row r="108" spans="1:7" x14ac:dyDescent="0.25">
      <c r="A108" s="89">
        <v>2029</v>
      </c>
      <c r="B108" s="123">
        <f>[6]REKAPITULASI!B77</f>
        <v>0.39058021137120003</v>
      </c>
      <c r="C108" s="126">
        <f t="shared" si="28"/>
        <v>8.2021844387952001</v>
      </c>
      <c r="D108" s="125">
        <f>[6]REKAPITULASI!D77</f>
        <v>1.2894785227238099E-2</v>
      </c>
      <c r="E108" s="121">
        <f t="shared" si="29"/>
        <v>3.9973834204438106</v>
      </c>
      <c r="F108" s="124">
        <f t="shared" si="30"/>
        <v>12.199567859239011</v>
      </c>
      <c r="G108" s="168">
        <f t="shared" si="31"/>
        <v>12199.56785923901</v>
      </c>
    </row>
    <row r="109" spans="1:7" x14ac:dyDescent="0.25">
      <c r="A109" s="89">
        <v>2030</v>
      </c>
      <c r="B109" s="123">
        <f>[6]REKAPITULASI!B78</f>
        <v>0.39913958266800004</v>
      </c>
      <c r="C109" s="126">
        <f t="shared" si="28"/>
        <v>8.3819312360280005</v>
      </c>
      <c r="D109" s="125">
        <f>[6]REKAPITULASI!D78</f>
        <v>1.3177368039523808E-2</v>
      </c>
      <c r="E109" s="121">
        <f t="shared" si="29"/>
        <v>4.0849840922523803</v>
      </c>
      <c r="F109" s="124">
        <f t="shared" si="30"/>
        <v>12.466915328280381</v>
      </c>
      <c r="G109" s="168">
        <f t="shared" si="31"/>
        <v>12466.91532828038</v>
      </c>
    </row>
    <row r="110" spans="1:7" x14ac:dyDescent="0.25">
      <c r="A110" s="89">
        <v>2031</v>
      </c>
      <c r="B110" s="123"/>
      <c r="C110" s="126">
        <f t="shared" si="28"/>
        <v>0</v>
      </c>
      <c r="D110" s="125"/>
      <c r="E110" s="121">
        <f t="shared" si="29"/>
        <v>0</v>
      </c>
      <c r="F110" s="124">
        <f t="shared" si="30"/>
        <v>0</v>
      </c>
      <c r="G110" s="98"/>
    </row>
  </sheetData>
  <mergeCells count="32">
    <mergeCell ref="P6:P8"/>
    <mergeCell ref="Q6:S6"/>
    <mergeCell ref="Q7:R7"/>
    <mergeCell ref="S7:S8"/>
    <mergeCell ref="F6:F8"/>
    <mergeCell ref="G6:I6"/>
    <mergeCell ref="G7:H7"/>
    <mergeCell ref="I7:I8"/>
    <mergeCell ref="K6:K8"/>
    <mergeCell ref="L6:N6"/>
    <mergeCell ref="L7:M7"/>
    <mergeCell ref="N7:N8"/>
    <mergeCell ref="A6:A8"/>
    <mergeCell ref="B7:C7"/>
    <mergeCell ref="A58:A60"/>
    <mergeCell ref="B58:F58"/>
    <mergeCell ref="B59:C59"/>
    <mergeCell ref="D59:E59"/>
    <mergeCell ref="D7:D8"/>
    <mergeCell ref="B6:D6"/>
    <mergeCell ref="A32:A34"/>
    <mergeCell ref="B32:F32"/>
    <mergeCell ref="B33:C33"/>
    <mergeCell ref="D33:E33"/>
    <mergeCell ref="F33:F34"/>
    <mergeCell ref="D86:E86"/>
    <mergeCell ref="H59:H60"/>
    <mergeCell ref="I59:J59"/>
    <mergeCell ref="F86:G86"/>
    <mergeCell ref="A86:A89"/>
    <mergeCell ref="B86:C86"/>
    <mergeCell ref="B88:B89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5"/>
  <sheetViews>
    <sheetView tabSelected="1" topLeftCell="A7" workbookViewId="0">
      <selection activeCell="C19" sqref="C19"/>
    </sheetView>
  </sheetViews>
  <sheetFormatPr defaultRowHeight="12.75" x14ac:dyDescent="0.25"/>
  <cols>
    <col min="1" max="2" width="9.140625" style="131"/>
    <col min="3" max="3" width="14.5703125" style="131" customWidth="1"/>
    <col min="4" max="4" width="19.140625" style="131" customWidth="1"/>
    <col min="5" max="16384" width="9.140625" style="131"/>
  </cols>
  <sheetData>
    <row r="3" spans="2:4" x14ac:dyDescent="0.25">
      <c r="B3" s="197" t="s">
        <v>10</v>
      </c>
      <c r="C3" s="197" t="s">
        <v>151</v>
      </c>
      <c r="D3" s="197"/>
    </row>
    <row r="4" spans="2:4" x14ac:dyDescent="0.25">
      <c r="B4" s="197"/>
      <c r="C4" s="132" t="s">
        <v>150</v>
      </c>
      <c r="D4" s="132" t="s">
        <v>146</v>
      </c>
    </row>
    <row r="5" spans="2:4" ht="15" x14ac:dyDescent="0.25">
      <c r="B5" s="89">
        <v>2011</v>
      </c>
      <c r="C5" s="151">
        <f>'[7]4D2_CH4_Industrial_Wastewater'!$G12</f>
        <v>5512074</v>
      </c>
      <c r="D5" s="151">
        <f>(C5*21)/1000</f>
        <v>115753.554</v>
      </c>
    </row>
    <row r="6" spans="2:4" ht="15" x14ac:dyDescent="0.25">
      <c r="B6" s="89">
        <v>2012</v>
      </c>
      <c r="C6" s="151">
        <f>'[7]4D2_CH4_Industrial_Wastewater'!$G13</f>
        <v>6027270</v>
      </c>
      <c r="D6" s="151">
        <f t="shared" ref="D6:D15" si="0">(C6*21)/1000</f>
        <v>126572.67</v>
      </c>
    </row>
    <row r="7" spans="2:4" ht="15" x14ac:dyDescent="0.25">
      <c r="B7" s="89">
        <v>2013</v>
      </c>
      <c r="C7" s="151">
        <f>'[7]4D2_CH4_Industrial_Wastewater'!$G14</f>
        <v>6259908</v>
      </c>
      <c r="D7" s="151">
        <f t="shared" si="0"/>
        <v>131458.068</v>
      </c>
    </row>
    <row r="8" spans="2:4" ht="15" x14ac:dyDescent="0.25">
      <c r="B8" s="89">
        <v>2014</v>
      </c>
      <c r="C8" s="151">
        <f>'[7]4D2_CH4_Industrial_Wastewater'!$G15</f>
        <v>8156952</v>
      </c>
      <c r="D8" s="151">
        <f t="shared" si="0"/>
        <v>171295.992</v>
      </c>
    </row>
    <row r="9" spans="2:4" ht="15" x14ac:dyDescent="0.25">
      <c r="B9" s="89">
        <v>2015</v>
      </c>
      <c r="C9" s="151">
        <f>'[7]4D2_CH4_Industrial_Wastewater'!$G16</f>
        <v>8186580</v>
      </c>
      <c r="D9" s="151">
        <f t="shared" si="0"/>
        <v>171918.18</v>
      </c>
    </row>
    <row r="10" spans="2:4" ht="15" x14ac:dyDescent="0.25">
      <c r="B10" s="89">
        <v>2016</v>
      </c>
      <c r="C10" s="151">
        <f>'[7]4D2_CH4_Industrial_Wastewater'!$G17</f>
        <v>12767946</v>
      </c>
      <c r="D10" s="151">
        <f t="shared" si="0"/>
        <v>268126.86599999998</v>
      </c>
    </row>
    <row r="11" spans="2:4" ht="15" x14ac:dyDescent="0.25">
      <c r="B11" s="89">
        <v>2017</v>
      </c>
      <c r="C11" s="151">
        <f>'[7]4D2_CH4_Industrial_Wastewater'!$G18</f>
        <v>17307963.557999998</v>
      </c>
      <c r="D11" s="151">
        <f t="shared" si="0"/>
        <v>363467.23471799993</v>
      </c>
    </row>
    <row r="12" spans="2:4" ht="15" x14ac:dyDescent="0.25">
      <c r="B12" s="89">
        <v>2018</v>
      </c>
      <c r="C12" s="151">
        <f>'[7]4D2_CH4_Industrial_Wastewater'!$G19</f>
        <v>18632047.103999998</v>
      </c>
      <c r="D12" s="151">
        <f t="shared" si="0"/>
        <v>391272.98918399995</v>
      </c>
    </row>
    <row r="13" spans="2:4" ht="15" x14ac:dyDescent="0.25">
      <c r="B13" s="89">
        <v>2019</v>
      </c>
      <c r="C13" s="151">
        <f>'[7]4D2_CH4_Industrial_Wastewater'!$G20</f>
        <v>19995254.838</v>
      </c>
      <c r="D13" s="151">
        <f t="shared" si="0"/>
        <v>419900.35159799998</v>
      </c>
    </row>
    <row r="14" spans="2:4" ht="15" x14ac:dyDescent="0.25">
      <c r="B14" s="89">
        <v>2020</v>
      </c>
      <c r="C14" s="151">
        <f>'[7]4D2_CH4_Industrial_Wastewater'!$G21</f>
        <v>21397586.759999998</v>
      </c>
      <c r="D14" s="151">
        <f t="shared" si="0"/>
        <v>449349.32195999997</v>
      </c>
    </row>
    <row r="15" spans="2:4" ht="15" x14ac:dyDescent="0.25">
      <c r="B15" s="89">
        <v>2021</v>
      </c>
      <c r="C15" s="151">
        <f>'[7]4D2_CH4_Industrial_Wastewater'!$G22</f>
        <v>22389377.173333328</v>
      </c>
      <c r="D15" s="151">
        <f t="shared" si="0"/>
        <v>470176.92063999985</v>
      </c>
    </row>
    <row r="16" spans="2:4" ht="15" x14ac:dyDescent="0.25">
      <c r="B16" s="89">
        <v>2022</v>
      </c>
      <c r="C16" s="151">
        <f>'[7]4D2_CH4_Industrial_Wastewater'!$G23</f>
        <v>23403132.015999988</v>
      </c>
      <c r="D16" s="151">
        <f t="shared" ref="D16:D25" si="1">(C16*21)/1000</f>
        <v>491465.7723359997</v>
      </c>
    </row>
    <row r="17" spans="2:4" ht="15" x14ac:dyDescent="0.25">
      <c r="B17" s="89">
        <v>2023</v>
      </c>
      <c r="C17" s="151">
        <f>'[7]4D2_CH4_Industrial_Wastewater'!$G24</f>
        <v>24438851.287999988</v>
      </c>
      <c r="D17" s="151">
        <f t="shared" si="1"/>
        <v>513215.87704799976</v>
      </c>
    </row>
    <row r="18" spans="2:4" ht="15" x14ac:dyDescent="0.25">
      <c r="B18" s="89">
        <v>2024</v>
      </c>
      <c r="C18" s="151">
        <f>'[7]4D2_CH4_Industrial_Wastewater'!$G25</f>
        <v>25496534.989333317</v>
      </c>
      <c r="D18" s="151">
        <f t="shared" si="1"/>
        <v>535427.23477599968</v>
      </c>
    </row>
    <row r="19" spans="2:4" ht="15" x14ac:dyDescent="0.25">
      <c r="B19" s="89">
        <v>2025</v>
      </c>
      <c r="C19" s="151">
        <f>'[7]4D2_CH4_Industrial_Wastewater'!$G26</f>
        <v>26576183.119999986</v>
      </c>
      <c r="D19" s="151">
        <f t="shared" si="1"/>
        <v>558099.84551999974</v>
      </c>
    </row>
    <row r="20" spans="2:4" ht="15" x14ac:dyDescent="0.25">
      <c r="B20" s="89">
        <v>2026</v>
      </c>
      <c r="C20" s="151">
        <f>'[7]4D2_CH4_Industrial_Wastewater'!$G27</f>
        <v>27677795.679999985</v>
      </c>
      <c r="D20" s="151">
        <f t="shared" si="1"/>
        <v>581233.70927999972</v>
      </c>
    </row>
    <row r="21" spans="2:4" ht="15" x14ac:dyDescent="0.25">
      <c r="B21" s="89">
        <v>2027</v>
      </c>
      <c r="C21" s="151">
        <f>'[7]4D2_CH4_Industrial_Wastewater'!$G28</f>
        <v>28801372.669333309</v>
      </c>
      <c r="D21" s="151">
        <f t="shared" si="1"/>
        <v>604828.8260559995</v>
      </c>
    </row>
    <row r="22" spans="2:4" ht="15" x14ac:dyDescent="0.25">
      <c r="B22" s="89">
        <v>2028</v>
      </c>
      <c r="C22" s="151">
        <f>'[7]4D2_CH4_Industrial_Wastewater'!$G29</f>
        <v>29946914.08799997</v>
      </c>
      <c r="D22" s="151">
        <f t="shared" si="1"/>
        <v>628885.1958479993</v>
      </c>
    </row>
    <row r="23" spans="2:4" ht="15" x14ac:dyDescent="0.25">
      <c r="B23" s="89">
        <v>2029</v>
      </c>
      <c r="C23" s="151">
        <f>'[7]4D2_CH4_Industrial_Wastewater'!$G30</f>
        <v>31114419.935999975</v>
      </c>
      <c r="D23" s="151">
        <f t="shared" si="1"/>
        <v>653402.81865599938</v>
      </c>
    </row>
    <row r="24" spans="2:4" ht="15" x14ac:dyDescent="0.25">
      <c r="B24" s="89">
        <v>2030</v>
      </c>
      <c r="C24" s="151">
        <f>'[7]4D2_CH4_Industrial_Wastewater'!$G31</f>
        <v>31629479.807999969</v>
      </c>
      <c r="D24" s="151">
        <f t="shared" si="1"/>
        <v>664219.07596799929</v>
      </c>
    </row>
    <row r="25" spans="2:4" ht="15" x14ac:dyDescent="0.25">
      <c r="B25" s="89">
        <v>2031</v>
      </c>
      <c r="C25" s="133"/>
      <c r="D25" s="133">
        <f t="shared" si="1"/>
        <v>0</v>
      </c>
    </row>
  </sheetData>
  <mergeCells count="2">
    <mergeCell ref="C3:D3"/>
    <mergeCell ref="B3:B4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76"/>
  <sheetViews>
    <sheetView zoomScale="85" zoomScaleNormal="85" workbookViewId="0">
      <selection activeCell="E24" sqref="E24:H33"/>
    </sheetView>
  </sheetViews>
  <sheetFormatPr defaultRowHeight="15" x14ac:dyDescent="0.25"/>
  <cols>
    <col min="1" max="1" width="18" customWidth="1"/>
    <col min="2" max="2" width="29.5703125" customWidth="1"/>
    <col min="3" max="3" width="16.42578125" customWidth="1"/>
    <col min="4" max="4" width="11.7109375" customWidth="1"/>
    <col min="5" max="8" width="11.5703125" customWidth="1"/>
    <col min="9" max="9" width="19.7109375" customWidth="1"/>
    <col min="11" max="11" width="23.42578125" customWidth="1"/>
    <col min="12" max="12" width="6.42578125" customWidth="1"/>
    <col min="13" max="13" width="2.42578125" customWidth="1"/>
    <col min="14" max="14" width="7.140625" customWidth="1"/>
    <col min="16" max="17" width="4" customWidth="1"/>
    <col min="19" max="19" width="1.42578125" customWidth="1"/>
    <col min="20" max="20" width="7.140625" customWidth="1"/>
    <col min="21" max="21" width="49.85546875" customWidth="1"/>
  </cols>
  <sheetData>
    <row r="3" spans="1:9" ht="18.75" x14ac:dyDescent="0.3">
      <c r="A3" s="12" t="s">
        <v>64</v>
      </c>
    </row>
    <row r="5" spans="1:9" s="20" customFormat="1" ht="47.25" customHeight="1" x14ac:dyDescent="0.25">
      <c r="A5" s="25" t="s">
        <v>45</v>
      </c>
      <c r="B5" s="26" t="s">
        <v>46</v>
      </c>
      <c r="C5" s="21" t="s">
        <v>54</v>
      </c>
      <c r="D5" s="228" t="s">
        <v>53</v>
      </c>
      <c r="E5" s="228"/>
      <c r="F5" s="229" t="s">
        <v>63</v>
      </c>
      <c r="G5" s="229"/>
      <c r="H5" s="229"/>
      <c r="I5" s="229"/>
    </row>
    <row r="6" spans="1:9" s="20" customFormat="1" ht="16.5" customHeight="1" x14ac:dyDescent="0.25">
      <c r="A6" s="225" t="s">
        <v>47</v>
      </c>
      <c r="B6" s="225" t="s">
        <v>49</v>
      </c>
      <c r="C6" s="226"/>
      <c r="D6" s="214" t="s">
        <v>69</v>
      </c>
      <c r="E6" s="214"/>
      <c r="F6" s="215" t="s">
        <v>55</v>
      </c>
      <c r="G6" s="215"/>
      <c r="H6" s="215"/>
      <c r="I6" s="215"/>
    </row>
    <row r="7" spans="1:9" s="20" customFormat="1" ht="29.25" customHeight="1" x14ac:dyDescent="0.25">
      <c r="A7" s="225"/>
      <c r="B7" s="225"/>
      <c r="C7" s="226"/>
      <c r="D7" s="214"/>
      <c r="E7" s="214"/>
      <c r="F7" s="215" t="s">
        <v>56</v>
      </c>
      <c r="G7" s="215"/>
      <c r="H7" s="215"/>
      <c r="I7" s="215"/>
    </row>
    <row r="8" spans="1:9" s="20" customFormat="1" ht="51" customHeight="1" x14ac:dyDescent="0.25">
      <c r="A8" s="225"/>
      <c r="B8" s="29" t="s">
        <v>58</v>
      </c>
      <c r="C8" s="22"/>
      <c r="D8" s="214" t="s">
        <v>57</v>
      </c>
      <c r="E8" s="214"/>
      <c r="F8" s="215" t="s">
        <v>60</v>
      </c>
      <c r="G8" s="215"/>
      <c r="H8" s="215"/>
      <c r="I8" s="215"/>
    </row>
    <row r="9" spans="1:9" s="20" customFormat="1" ht="31.5" customHeight="1" x14ac:dyDescent="0.25">
      <c r="A9" s="225"/>
      <c r="B9" s="213" t="s">
        <v>50</v>
      </c>
      <c r="C9" s="22"/>
      <c r="D9" s="214" t="s">
        <v>59</v>
      </c>
      <c r="E9" s="214"/>
      <c r="F9" s="222" t="s">
        <v>65</v>
      </c>
      <c r="G9" s="223"/>
      <c r="H9" s="223"/>
      <c r="I9" s="224"/>
    </row>
    <row r="10" spans="1:9" s="20" customFormat="1" ht="20.25" customHeight="1" x14ac:dyDescent="0.25">
      <c r="A10" s="225"/>
      <c r="B10" s="213"/>
      <c r="C10" s="22"/>
      <c r="D10" s="214"/>
      <c r="E10" s="214"/>
      <c r="F10" s="215" t="s">
        <v>61</v>
      </c>
      <c r="G10" s="215"/>
      <c r="H10" s="215"/>
      <c r="I10" s="215"/>
    </row>
    <row r="11" spans="1:9" s="20" customFormat="1" ht="17.25" customHeight="1" x14ac:dyDescent="0.25">
      <c r="A11" s="225"/>
      <c r="B11" s="213"/>
      <c r="C11" s="22"/>
      <c r="D11" s="214"/>
      <c r="E11" s="214"/>
      <c r="F11" s="215" t="s">
        <v>62</v>
      </c>
      <c r="G11" s="215"/>
      <c r="H11" s="215"/>
      <c r="I11" s="215"/>
    </row>
    <row r="12" spans="1:9" s="20" customFormat="1" ht="60" customHeight="1" x14ac:dyDescent="0.25">
      <c r="A12" s="225" t="s">
        <v>48</v>
      </c>
      <c r="B12" s="27" t="s">
        <v>51</v>
      </c>
      <c r="C12" s="23"/>
      <c r="D12" s="24"/>
      <c r="E12" s="22"/>
      <c r="F12" s="216" t="s">
        <v>66</v>
      </c>
      <c r="G12" s="217"/>
      <c r="H12" s="217"/>
      <c r="I12" s="218"/>
    </row>
    <row r="13" spans="1:9" s="20" customFormat="1" ht="30" x14ac:dyDescent="0.25">
      <c r="A13" s="225"/>
      <c r="B13" s="28" t="s">
        <v>52</v>
      </c>
      <c r="C13" s="23"/>
      <c r="D13" s="24"/>
      <c r="E13" s="22"/>
      <c r="F13" s="219"/>
      <c r="G13" s="220"/>
      <c r="H13" s="220"/>
      <c r="I13" s="221"/>
    </row>
    <row r="18" spans="1:22" ht="21" x14ac:dyDescent="0.35">
      <c r="A18" s="227" t="s">
        <v>73</v>
      </c>
      <c r="B18" s="227"/>
      <c r="C18" s="227"/>
      <c r="D18" s="227"/>
      <c r="E18" s="227"/>
      <c r="F18" s="227"/>
      <c r="G18" s="227"/>
      <c r="H18" s="227"/>
      <c r="I18" s="227"/>
    </row>
    <row r="19" spans="1:22" ht="21" x14ac:dyDescent="0.35">
      <c r="A19" s="30"/>
      <c r="B19" s="30"/>
      <c r="C19" s="30"/>
      <c r="D19" s="30"/>
      <c r="E19" s="30"/>
      <c r="F19" s="30"/>
      <c r="G19" s="30"/>
      <c r="H19" s="30"/>
      <c r="I19" s="30"/>
    </row>
    <row r="20" spans="1:22" s="4" customFormat="1" ht="21" x14ac:dyDescent="0.35">
      <c r="A20" s="33" t="s">
        <v>68</v>
      </c>
      <c r="B20" s="31"/>
      <c r="C20" s="31"/>
      <c r="D20" s="31"/>
      <c r="E20" s="31"/>
      <c r="F20" s="31"/>
      <c r="G20" s="31"/>
      <c r="H20" s="31"/>
      <c r="I20" s="31"/>
    </row>
    <row r="21" spans="1:22" x14ac:dyDescent="0.25">
      <c r="A21" s="198" t="s">
        <v>8</v>
      </c>
      <c r="B21" s="211" t="s">
        <v>39</v>
      </c>
      <c r="C21" s="211"/>
      <c r="D21" s="211"/>
      <c r="E21" s="211"/>
      <c r="F21" s="211"/>
      <c r="G21" s="211"/>
      <c r="H21" s="211"/>
      <c r="I21" s="212"/>
      <c r="K21" t="s">
        <v>21</v>
      </c>
      <c r="L21" t="s">
        <v>24</v>
      </c>
    </row>
    <row r="22" spans="1:22" ht="38.25" x14ac:dyDescent="0.25">
      <c r="A22" s="198"/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212"/>
      <c r="O22" s="8" t="s">
        <v>18</v>
      </c>
    </row>
    <row r="23" spans="1:22" ht="38.25" x14ac:dyDescent="0.25">
      <c r="A23" s="2">
        <v>2010</v>
      </c>
      <c r="B23" s="13">
        <v>0</v>
      </c>
      <c r="C23" s="13">
        <v>0</v>
      </c>
      <c r="D23" s="13">
        <v>0</v>
      </c>
      <c r="E23" s="13">
        <v>0</v>
      </c>
      <c r="F23" s="13">
        <v>0</v>
      </c>
      <c r="G23" s="13">
        <v>0</v>
      </c>
      <c r="H23" s="13">
        <v>0</v>
      </c>
      <c r="I23" s="34"/>
      <c r="J23" s="9" t="s">
        <v>40</v>
      </c>
      <c r="K23" s="10" t="s">
        <v>42</v>
      </c>
    </row>
    <row r="24" spans="1:22" ht="15" customHeight="1" x14ac:dyDescent="0.25">
      <c r="A24" s="2">
        <v>2011</v>
      </c>
      <c r="B24" s="204" t="s">
        <v>70</v>
      </c>
      <c r="C24" s="35">
        <v>0</v>
      </c>
      <c r="D24" s="204" t="s">
        <v>72</v>
      </c>
      <c r="E24" s="204" t="s">
        <v>78</v>
      </c>
      <c r="F24" s="204"/>
      <c r="G24" s="204"/>
      <c r="H24" s="204"/>
      <c r="I24" s="34"/>
      <c r="K24" t="s">
        <v>25</v>
      </c>
      <c r="L24" s="15">
        <v>4000</v>
      </c>
      <c r="M24" s="16" t="s">
        <v>32</v>
      </c>
      <c r="N24" s="15">
        <v>6000</v>
      </c>
      <c r="O24" s="8" t="s">
        <v>27</v>
      </c>
      <c r="R24" s="18">
        <f>L24*1000/365</f>
        <v>10958.904109589041</v>
      </c>
      <c r="S24" s="19" t="s">
        <v>32</v>
      </c>
      <c r="T24" s="18">
        <f>N24*1000/365</f>
        <v>16438.35616438356</v>
      </c>
      <c r="U24" s="11" t="s">
        <v>30</v>
      </c>
      <c r="V24" t="s">
        <v>71</v>
      </c>
    </row>
    <row r="25" spans="1:22" ht="60" customHeight="1" x14ac:dyDescent="0.25">
      <c r="A25" s="2">
        <v>2012</v>
      </c>
      <c r="B25" s="204"/>
      <c r="C25" s="35">
        <v>0</v>
      </c>
      <c r="D25" s="204"/>
      <c r="E25" s="204"/>
      <c r="F25" s="204"/>
      <c r="G25" s="204"/>
      <c r="H25" s="204"/>
      <c r="I25" s="34"/>
      <c r="K25" t="s">
        <v>26</v>
      </c>
      <c r="L25" s="202">
        <v>1000</v>
      </c>
      <c r="M25" s="202"/>
      <c r="N25" s="202"/>
      <c r="O25" s="8" t="s">
        <v>27</v>
      </c>
      <c r="R25" s="203">
        <f>L25*1000/365</f>
        <v>2739.7260273972602</v>
      </c>
      <c r="S25" s="203"/>
      <c r="T25" s="203"/>
      <c r="U25" s="11" t="s">
        <v>44</v>
      </c>
    </row>
    <row r="26" spans="1:22" x14ac:dyDescent="0.25">
      <c r="A26" s="2">
        <v>2013</v>
      </c>
      <c r="B26" s="204"/>
      <c r="C26" s="35">
        <v>0</v>
      </c>
      <c r="D26" s="204"/>
      <c r="E26" s="204"/>
      <c r="F26" s="204"/>
      <c r="G26" s="204"/>
      <c r="H26" s="204"/>
      <c r="I26" s="34"/>
      <c r="K26" t="s">
        <v>28</v>
      </c>
      <c r="L26" s="202">
        <v>3000</v>
      </c>
      <c r="M26" s="202"/>
      <c r="N26" s="202"/>
      <c r="O26" s="8" t="s">
        <v>27</v>
      </c>
    </row>
    <row r="27" spans="1:22" x14ac:dyDescent="0.25">
      <c r="A27" s="2">
        <v>2014</v>
      </c>
      <c r="B27" s="204"/>
      <c r="C27" s="35">
        <v>0</v>
      </c>
      <c r="D27" s="204"/>
      <c r="E27" s="204"/>
      <c r="F27" s="204"/>
      <c r="G27" s="204"/>
      <c r="H27" s="204"/>
      <c r="I27" s="34"/>
      <c r="K27" s="9" t="s">
        <v>29</v>
      </c>
      <c r="L27" s="15">
        <v>8000</v>
      </c>
      <c r="M27" s="16" t="s">
        <v>32</v>
      </c>
      <c r="N27" s="15">
        <v>10000</v>
      </c>
      <c r="O27" s="8" t="s">
        <v>18</v>
      </c>
    </row>
    <row r="28" spans="1:22" x14ac:dyDescent="0.25">
      <c r="A28" s="2">
        <v>2015</v>
      </c>
      <c r="B28" s="204"/>
      <c r="C28" s="35">
        <v>0</v>
      </c>
      <c r="D28" s="204"/>
      <c r="E28" s="204"/>
      <c r="F28" s="204"/>
      <c r="G28" s="204"/>
      <c r="H28" s="204"/>
      <c r="I28" s="34"/>
    </row>
    <row r="29" spans="1:22" x14ac:dyDescent="0.25">
      <c r="A29" s="2">
        <v>2016</v>
      </c>
      <c r="B29" s="204"/>
      <c r="C29" s="35">
        <v>0</v>
      </c>
      <c r="D29" s="204"/>
      <c r="E29" s="204"/>
      <c r="F29" s="204"/>
      <c r="G29" s="204"/>
      <c r="H29" s="204"/>
      <c r="I29" s="34"/>
    </row>
    <row r="30" spans="1:22" x14ac:dyDescent="0.25">
      <c r="A30" s="2">
        <v>2017</v>
      </c>
      <c r="B30" s="204"/>
      <c r="C30" s="35">
        <v>0</v>
      </c>
      <c r="D30" s="204"/>
      <c r="E30" s="204"/>
      <c r="F30" s="204"/>
      <c r="G30" s="204"/>
      <c r="H30" s="204"/>
      <c r="I30" s="34"/>
    </row>
    <row r="31" spans="1:22" ht="25.5" x14ac:dyDescent="0.25">
      <c r="A31" s="2">
        <v>2018</v>
      </c>
      <c r="B31" s="204"/>
      <c r="C31" s="35">
        <v>0</v>
      </c>
      <c r="D31" s="204"/>
      <c r="E31" s="204"/>
      <c r="F31" s="204"/>
      <c r="G31" s="204"/>
      <c r="H31" s="204"/>
      <c r="I31" s="34"/>
      <c r="J31" s="9" t="s">
        <v>41</v>
      </c>
      <c r="K31" s="10" t="s">
        <v>43</v>
      </c>
    </row>
    <row r="32" spans="1:22" x14ac:dyDescent="0.25">
      <c r="A32" s="2">
        <v>2019</v>
      </c>
      <c r="B32" s="204"/>
      <c r="C32" s="35">
        <v>0</v>
      </c>
      <c r="D32" s="204"/>
      <c r="E32" s="204"/>
      <c r="F32" s="204"/>
      <c r="G32" s="204"/>
      <c r="H32" s="204"/>
      <c r="I32" s="34"/>
      <c r="K32" t="s">
        <v>25</v>
      </c>
      <c r="L32" s="17">
        <f>0.6*L35</f>
        <v>360</v>
      </c>
      <c r="M32" s="8" t="s">
        <v>27</v>
      </c>
      <c r="R32" s="18">
        <f>L32*1000/365</f>
        <v>986.30136986301375</v>
      </c>
      <c r="S32" s="11" t="s">
        <v>30</v>
      </c>
      <c r="T32" s="11"/>
    </row>
    <row r="33" spans="1:20" x14ac:dyDescent="0.25">
      <c r="A33" s="2">
        <v>2020</v>
      </c>
      <c r="B33" s="204"/>
      <c r="C33" s="35">
        <v>0</v>
      </c>
      <c r="D33" s="204"/>
      <c r="E33" s="204"/>
      <c r="F33" s="204"/>
      <c r="G33" s="204"/>
      <c r="H33" s="204"/>
      <c r="I33" s="34"/>
      <c r="K33" t="s">
        <v>26</v>
      </c>
      <c r="L33" s="17">
        <f>0.1*L35</f>
        <v>60</v>
      </c>
      <c r="M33" s="8" t="s">
        <v>27</v>
      </c>
      <c r="R33" s="18">
        <f>L33*1000/365</f>
        <v>164.38356164383561</v>
      </c>
      <c r="S33" s="11" t="s">
        <v>31</v>
      </c>
      <c r="T33" s="11"/>
    </row>
    <row r="34" spans="1:20" s="4" customFormat="1" ht="21" x14ac:dyDescent="0.35">
      <c r="A34" s="31"/>
      <c r="B34" s="31"/>
      <c r="C34" s="31"/>
      <c r="D34" s="31"/>
      <c r="E34" s="31"/>
      <c r="F34" s="31"/>
      <c r="G34" s="31"/>
      <c r="H34" s="31"/>
      <c r="I34" s="31"/>
      <c r="J34"/>
      <c r="K34" t="s">
        <v>28</v>
      </c>
      <c r="L34" s="17">
        <f>0.3*L35</f>
        <v>180</v>
      </c>
      <c r="M34" s="8" t="s">
        <v>27</v>
      </c>
      <c r="N34"/>
      <c r="O34"/>
      <c r="P34"/>
      <c r="Q34"/>
      <c r="R34"/>
      <c r="S34"/>
      <c r="T34"/>
    </row>
    <row r="35" spans="1:20" s="4" customFormat="1" ht="21" x14ac:dyDescent="0.35">
      <c r="A35" s="31"/>
      <c r="B35" s="31"/>
      <c r="C35" s="31"/>
      <c r="D35" s="31"/>
      <c r="E35" s="31"/>
      <c r="F35" s="31"/>
      <c r="G35" s="31"/>
      <c r="H35" s="31"/>
      <c r="I35" s="31"/>
      <c r="J35"/>
      <c r="K35" s="9" t="s">
        <v>29</v>
      </c>
      <c r="L35" s="17">
        <v>600</v>
      </c>
      <c r="M35" s="8" t="s">
        <v>18</v>
      </c>
      <c r="N35"/>
      <c r="O35"/>
      <c r="P35"/>
      <c r="Q35"/>
      <c r="R35"/>
      <c r="S35"/>
      <c r="T35"/>
    </row>
    <row r="36" spans="1:20" s="4" customFormat="1" ht="21" x14ac:dyDescent="0.35">
      <c r="A36" s="32" t="s">
        <v>67</v>
      </c>
      <c r="B36" s="31"/>
      <c r="C36" s="31"/>
      <c r="D36" s="31"/>
      <c r="E36" s="31"/>
      <c r="F36" s="31"/>
      <c r="G36" s="31"/>
      <c r="H36" s="31"/>
      <c r="I36" s="31"/>
      <c r="J36"/>
      <c r="K36"/>
      <c r="L36"/>
      <c r="M36"/>
      <c r="N36"/>
      <c r="O36"/>
      <c r="P36"/>
      <c r="Q36"/>
      <c r="R36"/>
      <c r="S36"/>
      <c r="T36"/>
    </row>
    <row r="37" spans="1:20" x14ac:dyDescent="0.25">
      <c r="A37" s="198" t="s">
        <v>8</v>
      </c>
      <c r="B37" s="205" t="s">
        <v>77</v>
      </c>
      <c r="C37" s="206"/>
      <c r="D37" s="206"/>
      <c r="E37" s="206"/>
      <c r="F37" s="206"/>
      <c r="G37" s="206"/>
      <c r="H37" s="207"/>
      <c r="I37" s="200" t="s">
        <v>39</v>
      </c>
    </row>
    <row r="38" spans="1:20" ht="38.25" x14ac:dyDescent="0.25">
      <c r="A38" s="198"/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  <c r="I38" s="201"/>
    </row>
    <row r="39" spans="1:20" x14ac:dyDescent="0.25">
      <c r="A39" s="2">
        <v>2010</v>
      </c>
      <c r="B39" s="208" t="s">
        <v>74</v>
      </c>
      <c r="C39" s="208" t="s">
        <v>75</v>
      </c>
      <c r="D39" s="208" t="s">
        <v>74</v>
      </c>
      <c r="E39" s="208" t="s">
        <v>75</v>
      </c>
      <c r="F39" s="208" t="s">
        <v>75</v>
      </c>
      <c r="G39" s="208" t="s">
        <v>75</v>
      </c>
      <c r="H39" s="208" t="s">
        <v>75</v>
      </c>
      <c r="I39" s="14">
        <f>'timbulan sampah'!E5</f>
        <v>47.556600000000003</v>
      </c>
    </row>
    <row r="40" spans="1:20" x14ac:dyDescent="0.25">
      <c r="A40" s="2">
        <v>2011</v>
      </c>
      <c r="B40" s="209"/>
      <c r="C40" s="209"/>
      <c r="D40" s="209"/>
      <c r="E40" s="209"/>
      <c r="F40" s="209"/>
      <c r="G40" s="209"/>
      <c r="H40" s="209"/>
      <c r="I40" s="14">
        <f>'timbulan sampah'!E6</f>
        <v>48.822200000000002</v>
      </c>
      <c r="K40" t="s">
        <v>19</v>
      </c>
      <c r="O40" s="8" t="s">
        <v>20</v>
      </c>
    </row>
    <row r="41" spans="1:20" x14ac:dyDescent="0.25">
      <c r="A41" s="2">
        <v>2012</v>
      </c>
      <c r="B41" s="209"/>
      <c r="C41" s="209"/>
      <c r="D41" s="209"/>
      <c r="E41" s="209"/>
      <c r="F41" s="209"/>
      <c r="G41" s="209"/>
      <c r="H41" s="209"/>
      <c r="I41" s="14">
        <f>'timbulan sampah'!E7</f>
        <v>49.998200000000004</v>
      </c>
      <c r="K41" t="s">
        <v>22</v>
      </c>
      <c r="O41" s="8" t="s">
        <v>23</v>
      </c>
    </row>
    <row r="42" spans="1:20" x14ac:dyDescent="0.25">
      <c r="A42" s="2">
        <v>2013</v>
      </c>
      <c r="B42" s="209"/>
      <c r="C42" s="209"/>
      <c r="D42" s="209"/>
      <c r="E42" s="209"/>
      <c r="F42" s="209"/>
      <c r="G42" s="209"/>
      <c r="H42" s="209"/>
      <c r="I42" s="14">
        <f>'timbulan sampah'!E8</f>
        <v>51.234999999999999</v>
      </c>
    </row>
    <row r="43" spans="1:20" x14ac:dyDescent="0.25">
      <c r="A43" s="2">
        <v>2014</v>
      </c>
      <c r="B43" s="209"/>
      <c r="C43" s="209"/>
      <c r="D43" s="209"/>
      <c r="E43" s="209"/>
      <c r="F43" s="209"/>
      <c r="G43" s="209"/>
      <c r="H43" s="209"/>
      <c r="I43" s="14">
        <f>'timbulan sampah'!E9</f>
        <v>52.460200000000007</v>
      </c>
    </row>
    <row r="44" spans="1:20" x14ac:dyDescent="0.25">
      <c r="A44" s="2">
        <v>2015</v>
      </c>
      <c r="B44" s="209"/>
      <c r="C44" s="209"/>
      <c r="D44" s="209"/>
      <c r="E44" s="209"/>
      <c r="F44" s="209"/>
      <c r="G44" s="209"/>
      <c r="H44" s="209"/>
      <c r="I44" s="14">
        <f>'timbulan sampah'!E10</f>
        <v>53.652200000000008</v>
      </c>
    </row>
    <row r="45" spans="1:20" x14ac:dyDescent="0.25">
      <c r="A45" s="2">
        <v>2016</v>
      </c>
      <c r="B45" s="209"/>
      <c r="C45" s="209"/>
      <c r="D45" s="209"/>
      <c r="E45" s="209"/>
      <c r="F45" s="209"/>
      <c r="G45" s="209"/>
      <c r="H45" s="209"/>
      <c r="I45" s="14">
        <f>'timbulan sampah'!E11</f>
        <v>55.349200000000003</v>
      </c>
    </row>
    <row r="46" spans="1:20" x14ac:dyDescent="0.25">
      <c r="A46" s="2">
        <v>2017</v>
      </c>
      <c r="B46" s="209"/>
      <c r="C46" s="209"/>
      <c r="D46" s="209"/>
      <c r="E46" s="209"/>
      <c r="F46" s="209"/>
      <c r="G46" s="209"/>
      <c r="H46" s="209"/>
      <c r="I46" s="14">
        <f>'timbulan sampah'!E12</f>
        <v>56.9878</v>
      </c>
    </row>
    <row r="47" spans="1:20" x14ac:dyDescent="0.25">
      <c r="A47" s="2">
        <v>2018</v>
      </c>
      <c r="B47" s="209"/>
      <c r="C47" s="209"/>
      <c r="D47" s="209"/>
      <c r="E47" s="209"/>
      <c r="F47" s="209"/>
      <c r="G47" s="209"/>
      <c r="H47" s="209"/>
      <c r="I47" s="14">
        <f>'timbulan sampah'!E13</f>
        <v>58.626400000000004</v>
      </c>
    </row>
    <row r="48" spans="1:20" x14ac:dyDescent="0.25">
      <c r="A48" s="2">
        <v>2019</v>
      </c>
      <c r="B48" s="209"/>
      <c r="C48" s="209"/>
      <c r="D48" s="209"/>
      <c r="E48" s="209"/>
      <c r="F48" s="209"/>
      <c r="G48" s="209"/>
      <c r="H48" s="209"/>
      <c r="I48" s="14">
        <f>'timbulan sampah'!E14</f>
        <v>60.265000000000001</v>
      </c>
    </row>
    <row r="49" spans="1:21" x14ac:dyDescent="0.25">
      <c r="A49" s="2">
        <v>2020</v>
      </c>
      <c r="B49" s="210"/>
      <c r="C49" s="210"/>
      <c r="D49" s="210"/>
      <c r="E49" s="210"/>
      <c r="F49" s="210"/>
      <c r="G49" s="210"/>
      <c r="H49" s="210"/>
      <c r="I49" s="14">
        <f>'timbulan sampah'!E15</f>
        <v>61.903600000000004</v>
      </c>
    </row>
    <row r="52" spans="1:21" x14ac:dyDescent="0.25">
      <c r="A52" s="198" t="s">
        <v>8</v>
      </c>
      <c r="B52" s="199" t="s">
        <v>0</v>
      </c>
      <c r="C52" s="199"/>
      <c r="D52" s="199"/>
      <c r="E52" s="199"/>
      <c r="F52" s="199"/>
      <c r="G52" s="199"/>
      <c r="H52" s="199"/>
      <c r="I52" s="200" t="s">
        <v>9</v>
      </c>
    </row>
    <row r="53" spans="1:21" ht="42.75" customHeight="1" x14ac:dyDescent="0.25">
      <c r="A53" s="198"/>
      <c r="B53" s="1" t="s">
        <v>1</v>
      </c>
      <c r="C53" s="1" t="s">
        <v>2</v>
      </c>
      <c r="D53" s="1" t="s">
        <v>3</v>
      </c>
      <c r="E53" s="1" t="s">
        <v>4</v>
      </c>
      <c r="F53" s="1" t="s">
        <v>5</v>
      </c>
      <c r="G53" s="1" t="s">
        <v>6</v>
      </c>
      <c r="H53" s="1" t="s">
        <v>7</v>
      </c>
      <c r="I53" s="201"/>
    </row>
    <row r="54" spans="1:21" ht="17.25" customHeight="1" x14ac:dyDescent="0.25">
      <c r="A54" s="2">
        <v>2010</v>
      </c>
      <c r="B54" s="230" t="s">
        <v>76</v>
      </c>
      <c r="C54" s="230" t="s">
        <v>76</v>
      </c>
      <c r="D54" s="230" t="s">
        <v>76</v>
      </c>
      <c r="E54" s="230" t="s">
        <v>76</v>
      </c>
      <c r="F54" s="230" t="s">
        <v>76</v>
      </c>
      <c r="G54" s="230" t="s">
        <v>76</v>
      </c>
      <c r="H54" s="230" t="s">
        <v>76</v>
      </c>
      <c r="I54" s="3">
        <v>1</v>
      </c>
    </row>
    <row r="55" spans="1:21" x14ac:dyDescent="0.25">
      <c r="A55" s="2">
        <v>2011</v>
      </c>
      <c r="B55" s="231"/>
      <c r="C55" s="231"/>
      <c r="D55" s="231"/>
      <c r="E55" s="231"/>
      <c r="F55" s="231"/>
      <c r="G55" s="231"/>
      <c r="H55" s="231"/>
      <c r="I55" s="3">
        <v>1</v>
      </c>
    </row>
    <row r="56" spans="1:21" x14ac:dyDescent="0.25">
      <c r="A56" s="2">
        <v>2012</v>
      </c>
      <c r="B56" s="231"/>
      <c r="C56" s="231"/>
      <c r="D56" s="231"/>
      <c r="E56" s="231"/>
      <c r="F56" s="231"/>
      <c r="G56" s="231"/>
      <c r="H56" s="231"/>
      <c r="I56" s="3">
        <v>1</v>
      </c>
    </row>
    <row r="57" spans="1:21" x14ac:dyDescent="0.25">
      <c r="A57" s="2">
        <v>2013</v>
      </c>
      <c r="B57" s="231"/>
      <c r="C57" s="231"/>
      <c r="D57" s="231"/>
      <c r="E57" s="231"/>
      <c r="F57" s="231"/>
      <c r="G57" s="231"/>
      <c r="H57" s="231"/>
      <c r="I57" s="3">
        <v>1</v>
      </c>
    </row>
    <row r="58" spans="1:21" x14ac:dyDescent="0.25">
      <c r="A58" s="2">
        <v>2014</v>
      </c>
      <c r="B58" s="231"/>
      <c r="C58" s="231"/>
      <c r="D58" s="231"/>
      <c r="E58" s="231"/>
      <c r="F58" s="231"/>
      <c r="G58" s="231"/>
      <c r="H58" s="231"/>
      <c r="I58" s="3">
        <v>1</v>
      </c>
    </row>
    <row r="59" spans="1:21" x14ac:dyDescent="0.25">
      <c r="A59" s="2">
        <v>2015</v>
      </c>
      <c r="B59" s="231"/>
      <c r="C59" s="231"/>
      <c r="D59" s="231"/>
      <c r="E59" s="231"/>
      <c r="F59" s="231"/>
      <c r="G59" s="231"/>
      <c r="H59" s="231"/>
      <c r="I59" s="3">
        <v>1</v>
      </c>
    </row>
    <row r="60" spans="1:21" x14ac:dyDescent="0.25">
      <c r="A60" s="2">
        <v>2016</v>
      </c>
      <c r="B60" s="231"/>
      <c r="C60" s="231"/>
      <c r="D60" s="231"/>
      <c r="E60" s="231"/>
      <c r="F60" s="231"/>
      <c r="G60" s="231"/>
      <c r="H60" s="231"/>
      <c r="I60" s="3">
        <v>1</v>
      </c>
    </row>
    <row r="61" spans="1:21" x14ac:dyDescent="0.25">
      <c r="A61" s="2">
        <v>2017</v>
      </c>
      <c r="B61" s="231"/>
      <c r="C61" s="231"/>
      <c r="D61" s="231"/>
      <c r="E61" s="231"/>
      <c r="F61" s="231"/>
      <c r="G61" s="231"/>
      <c r="H61" s="231"/>
      <c r="I61" s="3">
        <v>1</v>
      </c>
    </row>
    <row r="62" spans="1:21" x14ac:dyDescent="0.25">
      <c r="A62" s="2">
        <v>2018</v>
      </c>
      <c r="B62" s="231"/>
      <c r="C62" s="231"/>
      <c r="D62" s="231"/>
      <c r="E62" s="231"/>
      <c r="F62" s="231"/>
      <c r="G62" s="231"/>
      <c r="H62" s="231"/>
      <c r="I62" s="3">
        <v>1</v>
      </c>
    </row>
    <row r="63" spans="1:21" x14ac:dyDescent="0.25">
      <c r="A63" s="2">
        <v>2019</v>
      </c>
      <c r="B63" s="231"/>
      <c r="C63" s="231"/>
      <c r="D63" s="231"/>
      <c r="E63" s="231"/>
      <c r="F63" s="231"/>
      <c r="G63" s="231"/>
      <c r="H63" s="231"/>
      <c r="I63" s="3">
        <v>1</v>
      </c>
      <c r="U63" s="4"/>
    </row>
    <row r="64" spans="1:21" x14ac:dyDescent="0.25">
      <c r="A64" s="2">
        <v>2020</v>
      </c>
      <c r="B64" s="232"/>
      <c r="C64" s="232"/>
      <c r="D64" s="232"/>
      <c r="E64" s="232"/>
      <c r="F64" s="232"/>
      <c r="G64" s="232"/>
      <c r="H64" s="232"/>
      <c r="I64" s="3">
        <v>1</v>
      </c>
      <c r="U64" s="4"/>
    </row>
    <row r="67" spans="1:3" x14ac:dyDescent="0.25">
      <c r="A67" s="7"/>
      <c r="B67" s="7"/>
      <c r="C67" s="7"/>
    </row>
    <row r="68" spans="1:3" x14ac:dyDescent="0.25">
      <c r="A68" s="7"/>
      <c r="B68" s="7"/>
      <c r="C68" s="7"/>
    </row>
    <row r="69" spans="1:3" x14ac:dyDescent="0.25">
      <c r="A69" s="7"/>
      <c r="B69" s="7"/>
      <c r="C69" s="7"/>
    </row>
    <row r="70" spans="1:3" x14ac:dyDescent="0.25">
      <c r="A70" s="7"/>
      <c r="B70" s="7"/>
      <c r="C70" s="7"/>
    </row>
    <row r="71" spans="1:3" x14ac:dyDescent="0.25">
      <c r="A71" s="7"/>
      <c r="B71" s="7"/>
      <c r="C71" s="7"/>
    </row>
    <row r="72" spans="1:3" x14ac:dyDescent="0.25">
      <c r="A72" s="7"/>
      <c r="B72" s="7"/>
      <c r="C72" s="7"/>
    </row>
    <row r="73" spans="1:3" x14ac:dyDescent="0.25">
      <c r="A73" s="7"/>
      <c r="B73" s="7"/>
      <c r="C73" s="7"/>
    </row>
    <row r="74" spans="1:3" x14ac:dyDescent="0.25">
      <c r="A74" s="7"/>
      <c r="B74" s="7"/>
      <c r="C74" s="7"/>
    </row>
    <row r="75" spans="1:3" x14ac:dyDescent="0.25">
      <c r="A75" s="7"/>
      <c r="B75" s="7"/>
      <c r="C75" s="7"/>
    </row>
    <row r="76" spans="1:3" x14ac:dyDescent="0.25">
      <c r="A76" s="5"/>
      <c r="B76" s="5"/>
      <c r="C76" s="5"/>
    </row>
  </sheetData>
  <mergeCells count="47">
    <mergeCell ref="F39:F49"/>
    <mergeCell ref="G39:G49"/>
    <mergeCell ref="H39:H49"/>
    <mergeCell ref="B54:B64"/>
    <mergeCell ref="C54:C64"/>
    <mergeCell ref="D54:D64"/>
    <mergeCell ref="E54:E64"/>
    <mergeCell ref="F54:F64"/>
    <mergeCell ref="G54:G64"/>
    <mergeCell ref="H54:H64"/>
    <mergeCell ref="D5:E5"/>
    <mergeCell ref="F5:I5"/>
    <mergeCell ref="F6:I6"/>
    <mergeCell ref="F7:I7"/>
    <mergeCell ref="F8:I8"/>
    <mergeCell ref="A21:A22"/>
    <mergeCell ref="B21:H21"/>
    <mergeCell ref="I21:I22"/>
    <mergeCell ref="B9:B11"/>
    <mergeCell ref="D8:E8"/>
    <mergeCell ref="D9:E11"/>
    <mergeCell ref="F10:I10"/>
    <mergeCell ref="F11:I11"/>
    <mergeCell ref="F12:I13"/>
    <mergeCell ref="F9:I9"/>
    <mergeCell ref="A6:A11"/>
    <mergeCell ref="A12:A13"/>
    <mergeCell ref="B6:B7"/>
    <mergeCell ref="C6:C7"/>
    <mergeCell ref="A18:I18"/>
    <mergeCell ref="D6:E7"/>
    <mergeCell ref="A52:A53"/>
    <mergeCell ref="B52:H52"/>
    <mergeCell ref="I52:I53"/>
    <mergeCell ref="L25:N25"/>
    <mergeCell ref="R25:T25"/>
    <mergeCell ref="B24:B33"/>
    <mergeCell ref="A37:A38"/>
    <mergeCell ref="B37:H37"/>
    <mergeCell ref="I37:I38"/>
    <mergeCell ref="L26:N26"/>
    <mergeCell ref="D24:D33"/>
    <mergeCell ref="E24:H33"/>
    <mergeCell ref="B39:B49"/>
    <mergeCell ref="C39:C49"/>
    <mergeCell ref="D39:D49"/>
    <mergeCell ref="E39:E49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72"/>
  <sheetViews>
    <sheetView zoomScale="85" zoomScaleNormal="85" workbookViewId="0">
      <selection activeCell="F26" sqref="F26"/>
    </sheetView>
  </sheetViews>
  <sheetFormatPr defaultRowHeight="15" x14ac:dyDescent="0.25"/>
  <sheetData>
    <row r="2" spans="1:19" ht="23.25" x14ac:dyDescent="0.35">
      <c r="A2" s="76" t="s">
        <v>115</v>
      </c>
      <c r="B2" s="76"/>
      <c r="C2" s="76"/>
      <c r="D2" s="77"/>
      <c r="E2" s="77"/>
      <c r="F2" s="77"/>
      <c r="G2" s="77"/>
      <c r="H2" s="77"/>
      <c r="I2" s="77"/>
    </row>
    <row r="3" spans="1:19" x14ac:dyDescent="0.25">
      <c r="A3" s="41"/>
    </row>
    <row r="4" spans="1:19" x14ac:dyDescent="0.25">
      <c r="A4" s="75" t="s">
        <v>108</v>
      </c>
    </row>
    <row r="6" spans="1:19" ht="54" customHeight="1" x14ac:dyDescent="0.25">
      <c r="A6" s="233" t="s">
        <v>10</v>
      </c>
      <c r="B6" s="234" t="s">
        <v>109</v>
      </c>
      <c r="C6" s="234"/>
      <c r="D6" s="234"/>
      <c r="E6" s="71" t="s">
        <v>113</v>
      </c>
      <c r="F6" s="233" t="s">
        <v>10</v>
      </c>
      <c r="G6" s="234" t="s">
        <v>110</v>
      </c>
      <c r="H6" s="234"/>
      <c r="I6" s="234"/>
      <c r="J6" s="72" t="s">
        <v>114</v>
      </c>
      <c r="K6" s="233" t="s">
        <v>10</v>
      </c>
      <c r="L6" s="234" t="s">
        <v>111</v>
      </c>
      <c r="M6" s="234"/>
      <c r="N6" s="234"/>
      <c r="O6" s="72" t="s">
        <v>114</v>
      </c>
      <c r="P6" s="233" t="s">
        <v>10</v>
      </c>
      <c r="Q6" s="234" t="s">
        <v>112</v>
      </c>
      <c r="R6" s="234"/>
      <c r="S6" s="234"/>
    </row>
    <row r="7" spans="1:19" x14ac:dyDescent="0.25">
      <c r="A7" s="233"/>
      <c r="B7" s="233" t="s">
        <v>81</v>
      </c>
      <c r="C7" s="233"/>
      <c r="D7" s="234" t="s">
        <v>83</v>
      </c>
      <c r="E7" s="69"/>
      <c r="F7" s="233"/>
      <c r="G7" s="233" t="s">
        <v>81</v>
      </c>
      <c r="H7" s="233"/>
      <c r="I7" s="234" t="s">
        <v>83</v>
      </c>
      <c r="K7" s="233"/>
      <c r="L7" s="233" t="s">
        <v>81</v>
      </c>
      <c r="M7" s="233"/>
      <c r="N7" s="234" t="s">
        <v>83</v>
      </c>
      <c r="P7" s="233"/>
      <c r="Q7" s="233" t="s">
        <v>81</v>
      </c>
      <c r="R7" s="233"/>
      <c r="S7" s="234" t="s">
        <v>83</v>
      </c>
    </row>
    <row r="8" spans="1:19" x14ac:dyDescent="0.25">
      <c r="A8" s="233"/>
      <c r="B8" s="74" t="s">
        <v>84</v>
      </c>
      <c r="C8" s="74" t="s">
        <v>85</v>
      </c>
      <c r="D8" s="234"/>
      <c r="E8" s="6"/>
      <c r="F8" s="233"/>
      <c r="G8" s="74" t="s">
        <v>84</v>
      </c>
      <c r="H8" s="74" t="s">
        <v>85</v>
      </c>
      <c r="I8" s="234"/>
      <c r="K8" s="233"/>
      <c r="L8" s="74" t="s">
        <v>84</v>
      </c>
      <c r="M8" s="74" t="s">
        <v>85</v>
      </c>
      <c r="N8" s="234"/>
      <c r="P8" s="233"/>
      <c r="Q8" s="74" t="s">
        <v>84</v>
      </c>
      <c r="R8" s="74" t="s">
        <v>85</v>
      </c>
      <c r="S8" s="234"/>
    </row>
    <row r="9" spans="1:19" x14ac:dyDescent="0.25">
      <c r="A9" s="37">
        <v>2010</v>
      </c>
      <c r="B9" s="38"/>
      <c r="C9" s="39">
        <f>B9*21</f>
        <v>0</v>
      </c>
      <c r="D9" s="40">
        <f t="shared" ref="D9:D19" si="0">E9+C9</f>
        <v>0</v>
      </c>
      <c r="E9" s="70"/>
      <c r="F9" s="37">
        <v>2010</v>
      </c>
      <c r="G9" s="38"/>
      <c r="H9" s="39">
        <f>G9*21</f>
        <v>0</v>
      </c>
      <c r="I9" s="40">
        <f t="shared" ref="I9:I19" si="1">J9+H9</f>
        <v>0</v>
      </c>
      <c r="K9" s="37">
        <v>2010</v>
      </c>
      <c r="L9" s="38"/>
      <c r="M9" s="39">
        <f>L9*21</f>
        <v>0</v>
      </c>
      <c r="N9" s="40">
        <f t="shared" ref="N9:N19" si="2">O9+M9</f>
        <v>0</v>
      </c>
      <c r="P9" s="37">
        <v>2010</v>
      </c>
      <c r="Q9" s="38"/>
      <c r="R9" s="39">
        <f>Q9*21</f>
        <v>0</v>
      </c>
      <c r="S9" s="40">
        <f t="shared" ref="S9:S19" si="3">T9+R9</f>
        <v>0</v>
      </c>
    </row>
    <row r="10" spans="1:19" x14ac:dyDescent="0.25">
      <c r="A10" s="37">
        <v>2011</v>
      </c>
      <c r="B10" s="38"/>
      <c r="C10" s="39">
        <f t="shared" ref="C10:C19" si="4">B10*21</f>
        <v>0</v>
      </c>
      <c r="D10" s="40">
        <f t="shared" si="0"/>
        <v>0</v>
      </c>
      <c r="E10" s="70"/>
      <c r="F10" s="37">
        <v>2011</v>
      </c>
      <c r="G10" s="38"/>
      <c r="H10" s="39">
        <f t="shared" ref="H10:H19" si="5">G10*21</f>
        <v>0</v>
      </c>
      <c r="I10" s="40">
        <f t="shared" si="1"/>
        <v>0</v>
      </c>
      <c r="K10" s="37">
        <v>2011</v>
      </c>
      <c r="L10" s="38"/>
      <c r="M10" s="39">
        <f t="shared" ref="M10:M19" si="6">L10*21</f>
        <v>0</v>
      </c>
      <c r="N10" s="40">
        <f t="shared" si="2"/>
        <v>0</v>
      </c>
      <c r="P10" s="37">
        <v>2011</v>
      </c>
      <c r="Q10" s="38"/>
      <c r="R10" s="39">
        <f t="shared" ref="R10:R19" si="7">Q10*21</f>
        <v>0</v>
      </c>
      <c r="S10" s="40">
        <f t="shared" si="3"/>
        <v>0</v>
      </c>
    </row>
    <row r="11" spans="1:19" x14ac:dyDescent="0.25">
      <c r="A11" s="37">
        <v>2012</v>
      </c>
      <c r="B11" s="38"/>
      <c r="C11" s="39">
        <f t="shared" si="4"/>
        <v>0</v>
      </c>
      <c r="D11" s="40">
        <f t="shared" si="0"/>
        <v>0</v>
      </c>
      <c r="E11" s="70"/>
      <c r="F11" s="37">
        <v>2012</v>
      </c>
      <c r="G11" s="38"/>
      <c r="H11" s="39">
        <f t="shared" si="5"/>
        <v>0</v>
      </c>
      <c r="I11" s="40">
        <f t="shared" si="1"/>
        <v>0</v>
      </c>
      <c r="K11" s="37">
        <v>2012</v>
      </c>
      <c r="L11" s="38"/>
      <c r="M11" s="39">
        <f t="shared" si="6"/>
        <v>0</v>
      </c>
      <c r="N11" s="40">
        <f t="shared" si="2"/>
        <v>0</v>
      </c>
      <c r="P11" s="37">
        <v>2012</v>
      </c>
      <c r="Q11" s="38"/>
      <c r="R11" s="39">
        <f t="shared" si="7"/>
        <v>0</v>
      </c>
      <c r="S11" s="40">
        <f t="shared" si="3"/>
        <v>0</v>
      </c>
    </row>
    <row r="12" spans="1:19" x14ac:dyDescent="0.25">
      <c r="A12" s="37">
        <v>2013</v>
      </c>
      <c r="B12" s="38"/>
      <c r="C12" s="39">
        <f t="shared" si="4"/>
        <v>0</v>
      </c>
      <c r="D12" s="40">
        <f t="shared" si="0"/>
        <v>0</v>
      </c>
      <c r="E12" s="70"/>
      <c r="F12" s="37">
        <v>2013</v>
      </c>
      <c r="G12" s="38"/>
      <c r="H12" s="39">
        <f t="shared" si="5"/>
        <v>0</v>
      </c>
      <c r="I12" s="40">
        <f t="shared" si="1"/>
        <v>0</v>
      </c>
      <c r="K12" s="37">
        <v>2013</v>
      </c>
      <c r="L12" s="38"/>
      <c r="M12" s="39">
        <f t="shared" si="6"/>
        <v>0</v>
      </c>
      <c r="N12" s="40">
        <f t="shared" si="2"/>
        <v>0</v>
      </c>
      <c r="P12" s="37">
        <v>2013</v>
      </c>
      <c r="Q12" s="38"/>
      <c r="R12" s="39">
        <f t="shared" si="7"/>
        <v>0</v>
      </c>
      <c r="S12" s="40">
        <f t="shared" si="3"/>
        <v>0</v>
      </c>
    </row>
    <row r="13" spans="1:19" x14ac:dyDescent="0.25">
      <c r="A13" s="37">
        <v>2014</v>
      </c>
      <c r="B13" s="38"/>
      <c r="C13" s="39">
        <f t="shared" si="4"/>
        <v>0</v>
      </c>
      <c r="D13" s="40">
        <f t="shared" si="0"/>
        <v>0</v>
      </c>
      <c r="E13" s="70"/>
      <c r="F13" s="37">
        <v>2014</v>
      </c>
      <c r="G13" s="38"/>
      <c r="H13" s="39">
        <f t="shared" si="5"/>
        <v>0</v>
      </c>
      <c r="I13" s="40">
        <f t="shared" si="1"/>
        <v>0</v>
      </c>
      <c r="K13" s="37">
        <v>2014</v>
      </c>
      <c r="L13" s="38"/>
      <c r="M13" s="39">
        <f t="shared" si="6"/>
        <v>0</v>
      </c>
      <c r="N13" s="40">
        <f t="shared" si="2"/>
        <v>0</v>
      </c>
      <c r="P13" s="37">
        <v>2014</v>
      </c>
      <c r="Q13" s="38"/>
      <c r="R13" s="39">
        <f t="shared" si="7"/>
        <v>0</v>
      </c>
      <c r="S13" s="40">
        <f t="shared" si="3"/>
        <v>0</v>
      </c>
    </row>
    <row r="14" spans="1:19" x14ac:dyDescent="0.25">
      <c r="A14" s="37">
        <v>2015</v>
      </c>
      <c r="B14" s="38"/>
      <c r="C14" s="39">
        <f t="shared" si="4"/>
        <v>0</v>
      </c>
      <c r="D14" s="40">
        <f t="shared" si="0"/>
        <v>0</v>
      </c>
      <c r="E14" s="70"/>
      <c r="F14" s="37">
        <v>2015</v>
      </c>
      <c r="G14" s="38"/>
      <c r="H14" s="39">
        <f t="shared" si="5"/>
        <v>0</v>
      </c>
      <c r="I14" s="40">
        <f t="shared" si="1"/>
        <v>0</v>
      </c>
      <c r="K14" s="37">
        <v>2015</v>
      </c>
      <c r="L14" s="38"/>
      <c r="M14" s="39">
        <f t="shared" si="6"/>
        <v>0</v>
      </c>
      <c r="N14" s="40">
        <f t="shared" si="2"/>
        <v>0</v>
      </c>
      <c r="P14" s="37">
        <v>2015</v>
      </c>
      <c r="Q14" s="38"/>
      <c r="R14" s="39">
        <f t="shared" si="7"/>
        <v>0</v>
      </c>
      <c r="S14" s="40">
        <f t="shared" si="3"/>
        <v>0</v>
      </c>
    </row>
    <row r="15" spans="1:19" x14ac:dyDescent="0.25">
      <c r="A15" s="37">
        <v>2016</v>
      </c>
      <c r="B15" s="38"/>
      <c r="C15" s="39">
        <f t="shared" si="4"/>
        <v>0</v>
      </c>
      <c r="D15" s="40">
        <f t="shared" si="0"/>
        <v>0</v>
      </c>
      <c r="E15" s="70"/>
      <c r="F15" s="37">
        <v>2016</v>
      </c>
      <c r="G15" s="38"/>
      <c r="H15" s="39">
        <f t="shared" si="5"/>
        <v>0</v>
      </c>
      <c r="I15" s="40">
        <f t="shared" si="1"/>
        <v>0</v>
      </c>
      <c r="K15" s="37">
        <v>2016</v>
      </c>
      <c r="L15" s="38"/>
      <c r="M15" s="39">
        <f t="shared" si="6"/>
        <v>0</v>
      </c>
      <c r="N15" s="40">
        <f t="shared" si="2"/>
        <v>0</v>
      </c>
      <c r="P15" s="37">
        <v>2016</v>
      </c>
      <c r="Q15" s="38"/>
      <c r="R15" s="39">
        <f t="shared" si="7"/>
        <v>0</v>
      </c>
      <c r="S15" s="40">
        <f t="shared" si="3"/>
        <v>0</v>
      </c>
    </row>
    <row r="16" spans="1:19" x14ac:dyDescent="0.25">
      <c r="A16" s="37">
        <v>2017</v>
      </c>
      <c r="B16" s="38"/>
      <c r="C16" s="39">
        <f t="shared" si="4"/>
        <v>0</v>
      </c>
      <c r="D16" s="40">
        <f t="shared" si="0"/>
        <v>0</v>
      </c>
      <c r="E16" s="70"/>
      <c r="F16" s="37">
        <v>2017</v>
      </c>
      <c r="G16" s="38"/>
      <c r="H16" s="39">
        <f t="shared" si="5"/>
        <v>0</v>
      </c>
      <c r="I16" s="40">
        <f t="shared" si="1"/>
        <v>0</v>
      </c>
      <c r="K16" s="37">
        <v>2017</v>
      </c>
      <c r="L16" s="38"/>
      <c r="M16" s="39">
        <f t="shared" si="6"/>
        <v>0</v>
      </c>
      <c r="N16" s="40">
        <f t="shared" si="2"/>
        <v>0</v>
      </c>
      <c r="P16" s="37">
        <v>2017</v>
      </c>
      <c r="Q16" s="38"/>
      <c r="R16" s="39">
        <f t="shared" si="7"/>
        <v>0</v>
      </c>
      <c r="S16" s="40">
        <f t="shared" si="3"/>
        <v>0</v>
      </c>
    </row>
    <row r="17" spans="1:19" x14ac:dyDescent="0.25">
      <c r="A17" s="37">
        <v>2018</v>
      </c>
      <c r="B17" s="38"/>
      <c r="C17" s="39">
        <f t="shared" si="4"/>
        <v>0</v>
      </c>
      <c r="D17" s="40">
        <f t="shared" si="0"/>
        <v>0</v>
      </c>
      <c r="E17" s="70"/>
      <c r="F17" s="37">
        <v>2018</v>
      </c>
      <c r="G17" s="38"/>
      <c r="H17" s="39">
        <f t="shared" si="5"/>
        <v>0</v>
      </c>
      <c r="I17" s="40">
        <f t="shared" si="1"/>
        <v>0</v>
      </c>
      <c r="K17" s="37">
        <v>2018</v>
      </c>
      <c r="L17" s="38"/>
      <c r="M17" s="39">
        <f t="shared" si="6"/>
        <v>0</v>
      </c>
      <c r="N17" s="40">
        <f t="shared" si="2"/>
        <v>0</v>
      </c>
      <c r="P17" s="37">
        <v>2018</v>
      </c>
      <c r="Q17" s="38"/>
      <c r="R17" s="39">
        <f t="shared" si="7"/>
        <v>0</v>
      </c>
      <c r="S17" s="40">
        <f t="shared" si="3"/>
        <v>0</v>
      </c>
    </row>
    <row r="18" spans="1:19" x14ac:dyDescent="0.25">
      <c r="A18" s="37">
        <v>2019</v>
      </c>
      <c r="B18" s="38"/>
      <c r="C18" s="39">
        <f t="shared" si="4"/>
        <v>0</v>
      </c>
      <c r="D18" s="40">
        <f t="shared" si="0"/>
        <v>0</v>
      </c>
      <c r="E18" s="70"/>
      <c r="F18" s="37">
        <v>2019</v>
      </c>
      <c r="G18" s="38"/>
      <c r="H18" s="39">
        <f t="shared" si="5"/>
        <v>0</v>
      </c>
      <c r="I18" s="40">
        <f t="shared" si="1"/>
        <v>0</v>
      </c>
      <c r="K18" s="37">
        <v>2019</v>
      </c>
      <c r="L18" s="38"/>
      <c r="M18" s="39">
        <f t="shared" si="6"/>
        <v>0</v>
      </c>
      <c r="N18" s="40">
        <f t="shared" si="2"/>
        <v>0</v>
      </c>
      <c r="P18" s="37">
        <v>2019</v>
      </c>
      <c r="Q18" s="38"/>
      <c r="R18" s="39">
        <f t="shared" si="7"/>
        <v>0</v>
      </c>
      <c r="S18" s="40">
        <f t="shared" si="3"/>
        <v>0</v>
      </c>
    </row>
    <row r="19" spans="1:19" x14ac:dyDescent="0.25">
      <c r="A19" s="37">
        <v>2020</v>
      </c>
      <c r="B19" s="38"/>
      <c r="C19" s="39">
        <f t="shared" si="4"/>
        <v>0</v>
      </c>
      <c r="D19" s="40">
        <f t="shared" si="0"/>
        <v>0</v>
      </c>
      <c r="E19" s="70"/>
      <c r="F19" s="37">
        <v>2020</v>
      </c>
      <c r="G19" s="38"/>
      <c r="H19" s="39">
        <f t="shared" si="5"/>
        <v>0</v>
      </c>
      <c r="I19" s="40">
        <f t="shared" si="1"/>
        <v>0</v>
      </c>
      <c r="K19" s="37">
        <v>2020</v>
      </c>
      <c r="L19" s="38"/>
      <c r="M19" s="39">
        <f t="shared" si="6"/>
        <v>0</v>
      </c>
      <c r="N19" s="40">
        <f t="shared" si="2"/>
        <v>0</v>
      </c>
      <c r="P19" s="37">
        <v>2020</v>
      </c>
      <c r="Q19" s="38"/>
      <c r="R19" s="39">
        <f t="shared" si="7"/>
        <v>0</v>
      </c>
      <c r="S19" s="40">
        <f t="shared" si="3"/>
        <v>0</v>
      </c>
    </row>
    <row r="22" spans="1:19" ht="15.75" thickBot="1" x14ac:dyDescent="0.3">
      <c r="A22" s="73" t="s">
        <v>79</v>
      </c>
      <c r="K22" t="s">
        <v>119</v>
      </c>
      <c r="L22">
        <v>16000</v>
      </c>
    </row>
    <row r="23" spans="1:19" ht="15.75" thickBot="1" x14ac:dyDescent="0.3">
      <c r="A23" s="241" t="s">
        <v>10</v>
      </c>
      <c r="B23" s="243" t="s">
        <v>80</v>
      </c>
      <c r="C23" s="244"/>
      <c r="D23" s="244"/>
      <c r="E23" s="244"/>
      <c r="F23" s="245"/>
      <c r="K23" t="s">
        <v>120</v>
      </c>
      <c r="L23">
        <v>280</v>
      </c>
      <c r="M23" t="s">
        <v>122</v>
      </c>
    </row>
    <row r="24" spans="1:19" ht="15.75" thickBot="1" x14ac:dyDescent="0.3">
      <c r="A24" s="242"/>
      <c r="B24" s="243" t="s">
        <v>81</v>
      </c>
      <c r="C24" s="245"/>
      <c r="D24" s="243" t="s">
        <v>82</v>
      </c>
      <c r="E24" s="245"/>
      <c r="F24" s="246" t="s">
        <v>83</v>
      </c>
      <c r="K24" t="s">
        <v>121</v>
      </c>
      <c r="L24">
        <v>4800</v>
      </c>
      <c r="M24" t="s">
        <v>122</v>
      </c>
    </row>
    <row r="25" spans="1:19" x14ac:dyDescent="0.25">
      <c r="A25" s="242"/>
      <c r="B25" s="36" t="s">
        <v>84</v>
      </c>
      <c r="C25" s="36" t="s">
        <v>85</v>
      </c>
      <c r="D25" s="36" t="s">
        <v>86</v>
      </c>
      <c r="E25" s="36" t="s">
        <v>85</v>
      </c>
      <c r="F25" s="247"/>
    </row>
    <row r="26" spans="1:19" x14ac:dyDescent="0.25">
      <c r="A26" s="37">
        <v>2010</v>
      </c>
      <c r="B26" s="38"/>
      <c r="C26" s="39">
        <f>B26*21</f>
        <v>0</v>
      </c>
      <c r="D26" s="38"/>
      <c r="E26" s="39">
        <f>D26*310</f>
        <v>0</v>
      </c>
      <c r="F26" s="40">
        <f>E26+C26</f>
        <v>0</v>
      </c>
    </row>
    <row r="27" spans="1:19" x14ac:dyDescent="0.25">
      <c r="A27" s="37">
        <v>2011</v>
      </c>
      <c r="B27" s="38"/>
      <c r="C27" s="39">
        <f t="shared" ref="C27:C36" si="8">B27*21</f>
        <v>0</v>
      </c>
      <c r="D27" s="38"/>
      <c r="E27" s="39">
        <f t="shared" ref="E27:E36" si="9">D27*310</f>
        <v>0</v>
      </c>
      <c r="F27" s="40">
        <f t="shared" ref="F27:F36" si="10">E27+C27</f>
        <v>0</v>
      </c>
    </row>
    <row r="28" spans="1:19" x14ac:dyDescent="0.25">
      <c r="A28" s="37">
        <v>2012</v>
      </c>
      <c r="B28" s="38"/>
      <c r="C28" s="39">
        <f t="shared" si="8"/>
        <v>0</v>
      </c>
      <c r="D28" s="38"/>
      <c r="E28" s="39">
        <f t="shared" si="9"/>
        <v>0</v>
      </c>
      <c r="F28" s="40">
        <f t="shared" si="10"/>
        <v>0</v>
      </c>
    </row>
    <row r="29" spans="1:19" x14ac:dyDescent="0.25">
      <c r="A29" s="37">
        <v>2013</v>
      </c>
      <c r="B29" s="38"/>
      <c r="C29" s="39">
        <f t="shared" si="8"/>
        <v>0</v>
      </c>
      <c r="D29" s="38"/>
      <c r="E29" s="39">
        <f t="shared" si="9"/>
        <v>0</v>
      </c>
      <c r="F29" s="40">
        <f t="shared" si="10"/>
        <v>0</v>
      </c>
    </row>
    <row r="30" spans="1:19" x14ac:dyDescent="0.25">
      <c r="A30" s="37">
        <v>2014</v>
      </c>
      <c r="B30" s="38"/>
      <c r="C30" s="39">
        <f t="shared" si="8"/>
        <v>0</v>
      </c>
      <c r="D30" s="38"/>
      <c r="E30" s="39">
        <f t="shared" si="9"/>
        <v>0</v>
      </c>
      <c r="F30" s="40">
        <f t="shared" si="10"/>
        <v>0</v>
      </c>
    </row>
    <row r="31" spans="1:19" x14ac:dyDescent="0.25">
      <c r="A31" s="37">
        <v>2015</v>
      </c>
      <c r="B31" s="38"/>
      <c r="C31" s="39">
        <f t="shared" si="8"/>
        <v>0</v>
      </c>
      <c r="D31" s="38"/>
      <c r="E31" s="39">
        <f t="shared" si="9"/>
        <v>0</v>
      </c>
      <c r="F31" s="40">
        <f t="shared" si="10"/>
        <v>0</v>
      </c>
    </row>
    <row r="32" spans="1:19" x14ac:dyDescent="0.25">
      <c r="A32" s="37">
        <v>2016</v>
      </c>
      <c r="B32" s="38"/>
      <c r="C32" s="39">
        <f t="shared" si="8"/>
        <v>0</v>
      </c>
      <c r="D32" s="38"/>
      <c r="E32" s="39">
        <f t="shared" si="9"/>
        <v>0</v>
      </c>
      <c r="F32" s="40">
        <f t="shared" si="10"/>
        <v>0</v>
      </c>
    </row>
    <row r="33" spans="1:6" x14ac:dyDescent="0.25">
      <c r="A33" s="37">
        <v>2017</v>
      </c>
      <c r="B33" s="38"/>
      <c r="C33" s="39">
        <f t="shared" si="8"/>
        <v>0</v>
      </c>
      <c r="D33" s="38"/>
      <c r="E33" s="39">
        <f t="shared" si="9"/>
        <v>0</v>
      </c>
      <c r="F33" s="40">
        <f t="shared" si="10"/>
        <v>0</v>
      </c>
    </row>
    <row r="34" spans="1:6" x14ac:dyDescent="0.25">
      <c r="A34" s="37">
        <v>2018</v>
      </c>
      <c r="B34" s="38"/>
      <c r="C34" s="39">
        <f t="shared" si="8"/>
        <v>0</v>
      </c>
      <c r="D34" s="38"/>
      <c r="E34" s="39">
        <f t="shared" si="9"/>
        <v>0</v>
      </c>
      <c r="F34" s="40">
        <f t="shared" si="10"/>
        <v>0</v>
      </c>
    </row>
    <row r="35" spans="1:6" x14ac:dyDescent="0.25">
      <c r="A35" s="37">
        <v>2019</v>
      </c>
      <c r="B35" s="38"/>
      <c r="C35" s="39">
        <f t="shared" si="8"/>
        <v>0</v>
      </c>
      <c r="D35" s="38"/>
      <c r="E35" s="39">
        <f t="shared" si="9"/>
        <v>0</v>
      </c>
      <c r="F35" s="40">
        <f t="shared" si="10"/>
        <v>0</v>
      </c>
    </row>
    <row r="36" spans="1:6" x14ac:dyDescent="0.25">
      <c r="A36" s="37">
        <v>2020</v>
      </c>
      <c r="B36" s="38"/>
      <c r="C36" s="39">
        <f t="shared" si="8"/>
        <v>0</v>
      </c>
      <c r="D36" s="38"/>
      <c r="E36" s="39">
        <f t="shared" si="9"/>
        <v>0</v>
      </c>
      <c r="F36" s="40">
        <f t="shared" si="10"/>
        <v>0</v>
      </c>
    </row>
    <row r="39" spans="1:6" ht="15.75" thickBot="1" x14ac:dyDescent="0.3">
      <c r="A39" s="41" t="s">
        <v>87</v>
      </c>
    </row>
    <row r="40" spans="1:6" ht="15.75" thickBot="1" x14ac:dyDescent="0.3">
      <c r="A40" s="248" t="s">
        <v>10</v>
      </c>
      <c r="B40" s="42" t="s">
        <v>88</v>
      </c>
      <c r="C40" s="43"/>
      <c r="D40" s="43"/>
      <c r="E40" s="43"/>
      <c r="F40" s="43"/>
    </row>
    <row r="41" spans="1:6" ht="15.75" thickBot="1" x14ac:dyDescent="0.3">
      <c r="A41" s="249"/>
      <c r="B41" s="42" t="s">
        <v>81</v>
      </c>
      <c r="C41" s="44"/>
      <c r="D41" s="42" t="s">
        <v>82</v>
      </c>
      <c r="E41" s="44"/>
      <c r="F41" s="45" t="s">
        <v>89</v>
      </c>
    </row>
    <row r="42" spans="1:6" x14ac:dyDescent="0.25">
      <c r="A42" s="249"/>
      <c r="B42" s="46" t="s">
        <v>84</v>
      </c>
      <c r="C42" s="46" t="s">
        <v>85</v>
      </c>
      <c r="D42" s="46" t="s">
        <v>86</v>
      </c>
      <c r="E42" s="46" t="s">
        <v>85</v>
      </c>
      <c r="F42" s="46" t="s">
        <v>90</v>
      </c>
    </row>
    <row r="43" spans="1:6" x14ac:dyDescent="0.25">
      <c r="A43" s="37">
        <v>2010</v>
      </c>
      <c r="B43" s="47"/>
      <c r="C43" s="39">
        <f>B43*21</f>
        <v>0</v>
      </c>
      <c r="D43" s="47"/>
      <c r="E43" s="39">
        <f>D43*310</f>
        <v>0</v>
      </c>
      <c r="F43" s="48">
        <f>'[6]4C2_CO2_OpenBurning'!M14</f>
        <v>0.54054503307426582</v>
      </c>
    </row>
    <row r="44" spans="1:6" x14ac:dyDescent="0.25">
      <c r="A44" s="37">
        <v>2011</v>
      </c>
      <c r="B44" s="47"/>
      <c r="C44" s="39">
        <f t="shared" ref="C44:C53" si="11">B44*21</f>
        <v>0</v>
      </c>
      <c r="D44" s="47"/>
      <c r="E44" s="39">
        <f t="shared" ref="E44:E53" si="12">D44*310</f>
        <v>0</v>
      </c>
      <c r="F44" s="48">
        <f>'[6]4C2_CO2_OpenBurning'!M15</f>
        <v>0.55356535905087767</v>
      </c>
    </row>
    <row r="45" spans="1:6" x14ac:dyDescent="0.25">
      <c r="A45" s="37">
        <v>2012</v>
      </c>
      <c r="B45" s="47"/>
      <c r="C45" s="39">
        <f t="shared" si="11"/>
        <v>0</v>
      </c>
      <c r="D45" s="47"/>
      <c r="E45" s="39">
        <f t="shared" si="12"/>
        <v>0</v>
      </c>
      <c r="F45" s="48">
        <f>'[6]4C2_CO2_OpenBurning'!M16</f>
        <v>0.56725884473784494</v>
      </c>
    </row>
    <row r="46" spans="1:6" x14ac:dyDescent="0.25">
      <c r="A46" s="37">
        <v>2013</v>
      </c>
      <c r="B46" s="47"/>
      <c r="C46" s="39">
        <f t="shared" si="11"/>
        <v>0</v>
      </c>
      <c r="D46" s="47"/>
      <c r="E46" s="39">
        <f t="shared" si="12"/>
        <v>0</v>
      </c>
      <c r="F46" s="48">
        <f>'[6]4C2_CO2_OpenBurning'!M17</f>
        <v>0.58082389863796802</v>
      </c>
    </row>
    <row r="47" spans="1:6" x14ac:dyDescent="0.25">
      <c r="A47" s="37">
        <v>2014</v>
      </c>
      <c r="B47" s="47"/>
      <c r="C47" s="39">
        <f t="shared" si="11"/>
        <v>0</v>
      </c>
      <c r="D47" s="47"/>
      <c r="E47" s="39">
        <f t="shared" si="12"/>
        <v>0</v>
      </c>
      <c r="F47" s="48">
        <f>'[6]4C2_CO2_OpenBurning'!M18</f>
        <v>0.59402137190677862</v>
      </c>
    </row>
    <row r="48" spans="1:6" x14ac:dyDescent="0.25">
      <c r="A48" s="37">
        <v>2015</v>
      </c>
      <c r="B48" s="47"/>
      <c r="C48" s="39">
        <f t="shared" si="11"/>
        <v>0</v>
      </c>
      <c r="D48" s="47"/>
      <c r="E48" s="39">
        <f t="shared" si="12"/>
        <v>0</v>
      </c>
      <c r="F48" s="48">
        <f>'[6]4C2_CO2_OpenBurning'!M19</f>
        <v>0.61281005658561372</v>
      </c>
    </row>
    <row r="49" spans="1:6" x14ac:dyDescent="0.25">
      <c r="A49" s="37">
        <v>2016</v>
      </c>
      <c r="B49" s="47"/>
      <c r="C49" s="39">
        <f t="shared" si="11"/>
        <v>0</v>
      </c>
      <c r="D49" s="47"/>
      <c r="E49" s="39">
        <f t="shared" si="12"/>
        <v>0</v>
      </c>
      <c r="F49" s="48">
        <f>'[6]4C2_CO2_OpenBurning'!M20</f>
        <v>0.63095215364792334</v>
      </c>
    </row>
    <row r="50" spans="1:6" x14ac:dyDescent="0.25">
      <c r="A50" s="37">
        <v>2017</v>
      </c>
      <c r="B50" s="47"/>
      <c r="C50" s="39">
        <f t="shared" si="11"/>
        <v>0</v>
      </c>
      <c r="D50" s="47"/>
      <c r="E50" s="39">
        <f t="shared" si="12"/>
        <v>0</v>
      </c>
      <c r="F50" s="48">
        <f>'[6]4C2_CO2_OpenBurning'!M21</f>
        <v>0.64909425071023319</v>
      </c>
    </row>
    <row r="51" spans="1:6" x14ac:dyDescent="0.25">
      <c r="A51" s="37">
        <v>2018</v>
      </c>
      <c r="B51" s="47"/>
      <c r="C51" s="39">
        <f t="shared" si="11"/>
        <v>0</v>
      </c>
      <c r="D51" s="47"/>
      <c r="E51" s="39">
        <f t="shared" si="12"/>
        <v>0</v>
      </c>
      <c r="F51" s="48">
        <f>'[6]4C2_CO2_OpenBurning'!M22</f>
        <v>0.66723634777254259</v>
      </c>
    </row>
    <row r="52" spans="1:6" x14ac:dyDescent="0.25">
      <c r="A52" s="37">
        <v>2019</v>
      </c>
      <c r="B52" s="47"/>
      <c r="C52" s="39">
        <f t="shared" si="11"/>
        <v>0</v>
      </c>
      <c r="D52" s="47"/>
      <c r="E52" s="39">
        <f t="shared" si="12"/>
        <v>0</v>
      </c>
      <c r="F52" s="48">
        <f>'[6]4C2_CO2_OpenBurning'!M23</f>
        <v>0.68537844483485211</v>
      </c>
    </row>
    <row r="53" spans="1:6" x14ac:dyDescent="0.25">
      <c r="A53" s="37">
        <v>2020</v>
      </c>
      <c r="B53" s="47"/>
      <c r="C53" s="39">
        <f t="shared" si="11"/>
        <v>0</v>
      </c>
      <c r="D53" s="47"/>
      <c r="E53" s="39">
        <f t="shared" si="12"/>
        <v>0</v>
      </c>
      <c r="F53" s="48">
        <f>'[6]4C2_CO2_OpenBurning'!M24</f>
        <v>0.70352054189716196</v>
      </c>
    </row>
    <row r="56" spans="1:6" x14ac:dyDescent="0.25">
      <c r="A56" s="49"/>
      <c r="B56" s="50"/>
      <c r="C56" s="51"/>
      <c r="D56" s="50"/>
      <c r="E56" s="51"/>
      <c r="F56" s="51"/>
    </row>
    <row r="57" spans="1:6" ht="15.75" thickBot="1" x14ac:dyDescent="0.3">
      <c r="A57" s="52" t="s">
        <v>91</v>
      </c>
      <c r="B57" s="51"/>
      <c r="C57" s="50"/>
      <c r="D57" s="51"/>
    </row>
    <row r="58" spans="1:6" ht="15.75" thickBot="1" x14ac:dyDescent="0.3">
      <c r="A58" s="235" t="s">
        <v>10</v>
      </c>
      <c r="B58" s="237" t="s">
        <v>92</v>
      </c>
      <c r="C58" s="238"/>
      <c r="D58" s="53" t="s">
        <v>93</v>
      </c>
      <c r="E58" s="54"/>
      <c r="F58" s="55" t="s">
        <v>94</v>
      </c>
    </row>
    <row r="59" spans="1:6" ht="63.75" thickBot="1" x14ac:dyDescent="0.3">
      <c r="A59" s="236"/>
      <c r="B59" s="56" t="s">
        <v>95</v>
      </c>
      <c r="C59" s="56" t="s">
        <v>96</v>
      </c>
      <c r="D59" s="57" t="s">
        <v>97</v>
      </c>
      <c r="E59" s="57" t="s">
        <v>98</v>
      </c>
      <c r="F59" s="58" t="s">
        <v>99</v>
      </c>
    </row>
    <row r="60" spans="1:6" ht="15.75" thickBot="1" x14ac:dyDescent="0.3">
      <c r="A60" s="236"/>
      <c r="B60" s="239" t="s">
        <v>100</v>
      </c>
      <c r="C60" s="59" t="s">
        <v>101</v>
      </c>
      <c r="D60" s="60" t="s">
        <v>102</v>
      </c>
      <c r="E60" s="61" t="s">
        <v>103</v>
      </c>
      <c r="F60" s="62" t="s">
        <v>104</v>
      </c>
    </row>
    <row r="61" spans="1:6" ht="26.25" x14ac:dyDescent="0.25">
      <c r="A61" s="236"/>
      <c r="B61" s="240"/>
      <c r="C61" s="63" t="s">
        <v>105</v>
      </c>
      <c r="D61" s="64"/>
      <c r="E61" s="65" t="s">
        <v>106</v>
      </c>
      <c r="F61" s="66" t="s">
        <v>107</v>
      </c>
    </row>
    <row r="62" spans="1:6" x14ac:dyDescent="0.25">
      <c r="A62" s="37">
        <v>2010</v>
      </c>
      <c r="B62" s="48"/>
      <c r="C62" s="39">
        <f>B62*21</f>
        <v>0</v>
      </c>
      <c r="D62" s="67"/>
      <c r="E62" s="39">
        <f>D62*310</f>
        <v>0</v>
      </c>
      <c r="F62" s="68">
        <f>C62+E62</f>
        <v>0</v>
      </c>
    </row>
    <row r="63" spans="1:6" x14ac:dyDescent="0.25">
      <c r="A63" s="37">
        <v>2011</v>
      </c>
      <c r="B63" s="48"/>
      <c r="C63" s="39">
        <f t="shared" ref="C63:C72" si="13">B63*21</f>
        <v>0</v>
      </c>
      <c r="D63" s="67"/>
      <c r="E63" s="39">
        <f t="shared" ref="E63:E72" si="14">D63*310</f>
        <v>0</v>
      </c>
      <c r="F63" s="68">
        <f t="shared" ref="F63:F72" si="15">C63+E63</f>
        <v>0</v>
      </c>
    </row>
    <row r="64" spans="1:6" x14ac:dyDescent="0.25">
      <c r="A64" s="37">
        <v>2012</v>
      </c>
      <c r="B64" s="48"/>
      <c r="C64" s="39">
        <f t="shared" si="13"/>
        <v>0</v>
      </c>
      <c r="D64" s="67"/>
      <c r="E64" s="39">
        <f t="shared" si="14"/>
        <v>0</v>
      </c>
      <c r="F64" s="68">
        <f t="shared" si="15"/>
        <v>0</v>
      </c>
    </row>
    <row r="65" spans="1:6" x14ac:dyDescent="0.25">
      <c r="A65" s="37">
        <v>2013</v>
      </c>
      <c r="B65" s="48"/>
      <c r="C65" s="39">
        <f t="shared" si="13"/>
        <v>0</v>
      </c>
      <c r="D65" s="67"/>
      <c r="E65" s="39">
        <f t="shared" si="14"/>
        <v>0</v>
      </c>
      <c r="F65" s="68">
        <f t="shared" si="15"/>
        <v>0</v>
      </c>
    </row>
    <row r="66" spans="1:6" x14ac:dyDescent="0.25">
      <c r="A66" s="37">
        <v>2014</v>
      </c>
      <c r="B66" s="48"/>
      <c r="C66" s="39">
        <f t="shared" si="13"/>
        <v>0</v>
      </c>
      <c r="D66" s="67"/>
      <c r="E66" s="39">
        <f t="shared" si="14"/>
        <v>0</v>
      </c>
      <c r="F66" s="68">
        <f t="shared" si="15"/>
        <v>0</v>
      </c>
    </row>
    <row r="67" spans="1:6" x14ac:dyDescent="0.25">
      <c r="A67" s="37">
        <v>2015</v>
      </c>
      <c r="B67" s="48"/>
      <c r="C67" s="39">
        <f t="shared" si="13"/>
        <v>0</v>
      </c>
      <c r="D67" s="67"/>
      <c r="E67" s="39">
        <f t="shared" si="14"/>
        <v>0</v>
      </c>
      <c r="F67" s="68">
        <f t="shared" si="15"/>
        <v>0</v>
      </c>
    </row>
    <row r="68" spans="1:6" x14ac:dyDescent="0.25">
      <c r="A68" s="37">
        <v>2016</v>
      </c>
      <c r="B68" s="48"/>
      <c r="C68" s="39">
        <f t="shared" si="13"/>
        <v>0</v>
      </c>
      <c r="D68" s="67"/>
      <c r="E68" s="39">
        <f t="shared" si="14"/>
        <v>0</v>
      </c>
      <c r="F68" s="68">
        <f t="shared" si="15"/>
        <v>0</v>
      </c>
    </row>
    <row r="69" spans="1:6" x14ac:dyDescent="0.25">
      <c r="A69" s="37">
        <v>2017</v>
      </c>
      <c r="B69" s="48"/>
      <c r="C69" s="39">
        <f t="shared" si="13"/>
        <v>0</v>
      </c>
      <c r="D69" s="67"/>
      <c r="E69" s="39">
        <f t="shared" si="14"/>
        <v>0</v>
      </c>
      <c r="F69" s="68">
        <f t="shared" si="15"/>
        <v>0</v>
      </c>
    </row>
    <row r="70" spans="1:6" x14ac:dyDescent="0.25">
      <c r="A70" s="37">
        <v>2018</v>
      </c>
      <c r="B70" s="48"/>
      <c r="C70" s="39">
        <f t="shared" si="13"/>
        <v>0</v>
      </c>
      <c r="D70" s="67"/>
      <c r="E70" s="39">
        <f t="shared" si="14"/>
        <v>0</v>
      </c>
      <c r="F70" s="68">
        <f t="shared" si="15"/>
        <v>0</v>
      </c>
    </row>
    <row r="71" spans="1:6" x14ac:dyDescent="0.25">
      <c r="A71" s="37">
        <v>2019</v>
      </c>
      <c r="B71" s="48"/>
      <c r="C71" s="39">
        <f t="shared" si="13"/>
        <v>0</v>
      </c>
      <c r="D71" s="67"/>
      <c r="E71" s="39">
        <f t="shared" si="14"/>
        <v>0</v>
      </c>
      <c r="F71" s="68">
        <f t="shared" si="15"/>
        <v>0</v>
      </c>
    </row>
    <row r="72" spans="1:6" x14ac:dyDescent="0.25">
      <c r="A72" s="37">
        <v>2020</v>
      </c>
      <c r="B72" s="48"/>
      <c r="C72" s="39">
        <f t="shared" si="13"/>
        <v>0</v>
      </c>
      <c r="D72" s="67"/>
      <c r="E72" s="39">
        <f t="shared" si="14"/>
        <v>0</v>
      </c>
      <c r="F72" s="68">
        <f t="shared" si="15"/>
        <v>0</v>
      </c>
    </row>
  </sheetData>
  <mergeCells count="25">
    <mergeCell ref="A58:A61"/>
    <mergeCell ref="B58:C58"/>
    <mergeCell ref="B60:B61"/>
    <mergeCell ref="A23:A25"/>
    <mergeCell ref="B23:F23"/>
    <mergeCell ref="B24:C24"/>
    <mergeCell ref="D24:E24"/>
    <mergeCell ref="F24:F25"/>
    <mergeCell ref="A40:A42"/>
    <mergeCell ref="P6:P8"/>
    <mergeCell ref="Q6:S6"/>
    <mergeCell ref="B7:C7"/>
    <mergeCell ref="D7:D8"/>
    <mergeCell ref="G7:H7"/>
    <mergeCell ref="I7:I8"/>
    <mergeCell ref="L7:M7"/>
    <mergeCell ref="N7:N8"/>
    <mergeCell ref="Q7:R7"/>
    <mergeCell ref="S7:S8"/>
    <mergeCell ref="L6:N6"/>
    <mergeCell ref="A6:A8"/>
    <mergeCell ref="B6:D6"/>
    <mergeCell ref="F6:F8"/>
    <mergeCell ref="G6:I6"/>
    <mergeCell ref="K6:K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timbulan sampah</vt:lpstr>
      <vt:lpstr>Fraksi pengelolaan sampah BaU</vt:lpstr>
      <vt:lpstr>Rekapitulasi BaU Emisi GRK</vt:lpstr>
      <vt:lpstr>Rekap BAU Emisi Industri Sawitt</vt:lpstr>
      <vt:lpstr>Frksi pengelolaan smph Mitigasi</vt:lpstr>
      <vt:lpstr>Rekaptlasi Mitigasi Emisi GRK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GIGABYTE</dc:creator>
  <cp:lastModifiedBy>Iwied</cp:lastModifiedBy>
  <dcterms:created xsi:type="dcterms:W3CDTF">2015-08-21T01:15:24Z</dcterms:created>
  <dcterms:modified xsi:type="dcterms:W3CDTF">2017-09-27T07:23:17Z</dcterms:modified>
</cp:coreProperties>
</file>