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2"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L130" i="12" l="1"/>
  <c r="L84" i="14" s="1"/>
  <c r="E117" i="12"/>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<sst xmlns="http://schemas.openxmlformats.org/spreadsheetml/2006/main" count="2461" uniqueCount="519">
  <si>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</si>
  <si>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</si>
  <si>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</si>
  <si>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</si>
  <si>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</si>
  <si>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</si>
  <si>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</si>
  <si>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</si>
  <si>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</si>
  <si>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</si>
  <si>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</si>
  <si>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</si>
  <si>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</si>
  <si>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</si>
  <si>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</si>
  <si>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</si>
  <si>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</si>
  <si>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</si>
  <si>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</si>
  <si>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</si>
  <si>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</si>
  <si>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</si>
  <si>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</si>
  <si>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</si>
  <si>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</si>
  <si>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</si>
  <si>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</si>
  <si>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</si>
  <si>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</si>
  <si>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</si>
  <si>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</si>
  <si>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</si>
  <si>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</si>
  <si>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</si>
  <si>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</si>
  <si>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</si>
  <si>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</si>
  <si>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</si>
  <si>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</si>
  <si>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</si>
  <si>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</si>
  <si>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</si>
  <si>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</si>
  <si>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</si>
  <si>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</si>
  <si>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</si>
  <si>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</si>
  <si>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</si>
  <si>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</si>
  <si>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</si>
  <si>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</si>
  <si>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</si>
  <si>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</si>
  <si>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</si>
  <si>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</si>
  <si>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</si>
  <si>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</si>
  <si>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</si>
  <si>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</si>
  <si>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</si>
  <si>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</si>
  <si>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</si>
  <si>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</si>
  <si>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</si>
  <si>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</si>
  <si>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</si>
  <si>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</si>
  <si>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</si>
  <si>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</si>
  <si>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</si>
  <si>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</si>
  <si>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</si>
  <si>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</si>
  <si>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</si>
  <si>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</si>
  <si>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</si>
  <si>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</si>
  <si>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</si>
  <si>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</si>
  <si>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</si>
  <si>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</si>
  <si>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</si>
  <si>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</si>
  <si>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</si>
  <si>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</si>
  <si>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</si>
  <si>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</si>
  <si>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</si>
  <si>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</si>
  <si>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</si>
  <si>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</si>
  <si>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</si>
  <si>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</si>
  <si>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</si>
  <si>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</si>
  <si>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</si>
  <si>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</si>
  <si>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</si>
  <si>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</si>
  <si>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</si>
  <si>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</si>
  <si>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</si>
  <si>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</si>
  <si>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</si>
  <si>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</si>
  <si>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</si>
  <si>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</si>
  <si>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</si>
  <si>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</si>
  <si>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</si>
  <si>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</si>
  <si>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</si>
  <si>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</si>
  <si>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</si>
  <si>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</si>
  <si>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</si>
  <si>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</si>
  <si>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</si>
  <si>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</si>
  <si>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</si>
  <si>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</si>
  <si>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</si>
  <si>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</si>
  <si>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</si>
  <si>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</si>
  <si>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</si>
  <si>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</si>
  <si>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</si>
  <si>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</si>
  <si>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</si>
  <si>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</si>
  <si>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</si>
  <si>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</si>
  <si>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</si>
  <si>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</si>
  <si>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</si>
  <si>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</si>
  <si>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</si>
  <si>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</si>
  <si>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</si>
  <si>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</si>
  <si>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</si>
  <si>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</si>
  <si>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</si>
  <si>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</si>
  <si>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</si>
  <si>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</si>
  <si>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</si>
  <si>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</si>
  <si>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</si>
  <si>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</si>
  <si>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</si>
  <si>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</si>
  <si>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</si>
  <si>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</si>
  <si>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</si>
  <si>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</si>
  <si>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</si>
  <si>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</si>
  <si>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</si>
  <si>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</si>
  <si>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</si>
  <si>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</si>
  <si>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</si>
  <si>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</si>
  <si>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</si>
  <si>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</si>
  <si>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</si>
  <si>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</si>
  <si>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</si>
  <si>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</si>
  <si>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</si>
  <si>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</si>
  <si>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</si>
  <si>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</si>
  <si>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</si>
  <si>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</si>
  <si>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</si>
  <si>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</si>
  <si>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</si>
  <si>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</si>
  <si>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</si>
  <si>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</si>
  <si>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</si>
  <si>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</si>
  <si>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</si>
  <si>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</si>
  <si>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</si>
  <si>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</si>
  <si>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</si>
  <si>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</si>
  <si>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</si>
  <si>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</si>
  <si>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</si>
  <si>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</si>
  <si>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</si>
  <si>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</si>
  <si>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</si>
  <si>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</si>
  <si>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</si>
  <si>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</si>
  <si>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</si>
  <si>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</si>
  <si>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</si>
  <si>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</si>
  <si>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</si>
  <si>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</si>
  <si>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</si>
  <si>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</si>
  <si>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</si>
  <si>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</si>
  <si>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</si>
  <si>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</si>
  <si>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</si>
  <si>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</si>
  <si>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</si>
  <si>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</si>
  <si>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</si>
  <si>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</si>
  <si>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</si>
  <si>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</si>
  <si>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</si>
  <si>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</si>
  <si>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</si>
  <si>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</si>
  <si>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</si>
  <si>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</si>
  <si>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</si>
  <si>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</si>
  <si>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</si>
  <si>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</si>
  <si>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</si>
  <si>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</si>
  <si>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</si>
  <si>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</si>
  <si>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</si>
  <si>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</si>
  <si>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</si>
  <si>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</si>
  <si>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</si>
  <si>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</si>
  <si>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</si>
  <si>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</si>
  <si>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</si>
  <si>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</si>
  <si>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</si>
  <si>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</si>
  <si>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</si>
  <si>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</si>
  <si>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</si>
  <si>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</si>
  <si>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</si>
  <si>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</si>
  <si>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</si>
  <si>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</si>
  <si>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</si>
  <si>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</si>
  <si>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</si>
  <si>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</si>
  <si>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</si>
  <si>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</si>
  <si>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</si>
  <si>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</si>
  <si>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</si>
  <si>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</si>
  <si>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</si>
  <si>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</si>
  <si>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</si>
  <si>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</si>
  <si>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</si>
  <si>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</si>
  <si>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</si>
  <si>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</si>
  <si>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</si>
  <si>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</si>
  <si>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</si>
  <si>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</si>
  <si>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</si>
  <si>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</si>
  <si>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</si>
  <si>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</si>
  <si>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</si>
  <si>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</si>
  <si>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</si>
  <si>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</si>
  <si>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</si>
  <si>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</si>
  <si>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</si>
  <si>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</si>
  <si>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</si>
  <si>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</si>
  <si>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</si>
  <si>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</si>
  <si>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</si>
  <si>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</si>
  <si>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</si>
  <si>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</si>
  <si>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</si>
  <si>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</si>
  <si>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</si>
  <si>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</si>
  <si>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</si>
  <si>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</si>
  <si>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</si>
  <si>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</si>
  <si>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</si>
  <si>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</si>
  <si>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</si>
  <si>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</si>
  <si>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</si>
  <si>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</si>
  <si>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</si>
  <si>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</si>
  <si>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</si>
  <si>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</si>
  <si>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</si>
  <si>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</si>
  <si>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</si>
  <si>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</si>
  <si>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</si>
  <si>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</si>
  <si>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</si>
  <si>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</si>
  <si>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</si>
  <si>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</si>
  <si>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</si>
  <si>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</si>
  <si>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</si>
  <si>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</si>
  <si>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</si>
  <si>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</si>
  <si>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</si>
  <si>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</si>
  <si>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</si>
  <si>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</si>
  <si>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</si>
  <si>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</si>
  <si>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</si>
  <si>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</si>
  <si>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</si>
  <si>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</si>
  <si>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</si>
  <si>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</si>
  <si>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</si>
  <si>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</si>
  <si>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</si>
  <si>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</si>
  <si>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</si>
  <si>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</si>
  <si>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</si>
  <si>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</si>
  <si>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</si>
  <si>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</si>
  <si>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</si>
  <si>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</si>
  <si>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</si>
  <si>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</si>
  <si>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</si>
  <si>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</si>
  <si>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</si>
  <si>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</si>
  <si>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</si>
  <si>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</si>
  <si>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</si>
  <si>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</si>
  <si>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</si>
  <si>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</si>
  <si>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</si>
  <si>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</si>
  <si>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</si>
  <si>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</si>
  <si>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</si>
  <si>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</si>
  <si>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</si>
  <si>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</si>
  <si>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</si>
  <si>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</si>
  <si>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</si>
  <si>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</si>
  <si>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</si>
  <si>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</si>
  <si>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</si>
  <si>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</si>
  <si>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</si>
  <si>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</si>
  <si>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</si>
  <si>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</si>
  <si>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</si>
  <si>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</si>
  <si>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</si>
  <si>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</si>
  <si>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</si>
  <si>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</si>
  <si>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</si>
  <si>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</si>
  <si>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</si>
  <si>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</si>
  <si>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</si>
  <si>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</si>
  <si>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</si>
  <si>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</si>
  <si>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</si>
  <si>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</si>
  <si>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</si>
  <si>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</si>
  <si>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</si>
  <si>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</si>
  <si>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</si>
  <si>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</si>
  <si>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</si>
  <si>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</si>
  <si>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</si>
  <si>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</si>
  <si>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</si>
  <si>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</si>
  <si>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</si>
  <si>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</si>
  <si>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</si>
  <si>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</si>
  <si>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</si>
  <si>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</si>
  <si>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</si>
  <si>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</si>
  <si>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</si>
  <si>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</si>
  <si>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</si>
  <si>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</si>
  <si>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</si>
  <si>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</si>
  <si>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</si>
  <si>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</si>
  <si>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</si>
  <si>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</si>
  <si>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</si>
  <si>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</si>
  <si>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</si>
  <si>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</si>
  <si>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</si>
  <si>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</si>
  <si>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</si>
  <si>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</si>
  <si>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</si>
  <si>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</si>
  <si>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</si>
  <si>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</si>
  <si>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</si>
  <si>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</si>
  <si>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</si>
  <si>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</si>
  <si>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</si>
  <si>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</si>
  <si>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</si>
  <si>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</si>
  <si>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</si>
  <si>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</si>
  <si>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</si>
  <si>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</si>
  <si>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</si>
  <si>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</si>
  <si>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</si>
  <si>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</si>
  <si>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</si>
  <si>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</si>
  <si>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</si>
  <si>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</si>
  <si>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</si>
  <si>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</si>
  <si>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</si>
  <si>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</si>
  <si>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</si>
  <si>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</si>
  <si>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</si>
  <si>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</si>
  <si>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</si>
  <si>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</si>
  <si>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</si>
  <si>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</si>
  <si>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</si>
  <si>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</si>
  <si>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</si>
  <si>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</si>
  <si>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</si>
  <si>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</si>
  <si>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</si>
  <si>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</si>
  <si>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</si>
  <si>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</si>
  <si>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</si>
  <si>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</si>
  <si>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</si>
  <si>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</si>
  <si>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</si>
  <si>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</si>
  <si>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</si>
  <si>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</si>
  <si>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</si>
  <si>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</si>
  <si>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</si>
  <si>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</si>
  <si>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</si>
  <si>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</si>
  <si>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</si>
  <si>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</si>
  <si>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</si>
  <si>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</si>
  <si>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</si>
  <si>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</si>
  <si>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</si>
  <si>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</si>
  <si>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</si>
  <si>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</si>
  <si>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</si>
  <si>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</si>
  <si>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</si>
  <si>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</si>
  <si>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</si>
  <si>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</si>
  <si>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PENAJAM PASER UTARA</t>
  </si>
  <si>
    <t>Data populasi ternak PENAJAM PASER UTARA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</si>
</sst>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7"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0"/>
      <color rgb="FF000000"/>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6">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6" fontId="38" fillId="6" borderId="17" xfId="1" applyNumberFormat="1" applyFont="1" applyFill="1" applyBorder="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167" fontId="26" fillId="10" borderId="24" xfId="2" applyNumberFormat="1" applyFont="1" applyFill="1" applyBorder="1" applyAlignment="1">
      <alignment horizontal="right"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17"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8" borderId="21" xfId="5" applyFont="1" applyFill="1" applyBorder="1" applyAlignment="1">
      <alignment vertical="center" wrapText="1"/>
    </xf>
    <xf numFmtId="0" fontId="26" fillId="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165" fontId="26" fillId="6" borderId="17" xfId="1" applyFont="1" applyFill="1" applyBorder="1"/>
    <xf numFmtId="0" fontId="26" fillId="6" borderId="17" xfId="5" applyFont="1" applyFill="1" applyBorder="1"/>
    <xf numFmtId="171" fontId="46" fillId="6" borderId="17" xfId="1" applyNumberFormat="1" applyFont="1" applyFill="1" applyBorder="1" applyAlignment="1">
      <alignment horizontal="right" vertical="center"/>
    </xf>
    <xf numFmtId="171" fontId="38" fillId="6" borderId="17" xfId="1" applyNumberFormat="1" applyFont="1" applyFill="1" applyBorder="1"/>
    <xf numFmtId="3" fontId="42" fillId="6" borderId="17" xfId="0" applyNumberFormat="1" applyFont="1" applyFill="1" applyBorder="1" applyAlignment="1">
      <alignment horizontal="right" wrapText="1"/>
    </xf>
    <xf numFmtId="164" fontId="42" fillId="6" borderId="17" xfId="8" applyFont="1" applyFill="1" applyBorder="1" applyAlignment="1">
      <alignment horizontal="right" wrapText="1"/>
    </xf>
    <xf numFmtId="0" fontId="42" fillId="6" borderId="17" xfId="0" applyFont="1" applyFill="1" applyBorder="1" applyAlignment="1">
      <alignment horizontal="right" wrapText="1"/>
    </xf>
    <xf numFmtId="0" fontId="26" fillId="6" borderId="17" xfId="0"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21" fillId="5" borderId="8" xfId="3" applyFill="1" applyBorder="1" applyAlignment="1">
      <alignment horizontal="center"/>
    </xf>
    <xf numFmtId="0" fontId="0" fillId="0" borderId="0" xfId="0" applyAlignment="1">
      <alignment horizontal="center" wrapText="1"/>
    </xf>
    <xf numFmtId="0" fontId="23" fillId="5" borderId="15" xfId="0" applyFont="1"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21" fillId="0" borderId="17" xfId="3" applyBorder="1" applyAlignment="1">
      <alignment horizontal="center"/>
    </xf>
    <xf numFmtId="0" fontId="21" fillId="0" borderId="42" xfId="3" applyBorder="1" applyAlignment="1">
      <alignment horizontal="center" vertical="center"/>
    </xf>
    <xf numFmtId="0" fontId="21" fillId="0" borderId="24" xfId="3" applyBorder="1" applyAlignment="1">
      <alignment horizontal="center" vertical="center"/>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21" fillId="0" borderId="17" xfId="3" applyBorder="1" applyAlignment="1">
      <alignment horizontal="center" vertical="justify"/>
    </xf>
    <xf numFmtId="0" fontId="21" fillId="0" borderId="17" xfId="3" applyFill="1" applyBorder="1" applyAlignment="1">
      <alignment horizont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24" xfId="3" quotePrefix="1"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6" borderId="17" xfId="5" applyFont="1" applyFill="1" applyBorder="1" applyAlignment="1">
      <alignment horizontal="center" vertical="center"/>
    </xf>
    <xf numFmtId="0" fontId="35" fillId="0" borderId="0" xfId="5" applyFont="1" applyFill="1" applyBorder="1" applyAlignment="1">
      <alignment horizontal="right" vertical="center" wrapText="1"/>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6" fillId="16" borderId="17" xfId="5" applyFont="1" applyFill="1" applyBorder="1" applyAlignment="1">
      <alignment horizontal="center" vertical="center"/>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17" xfId="5" applyFont="1" applyFill="1" applyBorder="1" applyAlignment="1">
      <alignment vertical="center" wrapText="1"/>
    </xf>
    <xf numFmtId="0" fontId="26" fillId="8" borderId="21" xfId="5" applyFont="1" applyFill="1" applyBorder="1" applyAlignment="1">
      <alignment vertical="center" wrapText="1"/>
    </xf>
    <xf numFmtId="0" fontId="26" fillId="8" borderId="17" xfId="5" applyFont="1" applyFill="1" applyBorder="1" applyAlignment="1">
      <alignment horizontal="center" vertical="center" wrapText="1"/>
    </xf>
    <xf numFmtId="0" fontId="26" fillId="8" borderId="21" xfId="5" applyFont="1" applyFill="1" applyBorder="1" applyAlignment="1">
      <alignment horizontal="center" vertical="center" wrapText="1"/>
    </xf>
    <xf numFmtId="0" fontId="26" fillId="0" borderId="17" xfId="5" applyFont="1" applyBorder="1" applyAlignment="1">
      <alignment horizontal="center" vertical="center" wrapText="1"/>
    </xf>
    <xf numFmtId="0" fontId="26" fillId="6" borderId="17" xfId="5" applyFont="1" applyFill="1" applyBorder="1" applyAlignment="1">
      <alignment horizontal="center" vertical="center" wrapText="1"/>
    </xf>
    <xf numFmtId="0" fontId="35" fillId="0" borderId="17" xfId="5" applyFont="1" applyBorder="1" applyAlignment="1">
      <alignment horizontal="center" vertical="center" wrapText="1"/>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24" xfId="5" applyFont="1" applyFill="1" applyBorder="1" applyAlignment="1">
      <alignment horizontal="center" vertical="center" wrapText="1"/>
    </xf>
    <xf numFmtId="0" fontId="35" fillId="8" borderId="17" xfId="5" applyFont="1" applyFill="1" applyBorder="1" applyAlignment="1">
      <alignment horizontal="center" vertical="center"/>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6618.5039999999999</c:v>
                </c:pt>
                <c:pt idx="1">
                  <c:v>6487.3799999999992</c:v>
                </c:pt>
                <c:pt idx="2">
                  <c:v>6356.2560000000003</c:v>
                </c:pt>
                <c:pt idx="3">
                  <c:v>6225.1319999999996</c:v>
                </c:pt>
                <c:pt idx="4">
                  <c:v>6094.0079999999998</c:v>
                </c:pt>
                <c:pt idx="5">
                  <c:v>5962.8839999999991</c:v>
                </c:pt>
                <c:pt idx="6">
                  <c:v>5831.76</c:v>
                </c:pt>
                <c:pt idx="7">
                  <c:v>5700.6359999999995</c:v>
                </c:pt>
                <c:pt idx="8">
                  <c:v>5569.5119999999997</c:v>
                </c:pt>
                <c:pt idx="9">
                  <c:v>5438.3879999999999</c:v>
                </c:pt>
              </c:numCache>
            </c:numRef>
          </c:yVal>
          <c:smooth val="0"/>
        </c:ser>
        <c:dLbls>
          <c:showLegendKey val="0"/>
          <c:showVal val="0"/>
          <c:showCatName val="0"/>
          <c:showSerName val="0"/>
          <c:showPercent val="0"/>
          <c:showBubbleSize val="0"/>
        </c:dLbls>
        <c:axId val="224060288"/>
        <c:axId val="224060680"/>
      </c:scatterChart>
      <c:valAx>
        <c:axId val="224060288"/>
        <c:scaling>
          <c:orientation val="minMax"/>
        </c:scaling>
        <c:delete val="0"/>
        <c:axPos val="b"/>
        <c:numFmt formatCode="General" sourceLinked="1"/>
        <c:majorTickMark val="out"/>
        <c:minorTickMark val="none"/>
        <c:tickLblPos val="nextTo"/>
        <c:txPr>
          <a:bodyPr/>
          <a:lstStyle/>
          <a:p>
            <a:pPr>
              <a:defRPr lang="en-US"/>
            </a:pPr>
            <a:endParaRPr lang="en-US"/>
          </a:p>
        </c:txPr>
        <c:crossAx val="224060680"/>
        <c:crosses val="autoZero"/>
        <c:crossBetween val="midCat"/>
      </c:valAx>
      <c:valAx>
        <c:axId val="224060680"/>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240602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428381</c:v>
                </c:pt>
                <c:pt idx="1">
                  <c:v>438662</c:v>
                </c:pt>
                <c:pt idx="2">
                  <c:v>449190</c:v>
                </c:pt>
                <c:pt idx="3">
                  <c:v>459971</c:v>
                </c:pt>
                <c:pt idx="4">
                  <c:v>471010</c:v>
                </c:pt>
                <c:pt idx="5">
                  <c:v>482314</c:v>
                </c:pt>
                <c:pt idx="6">
                  <c:v>493890</c:v>
                </c:pt>
                <c:pt idx="7">
                  <c:v>505743</c:v>
                </c:pt>
                <c:pt idx="8">
                  <c:v>517881</c:v>
                </c:pt>
                <c:pt idx="9">
                  <c:v>530310</c:v>
                </c:pt>
              </c:numCache>
            </c:numRef>
          </c:val>
        </c:ser>
        <c:dLbls>
          <c:showLegendKey val="0"/>
          <c:showVal val="0"/>
          <c:showCatName val="0"/>
          <c:showSerName val="0"/>
          <c:showPercent val="0"/>
          <c:showBubbleSize val="0"/>
        </c:dLbls>
        <c:gapWidth val="150"/>
        <c:axId val="253968704"/>
        <c:axId val="253969096"/>
      </c:barChart>
      <c:catAx>
        <c:axId val="253968704"/>
        <c:scaling>
          <c:orientation val="minMax"/>
        </c:scaling>
        <c:delete val="0"/>
        <c:axPos val="b"/>
        <c:majorTickMark val="out"/>
        <c:minorTickMark val="none"/>
        <c:tickLblPos val="nextTo"/>
        <c:txPr>
          <a:bodyPr/>
          <a:lstStyle/>
          <a:p>
            <a:pPr>
              <a:defRPr lang="en-US"/>
            </a:pPr>
            <a:endParaRPr lang="en-US"/>
          </a:p>
        </c:txPr>
        <c:crossAx val="253969096"/>
        <c:crosses val="autoZero"/>
        <c:auto val="1"/>
        <c:lblAlgn val="ctr"/>
        <c:lblOffset val="100"/>
        <c:noMultiLvlLbl val="0"/>
      </c:catAx>
      <c:valAx>
        <c:axId val="2539690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6870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1659884</c:v>
                </c:pt>
                <c:pt idx="1">
                  <c:v>1607431</c:v>
                </c:pt>
                <c:pt idx="2">
                  <c:v>1556636</c:v>
                </c:pt>
                <c:pt idx="3">
                  <c:v>1507447</c:v>
                </c:pt>
                <c:pt idx="4">
                  <c:v>1444737</c:v>
                </c:pt>
                <c:pt idx="5">
                  <c:v>1673583</c:v>
                </c:pt>
                <c:pt idx="6">
                  <c:v>1603962</c:v>
                </c:pt>
                <c:pt idx="7">
                  <c:v>1713673</c:v>
                </c:pt>
                <c:pt idx="8">
                  <c:v>1659521</c:v>
                </c:pt>
                <c:pt idx="9">
                  <c:v>1607080</c:v>
                </c:pt>
              </c:numCache>
            </c:numRef>
          </c:val>
        </c:ser>
        <c:dLbls>
          <c:showLegendKey val="0"/>
          <c:showVal val="0"/>
          <c:showCatName val="0"/>
          <c:showSerName val="0"/>
          <c:showPercent val="0"/>
          <c:showBubbleSize val="0"/>
        </c:dLbls>
        <c:gapWidth val="150"/>
        <c:axId val="253969880"/>
        <c:axId val="253970272"/>
      </c:barChart>
      <c:catAx>
        <c:axId val="253969880"/>
        <c:scaling>
          <c:orientation val="minMax"/>
        </c:scaling>
        <c:delete val="0"/>
        <c:axPos val="b"/>
        <c:majorTickMark val="out"/>
        <c:minorTickMark val="none"/>
        <c:tickLblPos val="nextTo"/>
        <c:txPr>
          <a:bodyPr/>
          <a:lstStyle/>
          <a:p>
            <a:pPr>
              <a:defRPr lang="en-US"/>
            </a:pPr>
            <a:endParaRPr lang="en-US"/>
          </a:p>
        </c:txPr>
        <c:crossAx val="253970272"/>
        <c:crosses val="autoZero"/>
        <c:auto val="1"/>
        <c:lblAlgn val="ctr"/>
        <c:lblOffset val="100"/>
        <c:noMultiLvlLbl val="0"/>
      </c:catAx>
      <c:valAx>
        <c:axId val="2539702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6988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100894</c:v>
                </c:pt>
                <c:pt idx="1">
                  <c:v>101975</c:v>
                </c:pt>
                <c:pt idx="2">
                  <c:v>102342</c:v>
                </c:pt>
                <c:pt idx="3">
                  <c:v>102467</c:v>
                </c:pt>
                <c:pt idx="4">
                  <c:v>102510</c:v>
                </c:pt>
                <c:pt idx="5">
                  <c:v>102524</c:v>
                </c:pt>
                <c:pt idx="6">
                  <c:v>102529</c:v>
                </c:pt>
                <c:pt idx="7">
                  <c:v>102531</c:v>
                </c:pt>
                <c:pt idx="8">
                  <c:v>102532</c:v>
                </c:pt>
                <c:pt idx="9">
                  <c:v>102532</c:v>
                </c:pt>
              </c:numCache>
            </c:numRef>
          </c:val>
        </c:ser>
        <c:dLbls>
          <c:showLegendKey val="0"/>
          <c:showVal val="0"/>
          <c:showCatName val="0"/>
          <c:showSerName val="0"/>
          <c:showPercent val="0"/>
          <c:showBubbleSize val="0"/>
        </c:dLbls>
        <c:gapWidth val="150"/>
        <c:axId val="253971056"/>
        <c:axId val="253971448"/>
      </c:barChart>
      <c:catAx>
        <c:axId val="253971056"/>
        <c:scaling>
          <c:orientation val="minMax"/>
        </c:scaling>
        <c:delete val="0"/>
        <c:axPos val="b"/>
        <c:majorTickMark val="out"/>
        <c:minorTickMark val="none"/>
        <c:tickLblPos val="nextTo"/>
        <c:txPr>
          <a:bodyPr/>
          <a:lstStyle/>
          <a:p>
            <a:pPr>
              <a:defRPr lang="en-US"/>
            </a:pPr>
            <a:endParaRPr lang="en-US"/>
          </a:p>
        </c:txPr>
        <c:crossAx val="253971448"/>
        <c:crosses val="autoZero"/>
        <c:auto val="1"/>
        <c:lblAlgn val="ctr"/>
        <c:lblOffset val="100"/>
        <c:noMultiLvlLbl val="0"/>
      </c:catAx>
      <c:valAx>
        <c:axId val="2539714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710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21748</c:v>
                </c:pt>
                <c:pt idx="1">
                  <c:v>22367</c:v>
                </c:pt>
                <c:pt idx="2">
                  <c:v>23005</c:v>
                </c:pt>
                <c:pt idx="3">
                  <c:v>23661</c:v>
                </c:pt>
                <c:pt idx="4">
                  <c:v>22679</c:v>
                </c:pt>
                <c:pt idx="5">
                  <c:v>23325</c:v>
                </c:pt>
                <c:pt idx="6">
                  <c:v>23990</c:v>
                </c:pt>
                <c:pt idx="7">
                  <c:v>24674</c:v>
                </c:pt>
                <c:pt idx="8">
                  <c:v>25377</c:v>
                </c:pt>
                <c:pt idx="9">
                  <c:v>26100</c:v>
                </c:pt>
              </c:numCache>
            </c:numRef>
          </c:val>
        </c:ser>
        <c:dLbls>
          <c:showLegendKey val="0"/>
          <c:showVal val="0"/>
          <c:showCatName val="0"/>
          <c:showSerName val="0"/>
          <c:showPercent val="0"/>
          <c:showBubbleSize val="0"/>
        </c:dLbls>
        <c:gapWidth val="150"/>
        <c:axId val="253972232"/>
        <c:axId val="253972624"/>
      </c:barChart>
      <c:catAx>
        <c:axId val="253972232"/>
        <c:scaling>
          <c:orientation val="minMax"/>
        </c:scaling>
        <c:delete val="0"/>
        <c:axPos val="b"/>
        <c:majorTickMark val="out"/>
        <c:minorTickMark val="none"/>
        <c:tickLblPos val="nextTo"/>
        <c:txPr>
          <a:bodyPr/>
          <a:lstStyle/>
          <a:p>
            <a:pPr>
              <a:defRPr lang="en-US"/>
            </a:pPr>
            <a:endParaRPr lang="en-US"/>
          </a:p>
        </c:txPr>
        <c:crossAx val="253972624"/>
        <c:crosses val="autoZero"/>
        <c:auto val="1"/>
        <c:lblAlgn val="ctr"/>
        <c:lblOffset val="100"/>
        <c:noMultiLvlLbl val="0"/>
      </c:catAx>
      <c:valAx>
        <c:axId val="2539726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9722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6618.5039999999999</c:v>
                </c:pt>
                <c:pt idx="1">
                  <c:v>6487.3799999999992</c:v>
                </c:pt>
                <c:pt idx="2">
                  <c:v>6356.2560000000003</c:v>
                </c:pt>
                <c:pt idx="3">
                  <c:v>6225.1319999999996</c:v>
                </c:pt>
                <c:pt idx="4">
                  <c:v>6094.0079999999998</c:v>
                </c:pt>
                <c:pt idx="5">
                  <c:v>5962.8839999999991</c:v>
                </c:pt>
                <c:pt idx="6">
                  <c:v>5831.76</c:v>
                </c:pt>
                <c:pt idx="7">
                  <c:v>5700.6359999999995</c:v>
                </c:pt>
                <c:pt idx="8">
                  <c:v>5569.5119999999997</c:v>
                </c:pt>
                <c:pt idx="9">
                  <c:v>5438.3879999999999</c:v>
                </c:pt>
              </c:numCache>
            </c:numRef>
          </c:yVal>
          <c:smooth val="0"/>
        </c:ser>
        <c:dLbls>
          <c:showLegendKey val="0"/>
          <c:showVal val="0"/>
          <c:showCatName val="0"/>
          <c:showSerName val="0"/>
          <c:showPercent val="0"/>
          <c:showBubbleSize val="0"/>
        </c:dLbls>
        <c:axId val="253973408"/>
        <c:axId val="253973800"/>
      </c:scatterChart>
      <c:valAx>
        <c:axId val="253973408"/>
        <c:scaling>
          <c:orientation val="minMax"/>
        </c:scaling>
        <c:delete val="0"/>
        <c:axPos val="b"/>
        <c:numFmt formatCode="General" sourceLinked="1"/>
        <c:majorTickMark val="out"/>
        <c:minorTickMark val="none"/>
        <c:tickLblPos val="nextTo"/>
        <c:txPr>
          <a:bodyPr/>
          <a:lstStyle/>
          <a:p>
            <a:pPr>
              <a:defRPr lang="en-US"/>
            </a:pPr>
            <a:endParaRPr lang="en-US"/>
          </a:p>
        </c:txPr>
        <c:crossAx val="253973800"/>
        <c:crosses val="autoZero"/>
        <c:crossBetween val="midCat"/>
      </c:valAx>
      <c:valAx>
        <c:axId val="25397380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397340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1253.3800000000001</c:v>
                </c:pt>
                <c:pt idx="1">
                  <c:v>1255.93</c:v>
                </c:pt>
                <c:pt idx="2">
                  <c:v>1258.48</c:v>
                </c:pt>
                <c:pt idx="3">
                  <c:v>1261.03</c:v>
                </c:pt>
                <c:pt idx="4">
                  <c:v>1263.58</c:v>
                </c:pt>
                <c:pt idx="5">
                  <c:v>1266.1300000000001</c:v>
                </c:pt>
                <c:pt idx="6">
                  <c:v>1268.68</c:v>
                </c:pt>
                <c:pt idx="7">
                  <c:v>1271.23</c:v>
                </c:pt>
                <c:pt idx="8">
                  <c:v>1273.78</c:v>
                </c:pt>
                <c:pt idx="9">
                  <c:v>1276.33</c:v>
                </c:pt>
              </c:numCache>
            </c:numRef>
          </c:yVal>
          <c:smooth val="0"/>
        </c:ser>
        <c:dLbls>
          <c:showLegendKey val="0"/>
          <c:showVal val="0"/>
          <c:showCatName val="0"/>
          <c:showSerName val="0"/>
          <c:showPercent val="0"/>
          <c:showBubbleSize val="0"/>
        </c:dLbls>
        <c:axId val="253974584"/>
        <c:axId val="253974976"/>
      </c:scatterChart>
      <c:valAx>
        <c:axId val="253974584"/>
        <c:scaling>
          <c:orientation val="minMax"/>
        </c:scaling>
        <c:delete val="0"/>
        <c:axPos val="b"/>
        <c:numFmt formatCode="General" sourceLinked="1"/>
        <c:majorTickMark val="out"/>
        <c:minorTickMark val="none"/>
        <c:tickLblPos val="nextTo"/>
        <c:txPr>
          <a:bodyPr/>
          <a:lstStyle/>
          <a:p>
            <a:pPr>
              <a:defRPr lang="en-US"/>
            </a:pPr>
            <a:endParaRPr lang="en-US"/>
          </a:p>
        </c:txPr>
        <c:crossAx val="253974976"/>
        <c:crosses val="autoZero"/>
        <c:crossBetween val="midCat"/>
      </c:valAx>
      <c:valAx>
        <c:axId val="253974976"/>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397458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4291520"/>
        <c:axId val="254291912"/>
      </c:scatterChart>
      <c:valAx>
        <c:axId val="254291520"/>
        <c:scaling>
          <c:orientation val="minMax"/>
        </c:scaling>
        <c:delete val="0"/>
        <c:axPos val="b"/>
        <c:numFmt formatCode="General" sourceLinked="1"/>
        <c:majorTickMark val="out"/>
        <c:minorTickMark val="none"/>
        <c:tickLblPos val="nextTo"/>
        <c:txPr>
          <a:bodyPr/>
          <a:lstStyle/>
          <a:p>
            <a:pPr>
              <a:defRPr lang="en-US"/>
            </a:pPr>
            <a:endParaRPr lang="en-US"/>
          </a:p>
        </c:txPr>
        <c:crossAx val="254291912"/>
        <c:crosses val="autoZero"/>
        <c:crossBetween val="midCat"/>
      </c:valAx>
      <c:valAx>
        <c:axId val="254291912"/>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429152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54292696"/>
        <c:axId val="254293088"/>
      </c:scatterChart>
      <c:valAx>
        <c:axId val="254292696"/>
        <c:scaling>
          <c:orientation val="minMax"/>
        </c:scaling>
        <c:delete val="0"/>
        <c:axPos val="b"/>
        <c:numFmt formatCode="General" sourceLinked="1"/>
        <c:majorTickMark val="out"/>
        <c:minorTickMark val="none"/>
        <c:tickLblPos val="nextTo"/>
        <c:txPr>
          <a:bodyPr/>
          <a:lstStyle/>
          <a:p>
            <a:pPr>
              <a:defRPr lang="en-US"/>
            </a:pPr>
            <a:endParaRPr lang="en-US"/>
          </a:p>
        </c:txPr>
        <c:crossAx val="254293088"/>
        <c:crosses val="autoZero"/>
        <c:crossBetween val="midCat"/>
      </c:valAx>
      <c:valAx>
        <c:axId val="25429308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5429269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13351.752876260291</c:v>
                </c:pt>
                <c:pt idx="1">
                  <c:v>13087.231582000019</c:v>
                </c:pt>
                <c:pt idx="2">
                  <c:v>12822.710287739756</c:v>
                </c:pt>
                <c:pt idx="3">
                  <c:v>12558.188993479485</c:v>
                </c:pt>
                <c:pt idx="4">
                  <c:v>12293.667699219221</c:v>
                </c:pt>
                <c:pt idx="5">
                  <c:v>12029.146404958952</c:v>
                </c:pt>
                <c:pt idx="6">
                  <c:v>11764.625110698686</c:v>
                </c:pt>
                <c:pt idx="7">
                  <c:v>11500.103816438419</c:v>
                </c:pt>
                <c:pt idx="8">
                  <c:v>11235.582522178151</c:v>
                </c:pt>
                <c:pt idx="9">
                  <c:v>10971.061227917886</c:v>
                </c:pt>
              </c:numCache>
            </c:numRef>
          </c:yVal>
          <c:smooth val="0"/>
        </c:ser>
        <c:dLbls>
          <c:showLegendKey val="0"/>
          <c:showVal val="0"/>
          <c:showCatName val="0"/>
          <c:showSerName val="0"/>
          <c:showPercent val="0"/>
          <c:showBubbleSize val="0"/>
        </c:dLbls>
        <c:axId val="254293872"/>
        <c:axId val="254294264"/>
      </c:scatterChart>
      <c:valAx>
        <c:axId val="254293872"/>
        <c:scaling>
          <c:orientation val="minMax"/>
        </c:scaling>
        <c:delete val="0"/>
        <c:axPos val="b"/>
        <c:numFmt formatCode="General" sourceLinked="1"/>
        <c:majorTickMark val="out"/>
        <c:minorTickMark val="none"/>
        <c:tickLblPos val="nextTo"/>
        <c:txPr>
          <a:bodyPr/>
          <a:lstStyle/>
          <a:p>
            <a:pPr>
              <a:defRPr lang="en-US"/>
            </a:pPr>
            <a:endParaRPr lang="en-US"/>
          </a:p>
        </c:txPr>
        <c:crossAx val="254294264"/>
        <c:crosses val="autoZero"/>
        <c:crossBetween val="midCat"/>
      </c:valAx>
      <c:valAx>
        <c:axId val="254294264"/>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2938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336.12543281887565</c:v>
                </c:pt>
                <c:pt idx="1">
                  <c:v>343.83700391167224</c:v>
                </c:pt>
                <c:pt idx="2">
                  <c:v>351.80288504481751</c:v>
                </c:pt>
                <c:pt idx="3">
                  <c:v>361.79126265723085</c:v>
                </c:pt>
                <c:pt idx="4">
                  <c:v>367.49646090047952</c:v>
                </c:pt>
                <c:pt idx="5">
                  <c:v>397.1858752458528</c:v>
                </c:pt>
                <c:pt idx="6">
                  <c:v>404.74179311231813</c:v>
                </c:pt>
                <c:pt idx="7">
                  <c:v>426.12207062583985</c:v>
                </c:pt>
                <c:pt idx="8">
                  <c:v>435.58518902019097</c:v>
                </c:pt>
                <c:pt idx="9">
                  <c:v>445.6291423222562</c:v>
                </c:pt>
              </c:numCache>
            </c:numRef>
          </c:yVal>
          <c:smooth val="0"/>
        </c:ser>
        <c:dLbls>
          <c:showLegendKey val="0"/>
          <c:showVal val="0"/>
          <c:showCatName val="0"/>
          <c:showSerName val="0"/>
          <c:showPercent val="0"/>
          <c:showBubbleSize val="0"/>
        </c:dLbls>
        <c:axId val="254295048"/>
        <c:axId val="254295440"/>
      </c:scatterChart>
      <c:valAx>
        <c:axId val="254295048"/>
        <c:scaling>
          <c:orientation val="minMax"/>
        </c:scaling>
        <c:delete val="0"/>
        <c:axPos val="b"/>
        <c:numFmt formatCode="General" sourceLinked="1"/>
        <c:majorTickMark val="out"/>
        <c:minorTickMark val="none"/>
        <c:tickLblPos val="nextTo"/>
        <c:txPr>
          <a:bodyPr/>
          <a:lstStyle/>
          <a:p>
            <a:pPr>
              <a:defRPr lang="en-US"/>
            </a:pPr>
            <a:endParaRPr lang="en-US"/>
          </a:p>
        </c:txPr>
        <c:crossAx val="254295440"/>
        <c:crosses val="autoZero"/>
        <c:crossBetween val="midCat"/>
      </c:valAx>
      <c:valAx>
        <c:axId val="254295440"/>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29504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51871.795004941756</c:v>
                </c:pt>
                <c:pt idx="1">
                  <c:v>52845.163785318604</c:v>
                </c:pt>
                <c:pt idx="2">
                  <c:v>53932.338075735803</c:v>
                </c:pt>
                <c:pt idx="3">
                  <c:v>55062.662942632167</c:v>
                </c:pt>
                <c:pt idx="4">
                  <c:v>56027.431770159572</c:v>
                </c:pt>
                <c:pt idx="5">
                  <c:v>57234.898973788891</c:v>
                </c:pt>
                <c:pt idx="6">
                  <c:v>58310.119600939412</c:v>
                </c:pt>
                <c:pt idx="7">
                  <c:v>59489.654847736892</c:v>
                </c:pt>
                <c:pt idx="8">
                  <c:v>60608.590735415281</c:v>
                </c:pt>
                <c:pt idx="9">
                  <c:v>61748.864278001412</c:v>
                </c:pt>
              </c:numCache>
            </c:numRef>
          </c:val>
          <c:smooth val="0"/>
        </c:ser>
        <c:dLbls>
          <c:showLegendKey val="0"/>
          <c:showVal val="0"/>
          <c:showCatName val="0"/>
          <c:showSerName val="0"/>
          <c:showPercent val="0"/>
          <c:showBubbleSize val="0"/>
        </c:dLbls>
        <c:smooth val="0"/>
        <c:axId val="224061464"/>
        <c:axId val="224061856"/>
      </c:lineChart>
      <c:catAx>
        <c:axId val="224061464"/>
        <c:scaling>
          <c:orientation val="minMax"/>
        </c:scaling>
        <c:delete val="0"/>
        <c:axPos val="b"/>
        <c:numFmt formatCode="General" sourceLinked="1"/>
        <c:majorTickMark val="out"/>
        <c:minorTickMark val="none"/>
        <c:tickLblPos val="nextTo"/>
        <c:txPr>
          <a:bodyPr/>
          <a:lstStyle/>
          <a:p>
            <a:pPr>
              <a:defRPr lang="en-US"/>
            </a:pPr>
            <a:endParaRPr lang="en-US"/>
          </a:p>
        </c:txPr>
        <c:crossAx val="224061856"/>
        <c:crosses val="autoZero"/>
        <c:auto val="1"/>
        <c:lblAlgn val="ctr"/>
        <c:lblOffset val="100"/>
        <c:noMultiLvlLbl val="0"/>
      </c:catAx>
      <c:valAx>
        <c:axId val="22406185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24061464"/>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25340.858731522116</c:v>
                </c:pt>
                <c:pt idx="1">
                  <c:v>26825.48040417477</c:v>
                </c:pt>
                <c:pt idx="2">
                  <c:v>28423.653276827426</c:v>
                </c:pt>
                <c:pt idx="3">
                  <c:v>30062.954229479972</c:v>
                </c:pt>
                <c:pt idx="4">
                  <c:v>31540.982322132724</c:v>
                </c:pt>
                <c:pt idx="5">
                  <c:v>33237.724574785272</c:v>
                </c:pt>
                <c:pt idx="6">
                  <c:v>34824.353747437926</c:v>
                </c:pt>
                <c:pt idx="7">
                  <c:v>36501.473180090485</c:v>
                </c:pt>
                <c:pt idx="8">
                  <c:v>38129.910412743135</c:v>
                </c:pt>
                <c:pt idx="9">
                  <c:v>39779.104465395794</c:v>
                </c:pt>
              </c:numCache>
            </c:numRef>
          </c:yVal>
          <c:smooth val="0"/>
        </c:ser>
        <c:dLbls>
          <c:showLegendKey val="0"/>
          <c:showVal val="0"/>
          <c:showCatName val="0"/>
          <c:showSerName val="0"/>
          <c:showPercent val="0"/>
          <c:showBubbleSize val="0"/>
        </c:dLbls>
        <c:axId val="254296224"/>
        <c:axId val="254296616"/>
      </c:scatterChart>
      <c:valAx>
        <c:axId val="254296224"/>
        <c:scaling>
          <c:orientation val="minMax"/>
        </c:scaling>
        <c:delete val="0"/>
        <c:axPos val="b"/>
        <c:numFmt formatCode="General" sourceLinked="1"/>
        <c:majorTickMark val="out"/>
        <c:minorTickMark val="none"/>
        <c:tickLblPos val="nextTo"/>
        <c:txPr>
          <a:bodyPr/>
          <a:lstStyle/>
          <a:p>
            <a:pPr>
              <a:defRPr lang="en-US"/>
            </a:pPr>
            <a:endParaRPr lang="en-US"/>
          </a:p>
        </c:txPr>
        <c:crossAx val="254296616"/>
        <c:crosses val="autoZero"/>
        <c:crossBetween val="midCat"/>
      </c:valAx>
      <c:valAx>
        <c:axId val="2542966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2962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8494.8041848057146</c:v>
                </c:pt>
                <c:pt idx="1">
                  <c:v>8326.5074361857132</c:v>
                </c:pt>
                <c:pt idx="2">
                  <c:v>8158.2106875657155</c:v>
                </c:pt>
                <c:pt idx="3">
                  <c:v>7989.9139389457168</c:v>
                </c:pt>
                <c:pt idx="4">
                  <c:v>7821.6171903257145</c:v>
                </c:pt>
                <c:pt idx="5">
                  <c:v>7653.3204417057141</c:v>
                </c:pt>
                <c:pt idx="6">
                  <c:v>7485.0236930857154</c:v>
                </c:pt>
                <c:pt idx="7">
                  <c:v>7316.7269444657159</c:v>
                </c:pt>
                <c:pt idx="8">
                  <c:v>7148.4301958457136</c:v>
                </c:pt>
                <c:pt idx="9">
                  <c:v>6980.1334472257131</c:v>
                </c:pt>
              </c:numCache>
            </c:numRef>
          </c:yVal>
          <c:smooth val="0"/>
        </c:ser>
        <c:dLbls>
          <c:showLegendKey val="0"/>
          <c:showVal val="0"/>
          <c:showCatName val="0"/>
          <c:showSerName val="0"/>
          <c:showPercent val="0"/>
          <c:showBubbleSize val="0"/>
        </c:dLbls>
        <c:axId val="254297400"/>
        <c:axId val="254297792"/>
      </c:scatterChart>
      <c:valAx>
        <c:axId val="254297400"/>
        <c:scaling>
          <c:orientation val="minMax"/>
        </c:scaling>
        <c:delete val="0"/>
        <c:axPos val="b"/>
        <c:numFmt formatCode="General" sourceLinked="1"/>
        <c:majorTickMark val="out"/>
        <c:minorTickMark val="none"/>
        <c:tickLblPos val="nextTo"/>
        <c:txPr>
          <a:bodyPr/>
          <a:lstStyle/>
          <a:p>
            <a:pPr>
              <a:defRPr lang="en-US"/>
            </a:pPr>
            <a:endParaRPr lang="en-US"/>
          </a:p>
        </c:txPr>
        <c:crossAx val="254297792"/>
        <c:crosses val="autoZero"/>
        <c:crossBetween val="midCat"/>
      </c:valAx>
      <c:valAx>
        <c:axId val="25429779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29740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51871.795004941756</c:v>
                </c:pt>
                <c:pt idx="1">
                  <c:v>52845.163785318604</c:v>
                </c:pt>
                <c:pt idx="2">
                  <c:v>53932.338075735803</c:v>
                </c:pt>
                <c:pt idx="3">
                  <c:v>55062.662942632167</c:v>
                </c:pt>
                <c:pt idx="4">
                  <c:v>56027.431770159572</c:v>
                </c:pt>
                <c:pt idx="5">
                  <c:v>57234.898973788891</c:v>
                </c:pt>
                <c:pt idx="6">
                  <c:v>58310.119600939412</c:v>
                </c:pt>
                <c:pt idx="7">
                  <c:v>59489.654847736892</c:v>
                </c:pt>
                <c:pt idx="8">
                  <c:v>60608.590735415281</c:v>
                </c:pt>
                <c:pt idx="9">
                  <c:v>61748.864278001412</c:v>
                </c:pt>
              </c:numCache>
            </c:numRef>
          </c:yVal>
          <c:smooth val="0"/>
        </c:ser>
        <c:dLbls>
          <c:showLegendKey val="0"/>
          <c:showVal val="0"/>
          <c:showCatName val="0"/>
          <c:showSerName val="0"/>
          <c:showPercent val="0"/>
          <c:showBubbleSize val="0"/>
        </c:dLbls>
        <c:axId val="254298576"/>
        <c:axId val="254298968"/>
      </c:scatterChart>
      <c:valAx>
        <c:axId val="254298576"/>
        <c:scaling>
          <c:orientation val="minMax"/>
        </c:scaling>
        <c:delete val="0"/>
        <c:axPos val="b"/>
        <c:numFmt formatCode="General" sourceLinked="1"/>
        <c:majorTickMark val="out"/>
        <c:minorTickMark val="none"/>
        <c:tickLblPos val="nextTo"/>
        <c:txPr>
          <a:bodyPr/>
          <a:lstStyle/>
          <a:p>
            <a:pPr>
              <a:defRPr lang="en-US"/>
            </a:pPr>
            <a:endParaRPr lang="en-US"/>
          </a:p>
        </c:txPr>
        <c:crossAx val="254298968"/>
        <c:crosses val="autoZero"/>
        <c:crossBetween val="midCat"/>
      </c:valAx>
      <c:valAx>
        <c:axId val="25429896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29857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54639256"/>
        <c:axId val="254639648"/>
      </c:scatterChart>
      <c:valAx>
        <c:axId val="254639256"/>
        <c:scaling>
          <c:orientation val="minMax"/>
        </c:scaling>
        <c:delete val="0"/>
        <c:axPos val="b"/>
        <c:numFmt formatCode="General" sourceLinked="1"/>
        <c:majorTickMark val="out"/>
        <c:minorTickMark val="none"/>
        <c:tickLblPos val="nextTo"/>
        <c:txPr>
          <a:bodyPr/>
          <a:lstStyle/>
          <a:p>
            <a:pPr>
              <a:defRPr lang="en-US"/>
            </a:pPr>
            <a:endParaRPr lang="en-US"/>
          </a:p>
        </c:txPr>
        <c:crossAx val="254639648"/>
        <c:crosses val="autoZero"/>
        <c:crossBetween val="midCat"/>
      </c:valAx>
      <c:valAx>
        <c:axId val="2546396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546392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3399944"/>
        <c:axId val="253400336"/>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51871.795004941756</c:v>
                </c:pt>
                <c:pt idx="1">
                  <c:v>52845.163785318604</c:v>
                </c:pt>
                <c:pt idx="2">
                  <c:v>53932.338075735803</c:v>
                </c:pt>
                <c:pt idx="3">
                  <c:v>55062.662942632167</c:v>
                </c:pt>
                <c:pt idx="4">
                  <c:v>56027.431770159572</c:v>
                </c:pt>
                <c:pt idx="5">
                  <c:v>57234.898973788891</c:v>
                </c:pt>
                <c:pt idx="6">
                  <c:v>58310.119600939412</c:v>
                </c:pt>
                <c:pt idx="7">
                  <c:v>59489.654847736892</c:v>
                </c:pt>
                <c:pt idx="8">
                  <c:v>60608.590735415281</c:v>
                </c:pt>
                <c:pt idx="9">
                  <c:v>61748.864278001412</c:v>
                </c:pt>
                <c:pt idx="10">
                  <c:v>0</c:v>
                </c:pt>
              </c:numCache>
            </c:numRef>
          </c:yVal>
          <c:smooth val="0"/>
        </c:ser>
        <c:dLbls>
          <c:showLegendKey val="0"/>
          <c:showVal val="0"/>
          <c:showCatName val="0"/>
          <c:showSerName val="0"/>
          <c:showPercent val="0"/>
          <c:showBubbleSize val="0"/>
        </c:dLbls>
        <c:axId val="253399944"/>
        <c:axId val="253400336"/>
      </c:scatterChart>
      <c:catAx>
        <c:axId val="253399944"/>
        <c:scaling>
          <c:orientation val="minMax"/>
        </c:scaling>
        <c:delete val="0"/>
        <c:axPos val="b"/>
        <c:majorTickMark val="out"/>
        <c:minorTickMark val="none"/>
        <c:tickLblPos val="nextTo"/>
        <c:txPr>
          <a:bodyPr/>
          <a:lstStyle/>
          <a:p>
            <a:pPr>
              <a:defRPr lang="en-US"/>
            </a:pPr>
            <a:endParaRPr lang="en-US"/>
          </a:p>
        </c:txPr>
        <c:crossAx val="253400336"/>
        <c:crosses val="autoZero"/>
        <c:auto val="1"/>
        <c:lblAlgn val="ctr"/>
        <c:lblOffset val="100"/>
        <c:noMultiLvlLbl val="0"/>
      </c:catAx>
      <c:valAx>
        <c:axId val="25340033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33999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22</c:v>
                </c:pt>
                <c:pt idx="1">
                  <c:v>24</c:v>
                </c:pt>
                <c:pt idx="2">
                  <c:v>25</c:v>
                </c:pt>
                <c:pt idx="3">
                  <c:v>26</c:v>
                </c:pt>
                <c:pt idx="4">
                  <c:v>28</c:v>
                </c:pt>
                <c:pt idx="5">
                  <c:v>29</c:v>
                </c:pt>
                <c:pt idx="6">
                  <c:v>31</c:v>
                </c:pt>
                <c:pt idx="7">
                  <c:v>33</c:v>
                </c:pt>
                <c:pt idx="8">
                  <c:v>35</c:v>
                </c:pt>
                <c:pt idx="9">
                  <c:v>36</c:v>
                </c:pt>
              </c:numCache>
            </c:numRef>
          </c:val>
        </c:ser>
        <c:dLbls>
          <c:showLegendKey val="0"/>
          <c:showVal val="0"/>
          <c:showCatName val="0"/>
          <c:showSerName val="0"/>
          <c:showPercent val="0"/>
          <c:showBubbleSize val="0"/>
        </c:dLbls>
        <c:gapWidth val="150"/>
        <c:axId val="253401120"/>
        <c:axId val="253401512"/>
      </c:barChart>
      <c:catAx>
        <c:axId val="253401120"/>
        <c:scaling>
          <c:orientation val="minMax"/>
        </c:scaling>
        <c:delete val="0"/>
        <c:axPos val="b"/>
        <c:majorTickMark val="out"/>
        <c:minorTickMark val="none"/>
        <c:tickLblPos val="nextTo"/>
        <c:txPr>
          <a:bodyPr/>
          <a:lstStyle/>
          <a:p>
            <a:pPr>
              <a:defRPr lang="en-US"/>
            </a:pPr>
            <a:endParaRPr lang="en-US"/>
          </a:p>
        </c:txPr>
        <c:crossAx val="253401512"/>
        <c:crosses val="autoZero"/>
        <c:auto val="1"/>
        <c:lblAlgn val="ctr"/>
        <c:lblOffset val="100"/>
        <c:noMultiLvlLbl val="0"/>
      </c:catAx>
      <c:valAx>
        <c:axId val="2534015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4011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22546.526638414802</c:v>
                </c:pt>
                <c:pt idx="1">
                  <c:v>24027.577266046399</c:v>
                </c:pt>
                <c:pt idx="2">
                  <c:v>25508.627893678</c:v>
                </c:pt>
                <c:pt idx="3">
                  <c:v>26989.678521309499</c:v>
                </c:pt>
                <c:pt idx="4">
                  <c:v>28470.729148941198</c:v>
                </c:pt>
                <c:pt idx="5">
                  <c:v>29951.779776572701</c:v>
                </c:pt>
                <c:pt idx="6">
                  <c:v>31432.830404204298</c:v>
                </c:pt>
                <c:pt idx="7">
                  <c:v>32913.881031835801</c:v>
                </c:pt>
                <c:pt idx="8">
                  <c:v>34394.931659467402</c:v>
                </c:pt>
                <c:pt idx="9">
                  <c:v>35875.982287099003</c:v>
                </c:pt>
              </c:numCache>
            </c:numRef>
          </c:val>
        </c:ser>
        <c:dLbls>
          <c:showLegendKey val="0"/>
          <c:showVal val="0"/>
          <c:showCatName val="0"/>
          <c:showSerName val="0"/>
          <c:showPercent val="0"/>
          <c:showBubbleSize val="0"/>
        </c:dLbls>
        <c:gapWidth val="150"/>
        <c:axId val="253404256"/>
        <c:axId val="253404648"/>
      </c:barChart>
      <c:catAx>
        <c:axId val="253404256"/>
        <c:scaling>
          <c:orientation val="minMax"/>
        </c:scaling>
        <c:delete val="0"/>
        <c:axPos val="b"/>
        <c:majorTickMark val="out"/>
        <c:minorTickMark val="none"/>
        <c:tickLblPos val="nextTo"/>
        <c:txPr>
          <a:bodyPr/>
          <a:lstStyle/>
          <a:p>
            <a:pPr>
              <a:defRPr lang="en-US"/>
            </a:pPr>
            <a:endParaRPr lang="en-US"/>
          </a:p>
        </c:txPr>
        <c:crossAx val="253404648"/>
        <c:crosses val="autoZero"/>
        <c:auto val="1"/>
        <c:lblAlgn val="ctr"/>
        <c:lblOffset val="100"/>
        <c:noMultiLvlLbl val="0"/>
      </c:catAx>
      <c:valAx>
        <c:axId val="25340464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40425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625</c:v>
                </c:pt>
                <c:pt idx="1">
                  <c:v>630</c:v>
                </c:pt>
                <c:pt idx="2">
                  <c:v>634</c:v>
                </c:pt>
                <c:pt idx="3">
                  <c:v>639</c:v>
                </c:pt>
                <c:pt idx="4">
                  <c:v>644</c:v>
                </c:pt>
                <c:pt idx="5">
                  <c:v>650</c:v>
                </c:pt>
                <c:pt idx="6">
                  <c:v>655</c:v>
                </c:pt>
                <c:pt idx="7">
                  <c:v>659</c:v>
                </c:pt>
                <c:pt idx="8">
                  <c:v>664</c:v>
                </c:pt>
                <c:pt idx="9">
                  <c:v>669</c:v>
                </c:pt>
              </c:numCache>
            </c:numRef>
          </c:val>
        </c:ser>
        <c:dLbls>
          <c:showLegendKey val="0"/>
          <c:showVal val="0"/>
          <c:showCatName val="0"/>
          <c:showSerName val="0"/>
          <c:showPercent val="0"/>
          <c:showBubbleSize val="0"/>
        </c:dLbls>
        <c:gapWidth val="150"/>
        <c:overlap val="100"/>
        <c:axId val="253405432"/>
        <c:axId val="253405824"/>
      </c:barChart>
      <c:catAx>
        <c:axId val="253405432"/>
        <c:scaling>
          <c:orientation val="minMax"/>
        </c:scaling>
        <c:delete val="0"/>
        <c:axPos val="b"/>
        <c:majorTickMark val="out"/>
        <c:minorTickMark val="none"/>
        <c:tickLblPos val="nextTo"/>
        <c:txPr>
          <a:bodyPr/>
          <a:lstStyle/>
          <a:p>
            <a:pPr>
              <a:defRPr lang="en-US"/>
            </a:pPr>
            <a:endParaRPr lang="en-US"/>
          </a:p>
        </c:txPr>
        <c:crossAx val="253405824"/>
        <c:crosses val="autoZero"/>
        <c:auto val="1"/>
        <c:lblAlgn val="ctr"/>
        <c:lblOffset val="100"/>
        <c:noMultiLvlLbl val="0"/>
      </c:catAx>
      <c:valAx>
        <c:axId val="25340582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40543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3403472"/>
        <c:axId val="253403080"/>
      </c:barChart>
      <c:catAx>
        <c:axId val="253403472"/>
        <c:scaling>
          <c:orientation val="minMax"/>
        </c:scaling>
        <c:delete val="0"/>
        <c:axPos val="b"/>
        <c:majorTickMark val="out"/>
        <c:minorTickMark val="none"/>
        <c:tickLblPos val="nextTo"/>
        <c:txPr>
          <a:bodyPr/>
          <a:lstStyle/>
          <a:p>
            <a:pPr>
              <a:defRPr lang="en-US"/>
            </a:pPr>
            <a:endParaRPr lang="en-US"/>
          </a:p>
        </c:txPr>
        <c:crossAx val="253403080"/>
        <c:crosses val="autoZero"/>
        <c:auto val="1"/>
        <c:lblAlgn val="ctr"/>
        <c:lblOffset val="100"/>
        <c:noMultiLvlLbl val="0"/>
      </c:catAx>
      <c:valAx>
        <c:axId val="25340308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40347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4737</c:v>
                </c:pt>
                <c:pt idx="1">
                  <c:v>4711</c:v>
                </c:pt>
                <c:pt idx="2">
                  <c:v>4685</c:v>
                </c:pt>
                <c:pt idx="3">
                  <c:v>4658</c:v>
                </c:pt>
                <c:pt idx="4">
                  <c:v>4631</c:v>
                </c:pt>
                <c:pt idx="5">
                  <c:v>4602</c:v>
                </c:pt>
                <c:pt idx="6">
                  <c:v>4574</c:v>
                </c:pt>
                <c:pt idx="7">
                  <c:v>4544</c:v>
                </c:pt>
                <c:pt idx="8">
                  <c:v>4514</c:v>
                </c:pt>
                <c:pt idx="9">
                  <c:v>4484</c:v>
                </c:pt>
              </c:numCache>
            </c:numRef>
          </c:val>
        </c:ser>
        <c:dLbls>
          <c:showLegendKey val="0"/>
          <c:showVal val="0"/>
          <c:showCatName val="0"/>
          <c:showSerName val="0"/>
          <c:showPercent val="0"/>
          <c:showBubbleSize val="0"/>
        </c:dLbls>
        <c:gapWidth val="150"/>
        <c:axId val="253403864"/>
        <c:axId val="253402296"/>
      </c:barChart>
      <c:catAx>
        <c:axId val="253403864"/>
        <c:scaling>
          <c:orientation val="minMax"/>
        </c:scaling>
        <c:delete val="0"/>
        <c:axPos val="b"/>
        <c:majorTickMark val="out"/>
        <c:minorTickMark val="none"/>
        <c:tickLblPos val="nextTo"/>
        <c:txPr>
          <a:bodyPr/>
          <a:lstStyle/>
          <a:p>
            <a:pPr>
              <a:defRPr lang="en-US"/>
            </a:pPr>
            <a:endParaRPr lang="en-US"/>
          </a:p>
        </c:txPr>
        <c:crossAx val="253402296"/>
        <c:crosses val="autoZero"/>
        <c:auto val="1"/>
        <c:lblAlgn val="ctr"/>
        <c:lblOffset val="100"/>
        <c:noMultiLvlLbl val="0"/>
      </c:catAx>
      <c:valAx>
        <c:axId val="25340229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40386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3407000"/>
        <c:axId val="253967920"/>
      </c:barChart>
      <c:catAx>
        <c:axId val="253407000"/>
        <c:scaling>
          <c:orientation val="minMax"/>
        </c:scaling>
        <c:delete val="0"/>
        <c:axPos val="b"/>
        <c:majorTickMark val="out"/>
        <c:minorTickMark val="none"/>
        <c:tickLblPos val="nextTo"/>
        <c:txPr>
          <a:bodyPr/>
          <a:lstStyle/>
          <a:p>
            <a:pPr>
              <a:defRPr lang="en-US"/>
            </a:pPr>
            <a:endParaRPr lang="en-US"/>
          </a:p>
        </c:txPr>
        <c:crossAx val="253967920"/>
        <c:crosses val="autoZero"/>
        <c:auto val="1"/>
        <c:lblAlgn val="ctr"/>
        <c:lblOffset val="100"/>
        <c:noMultiLvlLbl val="0"/>
      </c:catAx>
      <c:valAx>
        <c:axId val="25396792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340700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row r="26">
          <cell r="B26">
            <v>11030.84</v>
          </cell>
          <cell r="G26">
            <v>1253.3800000000001</v>
          </cell>
          <cell r="N26">
            <v>22546.526638414802</v>
          </cell>
          <cell r="O26">
            <v>22</v>
          </cell>
          <cell r="P26">
            <v>625</v>
          </cell>
          <cell r="Q26">
            <v>4737</v>
          </cell>
          <cell r="R26"/>
          <cell r="S26">
            <v>2235</v>
          </cell>
          <cell r="T26"/>
          <cell r="U26">
            <v>428381</v>
          </cell>
          <cell r="V26">
            <v>1659884</v>
          </cell>
          <cell r="W26">
            <v>100894</v>
          </cell>
          <cell r="X26">
            <v>21748</v>
          </cell>
          <cell r="Z26"/>
          <cell r="AA26"/>
          <cell r="AB26"/>
          <cell r="AC26"/>
          <cell r="AD26"/>
          <cell r="AE26"/>
        </row>
        <row r="27">
          <cell r="B27">
            <v>10812.3</v>
          </cell>
          <cell r="G27">
            <v>1255.93</v>
          </cell>
          <cell r="N27">
            <v>24027.577266046399</v>
          </cell>
          <cell r="O27">
            <v>24</v>
          </cell>
          <cell r="P27">
            <v>630</v>
          </cell>
          <cell r="Q27">
            <v>4711</v>
          </cell>
          <cell r="R27"/>
          <cell r="S27">
            <v>2566</v>
          </cell>
          <cell r="T27"/>
          <cell r="U27">
            <v>438662</v>
          </cell>
          <cell r="V27">
            <v>1607431</v>
          </cell>
          <cell r="W27">
            <v>101975</v>
          </cell>
          <cell r="X27">
            <v>22367</v>
          </cell>
          <cell r="Z27"/>
          <cell r="AA27"/>
          <cell r="AB27"/>
          <cell r="AC27"/>
          <cell r="AD27"/>
          <cell r="AE27"/>
        </row>
        <row r="28">
          <cell r="B28">
            <v>10593.76</v>
          </cell>
          <cell r="G28">
            <v>1258.48</v>
          </cell>
          <cell r="N28">
            <v>25508.627893678</v>
          </cell>
          <cell r="O28">
            <v>25</v>
          </cell>
          <cell r="P28">
            <v>634</v>
          </cell>
          <cell r="Q28">
            <v>4685</v>
          </cell>
          <cell r="R28"/>
          <cell r="S28">
            <v>2947</v>
          </cell>
          <cell r="T28"/>
          <cell r="U28">
            <v>449190</v>
          </cell>
          <cell r="V28">
            <v>1556636</v>
          </cell>
          <cell r="W28">
            <v>102342</v>
          </cell>
          <cell r="X28">
            <v>23005</v>
          </cell>
          <cell r="Z28"/>
          <cell r="AA28"/>
          <cell r="AB28"/>
          <cell r="AC28"/>
          <cell r="AD28"/>
          <cell r="AE28"/>
        </row>
        <row r="29">
          <cell r="B29">
            <v>10375.219999999999</v>
          </cell>
          <cell r="G29">
            <v>1261.03</v>
          </cell>
          <cell r="N29">
            <v>26989.678521309499</v>
          </cell>
          <cell r="O29">
            <v>26</v>
          </cell>
          <cell r="P29">
            <v>639</v>
          </cell>
          <cell r="Q29">
            <v>4658</v>
          </cell>
          <cell r="R29"/>
          <cell r="S29">
            <v>3883</v>
          </cell>
          <cell r="T29"/>
          <cell r="U29">
            <v>459971</v>
          </cell>
          <cell r="V29">
            <v>1507447</v>
          </cell>
          <cell r="W29">
            <v>102467</v>
          </cell>
          <cell r="X29">
            <v>23661</v>
          </cell>
          <cell r="Z29"/>
          <cell r="AA29"/>
          <cell r="AB29"/>
          <cell r="AC29"/>
          <cell r="AD29"/>
          <cell r="AE29"/>
        </row>
        <row r="30">
          <cell r="B30">
            <v>10156.68</v>
          </cell>
          <cell r="G30">
            <v>1263.58</v>
          </cell>
          <cell r="N30">
            <v>28470.729148941198</v>
          </cell>
          <cell r="O30">
            <v>28</v>
          </cell>
          <cell r="P30">
            <v>644</v>
          </cell>
          <cell r="Q30">
            <v>4631</v>
          </cell>
          <cell r="R30"/>
          <cell r="S30">
            <v>3885</v>
          </cell>
          <cell r="T30"/>
          <cell r="U30">
            <v>471010</v>
          </cell>
          <cell r="V30">
            <v>1444737</v>
          </cell>
          <cell r="W30">
            <v>102510</v>
          </cell>
          <cell r="X30">
            <v>22679</v>
          </cell>
          <cell r="Z30"/>
          <cell r="AA30"/>
          <cell r="AB30"/>
          <cell r="AC30"/>
          <cell r="AD30"/>
          <cell r="AE30"/>
        </row>
        <row r="31">
          <cell r="B31">
            <v>9938.14</v>
          </cell>
          <cell r="G31">
            <v>1266.1300000000001</v>
          </cell>
          <cell r="N31">
            <v>29951.779776572701</v>
          </cell>
          <cell r="O31">
            <v>29</v>
          </cell>
          <cell r="P31">
            <v>650</v>
          </cell>
          <cell r="Q31">
            <v>4602</v>
          </cell>
          <cell r="R31"/>
          <cell r="S31">
            <v>4461</v>
          </cell>
          <cell r="T31"/>
          <cell r="U31">
            <v>482314</v>
          </cell>
          <cell r="V31">
            <v>1673583</v>
          </cell>
          <cell r="W31">
            <v>102524</v>
          </cell>
          <cell r="X31">
            <v>23325</v>
          </cell>
          <cell r="Z31"/>
          <cell r="AA31"/>
          <cell r="AB31"/>
          <cell r="AC31"/>
          <cell r="AD31"/>
          <cell r="AE31"/>
        </row>
        <row r="32">
          <cell r="B32">
            <v>9719.6</v>
          </cell>
          <cell r="G32">
            <v>1268.68</v>
          </cell>
          <cell r="N32">
            <v>31432.830404204298</v>
          </cell>
          <cell r="O32">
            <v>31</v>
          </cell>
          <cell r="P32">
            <v>655</v>
          </cell>
          <cell r="Q32">
            <v>4574</v>
          </cell>
          <cell r="R32"/>
          <cell r="S32">
            <v>5122</v>
          </cell>
          <cell r="T32"/>
          <cell r="U32">
            <v>493890</v>
          </cell>
          <cell r="V32">
            <v>1603962</v>
          </cell>
          <cell r="W32">
            <v>102529</v>
          </cell>
          <cell r="X32">
            <v>23990</v>
          </cell>
          <cell r="Z32"/>
          <cell r="AA32"/>
          <cell r="AB32"/>
          <cell r="AC32"/>
          <cell r="AD32"/>
          <cell r="AE32"/>
        </row>
        <row r="33">
          <cell r="B33">
            <v>9501.06</v>
          </cell>
          <cell r="G33">
            <v>1271.23</v>
          </cell>
          <cell r="N33">
            <v>32913.881031835801</v>
          </cell>
          <cell r="O33">
            <v>33</v>
          </cell>
          <cell r="P33">
            <v>659</v>
          </cell>
          <cell r="Q33">
            <v>4544</v>
          </cell>
          <cell r="R33"/>
          <cell r="S33">
            <v>5881</v>
          </cell>
          <cell r="T33"/>
          <cell r="U33">
            <v>505743</v>
          </cell>
          <cell r="V33">
            <v>1713673</v>
          </cell>
          <cell r="W33">
            <v>102531</v>
          </cell>
          <cell r="X33">
            <v>24674</v>
          </cell>
          <cell r="Z33"/>
          <cell r="AA33"/>
          <cell r="AB33"/>
          <cell r="AC33"/>
          <cell r="AD33"/>
          <cell r="AE33"/>
        </row>
        <row r="34">
          <cell r="B34">
            <v>9282.52</v>
          </cell>
          <cell r="G34">
            <v>1273.78</v>
          </cell>
          <cell r="N34">
            <v>34394.931659467402</v>
          </cell>
          <cell r="O34">
            <v>35</v>
          </cell>
          <cell r="P34">
            <v>664</v>
          </cell>
          <cell r="Q34">
            <v>4514</v>
          </cell>
          <cell r="R34"/>
          <cell r="S34">
            <v>6752</v>
          </cell>
          <cell r="T34"/>
          <cell r="U34">
            <v>517881</v>
          </cell>
          <cell r="V34">
            <v>1659521</v>
          </cell>
          <cell r="W34">
            <v>102532</v>
          </cell>
          <cell r="X34">
            <v>25377</v>
          </cell>
          <cell r="Z34"/>
          <cell r="AA34"/>
          <cell r="AB34"/>
          <cell r="AC34"/>
          <cell r="AD34"/>
          <cell r="AE34"/>
        </row>
        <row r="35">
          <cell r="B35">
            <v>9063.98</v>
          </cell>
          <cell r="G35">
            <v>1276.33</v>
          </cell>
          <cell r="N35">
            <v>35875.982287099003</v>
          </cell>
          <cell r="O35">
            <v>36</v>
          </cell>
          <cell r="P35">
            <v>669</v>
          </cell>
          <cell r="Q35">
            <v>4484</v>
          </cell>
          <cell r="R35"/>
          <cell r="S35">
            <v>7753</v>
          </cell>
          <cell r="T35"/>
          <cell r="U35">
            <v>530310</v>
          </cell>
          <cell r="V35">
            <v>1607080</v>
          </cell>
          <cell r="W35">
            <v>102532</v>
          </cell>
          <cell r="X35">
            <v>26100</v>
          </cell>
          <cell r="Z35"/>
          <cell r="AA35"/>
          <cell r="AB35"/>
          <cell r="AC35"/>
          <cell r="AD35"/>
          <cell r="AE35"/>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row r="27">
          <cell r="F27">
            <v>41807</v>
          </cell>
        </row>
        <row r="28">
          <cell r="F28">
            <v>40736</v>
          </cell>
        </row>
        <row r="29">
          <cell r="F29">
            <v>39665</v>
          </cell>
        </row>
        <row r="30">
          <cell r="F30">
            <v>38594</v>
          </cell>
        </row>
        <row r="31">
          <cell r="F31">
            <v>37523</v>
          </cell>
        </row>
        <row r="32">
          <cell r="F32">
            <v>37523</v>
          </cell>
        </row>
        <row r="33">
          <cell r="F33">
            <v>37523</v>
          </cell>
        </row>
        <row r="34">
          <cell r="F34">
            <v>37523</v>
          </cell>
        </row>
        <row r="35">
          <cell r="F35">
            <v>37523</v>
          </cell>
        </row>
        <row r="36">
          <cell r="F36">
            <v>37523</v>
          </cell>
        </row>
      </sheetData>
      <sheetData sheetId="9"/>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09" t="s">
        <v>467</v>
      </c>
      <c r="G3" s="409"/>
      <c r="H3" s="409"/>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86"/>
      <c r="D3" s="490" t="s">
        <v>510</v>
      </c>
      <c r="E3" s="491" t="s">
        <v>511</v>
      </c>
      <c r="F3" s="491"/>
      <c r="G3" s="491"/>
      <c r="H3" s="491"/>
    </row>
    <row r="4" spans="3:8" x14ac:dyDescent="0.25">
      <c r="C4" s="386"/>
      <c r="D4" s="490"/>
      <c r="E4" s="387" t="s">
        <v>307</v>
      </c>
      <c r="F4" s="387" t="s">
        <v>512</v>
      </c>
      <c r="G4" s="387" t="s">
        <v>513</v>
      </c>
      <c r="H4" s="387" t="s">
        <v>514</v>
      </c>
    </row>
    <row r="5" spans="3:8" x14ac:dyDescent="0.25">
      <c r="C5" s="386"/>
      <c r="D5" s="386"/>
      <c r="E5" s="379"/>
      <c r="F5" s="379"/>
      <c r="G5" s="379"/>
      <c r="H5" s="379"/>
    </row>
    <row r="6" spans="3:8" x14ac:dyDescent="0.25">
      <c r="C6" s="388">
        <f>'Direct N2O'!A36</f>
        <v>2021</v>
      </c>
      <c r="D6" s="389">
        <f>'Direct N2O'!AA36*10^-3</f>
        <v>1395.4012600000001</v>
      </c>
      <c r="E6" s="390">
        <f>(0.0075*0.3)+(0.1*0.01)</f>
        <v>3.2499999999999999E-3</v>
      </c>
      <c r="F6" s="380">
        <f>D6*E6</f>
        <v>4.5350540950000005</v>
      </c>
      <c r="G6" s="380">
        <f>F6*44/28</f>
        <v>7.1265135778571436</v>
      </c>
      <c r="H6" s="380">
        <f>G6*298</f>
        <v>2123.7010462014287</v>
      </c>
    </row>
    <row r="7" spans="3:8" x14ac:dyDescent="0.25">
      <c r="C7" s="388">
        <f>'Direct N2O'!A37</f>
        <v>2022</v>
      </c>
      <c r="D7" s="389">
        <f>'Direct N2O'!AA37*10^-3</f>
        <v>1367.75595</v>
      </c>
      <c r="E7" s="390">
        <f t="shared" ref="E7:E16" si="0">(0.0075*0.3)+(0.1*0.01)</f>
        <v>3.2499999999999999E-3</v>
      </c>
      <c r="F7" s="380">
        <f t="shared" ref="F7:F16" si="1">D7*E7</f>
        <v>4.4452068374999998</v>
      </c>
      <c r="G7" s="380">
        <f t="shared" ref="G7:G16" si="2">F7*44/28</f>
        <v>6.985325030357143</v>
      </c>
      <c r="H7" s="380">
        <f t="shared" ref="H7:H16" si="3">G7*298</f>
        <v>2081.6268590464288</v>
      </c>
    </row>
    <row r="8" spans="3:8" x14ac:dyDescent="0.25">
      <c r="C8" s="388">
        <f>'Direct N2O'!A38</f>
        <v>2023</v>
      </c>
      <c r="D8" s="389">
        <f>'Direct N2O'!AA38*10^-3</f>
        <v>1340.1106400000001</v>
      </c>
      <c r="E8" s="390">
        <f t="shared" si="0"/>
        <v>3.2499999999999999E-3</v>
      </c>
      <c r="F8" s="380">
        <f t="shared" si="1"/>
        <v>4.35535958</v>
      </c>
      <c r="G8" s="380">
        <f t="shared" si="2"/>
        <v>6.8441364828571434</v>
      </c>
      <c r="H8" s="380">
        <f t="shared" si="3"/>
        <v>2039.5526718914286</v>
      </c>
    </row>
    <row r="9" spans="3:8" x14ac:dyDescent="0.25">
      <c r="C9" s="388">
        <f>'Direct N2O'!A39</f>
        <v>2024</v>
      </c>
      <c r="D9" s="389">
        <f>'Direct N2O'!AA39*10^-3</f>
        <v>1312.46533</v>
      </c>
      <c r="E9" s="390">
        <f t="shared" si="0"/>
        <v>3.2499999999999999E-3</v>
      </c>
      <c r="F9" s="380">
        <f t="shared" si="1"/>
        <v>4.2655123224999993</v>
      </c>
      <c r="G9" s="380">
        <f t="shared" si="2"/>
        <v>6.702947935357142</v>
      </c>
      <c r="H9" s="380">
        <f t="shared" si="3"/>
        <v>1997.4784847364283</v>
      </c>
    </row>
    <row r="10" spans="3:8" x14ac:dyDescent="0.25">
      <c r="C10" s="388">
        <f>'Direct N2O'!A40</f>
        <v>2025</v>
      </c>
      <c r="D10" s="389">
        <f>'Direct N2O'!AA40*10^-3</f>
        <v>1284.8200200000001</v>
      </c>
      <c r="E10" s="390">
        <f t="shared" si="0"/>
        <v>3.2499999999999999E-3</v>
      </c>
      <c r="F10" s="380">
        <f t="shared" si="1"/>
        <v>4.1756650650000005</v>
      </c>
      <c r="G10" s="380">
        <f t="shared" si="2"/>
        <v>6.5617593878571432</v>
      </c>
      <c r="H10" s="380">
        <f t="shared" si="3"/>
        <v>1955.4042975814286</v>
      </c>
    </row>
    <row r="11" spans="3:8" x14ac:dyDescent="0.25">
      <c r="C11" s="388">
        <f>'Direct N2O'!A41</f>
        <v>2026</v>
      </c>
      <c r="D11" s="389">
        <f>'Direct N2O'!AA41*10^-3</f>
        <v>1257.17471</v>
      </c>
      <c r="E11" s="390">
        <f t="shared" si="0"/>
        <v>3.2499999999999999E-3</v>
      </c>
      <c r="F11" s="380">
        <f t="shared" si="1"/>
        <v>4.0858178074999998</v>
      </c>
      <c r="G11" s="380">
        <f t="shared" si="2"/>
        <v>6.4205708403571427</v>
      </c>
      <c r="H11" s="380">
        <f t="shared" si="3"/>
        <v>1913.3301104264285</v>
      </c>
    </row>
    <row r="12" spans="3:8" x14ac:dyDescent="0.25">
      <c r="C12" s="388">
        <f>'Direct N2O'!A42</f>
        <v>2027</v>
      </c>
      <c r="D12" s="389">
        <f>'Direct N2O'!AA42*10^-3</f>
        <v>1229.5294000000001</v>
      </c>
      <c r="E12" s="390">
        <f t="shared" si="0"/>
        <v>3.2499999999999999E-3</v>
      </c>
      <c r="F12" s="380">
        <f t="shared" si="1"/>
        <v>3.99597055</v>
      </c>
      <c r="G12" s="380">
        <f t="shared" si="2"/>
        <v>6.279382292857143</v>
      </c>
      <c r="H12" s="380">
        <f t="shared" si="3"/>
        <v>1871.2559232714286</v>
      </c>
    </row>
    <row r="13" spans="3:8" x14ac:dyDescent="0.25">
      <c r="C13" s="388">
        <f>'Direct N2O'!A43</f>
        <v>2028</v>
      </c>
      <c r="D13" s="389">
        <f>'Direct N2O'!AA43*10^-3</f>
        <v>1201.88409</v>
      </c>
      <c r="E13" s="390">
        <f t="shared" si="0"/>
        <v>3.2499999999999999E-3</v>
      </c>
      <c r="F13" s="380">
        <f t="shared" si="1"/>
        <v>3.9061232924999998</v>
      </c>
      <c r="G13" s="380">
        <f t="shared" si="2"/>
        <v>6.1381937453571425</v>
      </c>
      <c r="H13" s="380">
        <f t="shared" si="3"/>
        <v>1829.1817361164285</v>
      </c>
    </row>
    <row r="14" spans="3:8" x14ac:dyDescent="0.25">
      <c r="C14" s="388">
        <f>'Direct N2O'!A44</f>
        <v>2029</v>
      </c>
      <c r="D14" s="389">
        <f>'Direct N2O'!AA44*10^-3</f>
        <v>1174.2387800000001</v>
      </c>
      <c r="E14" s="390">
        <f t="shared" si="0"/>
        <v>3.2499999999999999E-3</v>
      </c>
      <c r="F14" s="380">
        <f t="shared" si="1"/>
        <v>3.8162760350000005</v>
      </c>
      <c r="G14" s="380">
        <f t="shared" si="2"/>
        <v>5.9970051978571437</v>
      </c>
      <c r="H14" s="380">
        <f t="shared" si="3"/>
        <v>1787.1075489614288</v>
      </c>
    </row>
    <row r="15" spans="3:8" x14ac:dyDescent="0.25">
      <c r="C15" s="388">
        <f>'Direct N2O'!A45</f>
        <v>2030</v>
      </c>
      <c r="D15" s="389">
        <f>'Direct N2O'!AA45*10^-3</f>
        <v>1146.59347</v>
      </c>
      <c r="E15" s="390">
        <f t="shared" si="0"/>
        <v>3.2499999999999999E-3</v>
      </c>
      <c r="F15" s="380">
        <f t="shared" si="1"/>
        <v>3.7264287774999998</v>
      </c>
      <c r="G15" s="380">
        <f t="shared" si="2"/>
        <v>5.8558166503571423</v>
      </c>
      <c r="H15" s="380">
        <f t="shared" si="3"/>
        <v>1745.0333618064285</v>
      </c>
    </row>
    <row r="16" spans="3:8" x14ac:dyDescent="0.25">
      <c r="C16" s="388">
        <f>'Direct N2O'!A46</f>
        <v>2031</v>
      </c>
      <c r="D16" s="389">
        <f>'Direct N2O'!AA46*10^-3</f>
        <v>0</v>
      </c>
      <c r="E16" s="390">
        <f t="shared" si="0"/>
        <v>3.2499999999999999E-3</v>
      </c>
      <c r="F16" s="380">
        <f t="shared" si="1"/>
        <v>0</v>
      </c>
      <c r="G16" s="380">
        <f t="shared" si="2"/>
        <v>0</v>
      </c>
      <c r="H16" s="380">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0.63579775601239474</v>
      </c>
      <c r="C5" s="68"/>
      <c r="D5" s="68"/>
      <c r="E5" s="233">
        <f>B5*21*10^3</f>
        <v>13351.752876260291</v>
      </c>
    </row>
    <row r="6" spans="1:5" x14ac:dyDescent="0.25">
      <c r="A6" s="68" t="s">
        <v>395</v>
      </c>
      <c r="B6" s="232">
        <f>'Peternakan-CH4'!H23</f>
        <v>1.2067075586439102</v>
      </c>
      <c r="C6" s="68"/>
      <c r="D6" s="68"/>
      <c r="E6" s="233">
        <f>B6*21*10^3</f>
        <v>25340.858731522116</v>
      </c>
    </row>
    <row r="7" spans="1:5" x14ac:dyDescent="0.25">
      <c r="A7" s="68" t="s">
        <v>359</v>
      </c>
      <c r="B7" s="68"/>
      <c r="C7" s="232">
        <f>'Peternakan-N2O'!K23+'Peternakan-N2O'!Y23</f>
        <v>1127.9376940230727</v>
      </c>
      <c r="D7" s="68"/>
      <c r="E7" s="233">
        <f>C7*298*10^-3</f>
        <v>336.12543281887565</v>
      </c>
    </row>
    <row r="8" spans="1:5" x14ac:dyDescent="0.25">
      <c r="A8" s="68" t="s">
        <v>360</v>
      </c>
      <c r="B8" s="68"/>
      <c r="C8" s="68"/>
      <c r="D8" s="68">
        <f>'Kapur pertanian-CO2'!G15</f>
        <v>0</v>
      </c>
      <c r="E8" s="233">
        <f>D8*44/12</f>
        <v>0</v>
      </c>
    </row>
    <row r="9" spans="1:5" x14ac:dyDescent="0.25">
      <c r="A9" s="68" t="s">
        <v>361</v>
      </c>
      <c r="B9" s="68"/>
      <c r="C9" s="68"/>
      <c r="D9" s="234">
        <f>'Pupuk Urea-CO2'!E11</f>
        <v>606.69620000000009</v>
      </c>
      <c r="E9" s="233">
        <f>D9*44/12</f>
        <v>2224.5527333333334</v>
      </c>
    </row>
    <row r="10" spans="1:5" x14ac:dyDescent="0.25">
      <c r="A10" s="68" t="s">
        <v>394</v>
      </c>
      <c r="B10" s="68"/>
      <c r="C10" s="234">
        <f>'Direct N2O'!G19</f>
        <v>28506.054311428568</v>
      </c>
      <c r="D10" s="68"/>
      <c r="E10" s="235">
        <f>C10*298*10^-3</f>
        <v>8494.8041848057146</v>
      </c>
    </row>
    <row r="11" spans="1:5" x14ac:dyDescent="0.25">
      <c r="A11" s="68"/>
      <c r="B11" s="68"/>
      <c r="C11" s="68"/>
      <c r="D11" s="68" t="s">
        <v>445</v>
      </c>
      <c r="E11" s="233">
        <f>SUM(E5:E10)</f>
        <v>49748.093958740326</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0.62320150390476281</v>
      </c>
      <c r="C16" s="68"/>
      <c r="D16" s="68"/>
      <c r="E16" s="233">
        <f>B16*21*10^3</f>
        <v>13087.231582000019</v>
      </c>
    </row>
    <row r="17" spans="1:5" x14ac:dyDescent="0.25">
      <c r="A17" s="68" t="s">
        <v>395</v>
      </c>
      <c r="B17" s="232">
        <f>'Peternakan-CH4'!P23</f>
        <v>1.2774038287702272</v>
      </c>
      <c r="C17" s="68"/>
      <c r="D17" s="68"/>
      <c r="E17" s="233">
        <f>B17*21*10^3</f>
        <v>26825.48040417477</v>
      </c>
    </row>
    <row r="18" spans="1:5" x14ac:dyDescent="0.25">
      <c r="A18" s="68" t="s">
        <v>359</v>
      </c>
      <c r="B18" s="68"/>
      <c r="C18" s="232">
        <f>'Peternakan-N2O'!AK23+'Peternakan-N2O'!AY23</f>
        <v>1153.8154493680277</v>
      </c>
      <c r="D18" s="68"/>
      <c r="E18" s="233">
        <f>C18*298*10^-3</f>
        <v>343.83700391167224</v>
      </c>
    </row>
    <row r="19" spans="1:5" x14ac:dyDescent="0.25">
      <c r="A19" s="68" t="s">
        <v>360</v>
      </c>
      <c r="B19" s="68"/>
      <c r="C19" s="68"/>
      <c r="D19" s="68">
        <f>'Kapur pertanian-CO2'!G26</f>
        <v>0</v>
      </c>
      <c r="E19" s="233">
        <f>D19*44/12</f>
        <v>0</v>
      </c>
    </row>
    <row r="20" spans="1:5" x14ac:dyDescent="0.25">
      <c r="A20" s="68" t="s">
        <v>361</v>
      </c>
      <c r="B20" s="68"/>
      <c r="C20" s="68"/>
      <c r="D20" s="234">
        <f>'Pupuk Urea-CO2'!E12</f>
        <v>594.67650000000003</v>
      </c>
      <c r="E20" s="233">
        <f>D20*44/12</f>
        <v>2180.4805000000001</v>
      </c>
    </row>
    <row r="21" spans="1:5" x14ac:dyDescent="0.25">
      <c r="A21" s="68" t="s">
        <v>394</v>
      </c>
      <c r="B21" s="68"/>
      <c r="C21" s="234">
        <f>'Direct N2O'!J19</f>
        <v>27941.300121428569</v>
      </c>
      <c r="D21" s="68"/>
      <c r="E21" s="235">
        <f>C21*298*10^-3</f>
        <v>8326.5074361857132</v>
      </c>
    </row>
    <row r="22" spans="1:5" x14ac:dyDescent="0.25">
      <c r="A22" s="68"/>
      <c r="B22" s="68"/>
      <c r="C22" s="68"/>
      <c r="D22" s="68" t="s">
        <v>446</v>
      </c>
      <c r="E22" s="233">
        <f>SUM(E16:E21)</f>
        <v>50763.536926272172</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0.61060525179713121</v>
      </c>
      <c r="C27" s="68"/>
      <c r="D27" s="68"/>
      <c r="E27" s="233">
        <f>B27*21*10^3</f>
        <v>12822.710287739756</v>
      </c>
    </row>
    <row r="28" spans="1:5" x14ac:dyDescent="0.25">
      <c r="A28" s="68" t="s">
        <v>395</v>
      </c>
      <c r="B28" s="232">
        <f>'Peternakan-CH4'!X23</f>
        <v>1.3535072988965442</v>
      </c>
      <c r="C28" s="68"/>
      <c r="D28" s="68"/>
      <c r="E28" s="233">
        <f>B28*21*10^3</f>
        <v>28423.653276827426</v>
      </c>
    </row>
    <row r="29" spans="1:5" x14ac:dyDescent="0.25">
      <c r="A29" s="68" t="s">
        <v>359</v>
      </c>
      <c r="B29" s="68"/>
      <c r="C29" s="232">
        <f>'Peternakan-N2O'!BK23+'Peternakan-N2O'!BY23</f>
        <v>1180.5465941101259</v>
      </c>
      <c r="D29" s="68"/>
      <c r="E29" s="233">
        <f>C29*298*10^-3</f>
        <v>351.80288504481751</v>
      </c>
    </row>
    <row r="30" spans="1:5" x14ac:dyDescent="0.25">
      <c r="A30" s="68" t="s">
        <v>360</v>
      </c>
      <c r="B30" s="68"/>
      <c r="C30" s="68"/>
      <c r="D30" s="68">
        <f>'Kapur pertanian-CO2'!G37</f>
        <v>0</v>
      </c>
      <c r="E30" s="233">
        <f>D30*44/12</f>
        <v>0</v>
      </c>
    </row>
    <row r="31" spans="1:5" x14ac:dyDescent="0.25">
      <c r="A31" s="68" t="s">
        <v>361</v>
      </c>
      <c r="B31" s="68"/>
      <c r="C31" s="68"/>
      <c r="D31" s="234">
        <f>'Pupuk Urea-CO2'!E13</f>
        <v>582.65680000000009</v>
      </c>
      <c r="E31" s="233">
        <f>D31*44/12</f>
        <v>2136.4082666666668</v>
      </c>
    </row>
    <row r="32" spans="1:5" x14ac:dyDescent="0.25">
      <c r="A32" s="68" t="s">
        <v>394</v>
      </c>
      <c r="B32" s="68"/>
      <c r="C32" s="234">
        <f>'Direct N2O'!M19</f>
        <v>27376.545931428573</v>
      </c>
      <c r="D32" s="68"/>
      <c r="E32" s="235">
        <f>C32*298*10^-3</f>
        <v>8158.2106875657155</v>
      </c>
    </row>
    <row r="33" spans="1:5" x14ac:dyDescent="0.25">
      <c r="A33" s="68"/>
      <c r="B33" s="68"/>
      <c r="C33" s="68"/>
      <c r="D33" s="68" t="s">
        <v>447</v>
      </c>
      <c r="E33" s="233">
        <f>SUM(E27:E32)</f>
        <v>51892.785403844377</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0.59800899968949928</v>
      </c>
      <c r="C38" s="68"/>
      <c r="D38" s="68"/>
      <c r="E38" s="233">
        <f>B38*21*10^3</f>
        <v>12558.188993479485</v>
      </c>
    </row>
    <row r="39" spans="1:5" x14ac:dyDescent="0.25">
      <c r="A39" s="68" t="s">
        <v>395</v>
      </c>
      <c r="B39" s="232">
        <f>'Peternakan-CH4'!AF23</f>
        <v>1.4315692490228558</v>
      </c>
      <c r="C39" s="68"/>
      <c r="D39" s="68"/>
      <c r="E39" s="233">
        <f>B39*21*10^3</f>
        <v>30062.954229479972</v>
      </c>
    </row>
    <row r="40" spans="1:5" x14ac:dyDescent="0.25">
      <c r="A40" s="68" t="s">
        <v>359</v>
      </c>
      <c r="B40" s="68"/>
      <c r="C40" s="232">
        <f>'Peternakan-N2O'!CK23+'Peternakan-N2O'!CY23</f>
        <v>1214.0646397893652</v>
      </c>
      <c r="D40" s="68"/>
      <c r="E40" s="233">
        <f>C40*298*10^-3</f>
        <v>361.79126265723085</v>
      </c>
    </row>
    <row r="41" spans="1:5" x14ac:dyDescent="0.25">
      <c r="A41" s="68" t="s">
        <v>360</v>
      </c>
      <c r="B41" s="68"/>
      <c r="C41" s="68"/>
      <c r="D41" s="68">
        <f>'Kapur pertanian-CO2'!G48</f>
        <v>0</v>
      </c>
      <c r="E41" s="233">
        <f>D41*44/12</f>
        <v>0</v>
      </c>
    </row>
    <row r="42" spans="1:5" x14ac:dyDescent="0.25">
      <c r="A42" s="68" t="s">
        <v>361</v>
      </c>
      <c r="B42" s="68"/>
      <c r="C42" s="68"/>
      <c r="D42" s="234">
        <f>'Pupuk Urea-CO2'!E14</f>
        <v>570.63710000000003</v>
      </c>
      <c r="E42" s="233">
        <f>D42*44/12</f>
        <v>2092.3360333333335</v>
      </c>
    </row>
    <row r="43" spans="1:5" x14ac:dyDescent="0.25">
      <c r="A43" s="68" t="s">
        <v>394</v>
      </c>
      <c r="B43" s="68"/>
      <c r="C43" s="234">
        <f>'Direct N2O'!P19</f>
        <v>26811.791741428577</v>
      </c>
      <c r="D43" s="68"/>
      <c r="E43" s="235">
        <f>C43*298*10^-3</f>
        <v>7989.9139389457168</v>
      </c>
    </row>
    <row r="44" spans="1:5" x14ac:dyDescent="0.25">
      <c r="A44" s="68"/>
      <c r="B44" s="68"/>
      <c r="C44" s="68"/>
      <c r="D44" s="68" t="s">
        <v>448</v>
      </c>
      <c r="E44" s="233">
        <f>SUM(E38:E43)</f>
        <v>53065.184457895739</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0.58541274758186768</v>
      </c>
      <c r="C49" s="68"/>
      <c r="D49" s="68"/>
      <c r="E49" s="233">
        <f>B49*21*10^3</f>
        <v>12293.667699219221</v>
      </c>
    </row>
    <row r="50" spans="1:5" x14ac:dyDescent="0.25">
      <c r="A50" s="68" t="s">
        <v>395</v>
      </c>
      <c r="B50" s="232">
        <f>'Peternakan-CH4'!AN23</f>
        <v>1.5019515391491773</v>
      </c>
      <c r="C50" s="68"/>
      <c r="D50" s="68"/>
      <c r="E50" s="233">
        <f>B50*21*10^3</f>
        <v>31540.982322132724</v>
      </c>
    </row>
    <row r="51" spans="1:5" x14ac:dyDescent="0.25">
      <c r="A51" s="68" t="s">
        <v>359</v>
      </c>
      <c r="B51" s="68"/>
      <c r="C51" s="232">
        <f>'Peternakan-N2O'!DK23+'Peternakan-N2O'!DY23</f>
        <v>1233.2096003371796</v>
      </c>
      <c r="D51" s="68"/>
      <c r="E51" s="233">
        <f>C51*298*10^-3</f>
        <v>367.49646090047952</v>
      </c>
    </row>
    <row r="52" spans="1:5" x14ac:dyDescent="0.25">
      <c r="A52" s="68" t="s">
        <v>360</v>
      </c>
      <c r="B52" s="68"/>
      <c r="C52" s="68"/>
      <c r="D52" s="68">
        <f>'Kapur pertanian-CO2'!G59</f>
        <v>0</v>
      </c>
      <c r="E52" s="233">
        <f>D52*44/12</f>
        <v>0</v>
      </c>
    </row>
    <row r="53" spans="1:5" x14ac:dyDescent="0.25">
      <c r="A53" s="68" t="s">
        <v>361</v>
      </c>
      <c r="B53" s="68"/>
      <c r="C53" s="68"/>
      <c r="D53" s="234">
        <f>'Pupuk Urea-CO2'!E15</f>
        <v>558.61739999999998</v>
      </c>
      <c r="E53" s="233">
        <f>D53*44/12</f>
        <v>2048.2638000000002</v>
      </c>
    </row>
    <row r="54" spans="1:5" x14ac:dyDescent="0.25">
      <c r="A54" s="68" t="s">
        <v>394</v>
      </c>
      <c r="B54" s="68"/>
      <c r="C54" s="234">
        <f>'Direct N2O'!S19</f>
        <v>26247.037551428573</v>
      </c>
      <c r="D54" s="68"/>
      <c r="E54" s="235">
        <f>C54*298*10^-3</f>
        <v>7821.6171903257145</v>
      </c>
    </row>
    <row r="55" spans="1:5" x14ac:dyDescent="0.25">
      <c r="A55" s="68"/>
      <c r="B55" s="68"/>
      <c r="C55" s="68"/>
      <c r="D55" s="68" t="s">
        <v>449</v>
      </c>
      <c r="E55" s="233">
        <f>SUM(E49:E54)</f>
        <v>54072.027472578142</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0.57281649547423585</v>
      </c>
      <c r="C60" s="68"/>
      <c r="D60" s="68"/>
      <c r="E60" s="233">
        <f>B60*21*10^3</f>
        <v>12029.146404958952</v>
      </c>
    </row>
    <row r="61" spans="1:5" x14ac:dyDescent="0.25">
      <c r="A61" s="68" t="s">
        <v>395</v>
      </c>
      <c r="B61" s="232">
        <f>'Peternakan-CH4'!AV23</f>
        <v>1.5827487892754892</v>
      </c>
      <c r="C61" s="68"/>
      <c r="D61" s="68"/>
      <c r="E61" s="233">
        <f>B61*21*10^3</f>
        <v>33237.724574785272</v>
      </c>
    </row>
    <row r="62" spans="1:5" x14ac:dyDescent="0.25">
      <c r="A62" s="68" t="s">
        <v>359</v>
      </c>
      <c r="B62" s="68"/>
      <c r="C62" s="304">
        <f>'Peternakan-N2O'!EK23+'Peternakan-N2O'!EY23</f>
        <v>1332.8385075364188</v>
      </c>
      <c r="D62" s="68"/>
      <c r="E62" s="233">
        <f>C62*298*10^-3</f>
        <v>397.1858752458528</v>
      </c>
    </row>
    <row r="63" spans="1:5" x14ac:dyDescent="0.25">
      <c r="A63" s="68" t="s">
        <v>360</v>
      </c>
      <c r="B63" s="68"/>
      <c r="C63" s="68"/>
      <c r="D63" s="68">
        <f>'Kapur pertanian-CO2'!G70</f>
        <v>0</v>
      </c>
      <c r="E63" s="233">
        <f>D63*44/12</f>
        <v>0</v>
      </c>
    </row>
    <row r="64" spans="1:5" x14ac:dyDescent="0.25">
      <c r="A64" s="68" t="s">
        <v>361</v>
      </c>
      <c r="B64" s="68"/>
      <c r="C64" s="68"/>
      <c r="D64" s="234">
        <f>'Pupuk Urea-CO2'!E16</f>
        <v>546.59770000000003</v>
      </c>
      <c r="E64" s="233">
        <f>D64*44/12</f>
        <v>2004.1915666666666</v>
      </c>
    </row>
    <row r="65" spans="1:5" x14ac:dyDescent="0.25">
      <c r="A65" s="68" t="s">
        <v>394</v>
      </c>
      <c r="B65" s="68"/>
      <c r="C65" s="234">
        <f>'Direct N2O'!V19</f>
        <v>25682.28336142857</v>
      </c>
      <c r="D65" s="68"/>
      <c r="E65" s="235">
        <f>C65*298*10^-3</f>
        <v>7653.3204417057141</v>
      </c>
    </row>
    <row r="66" spans="1:5" x14ac:dyDescent="0.25">
      <c r="A66" s="68"/>
      <c r="B66" s="68"/>
      <c r="C66" s="68"/>
      <c r="D66" s="68" t="s">
        <v>450</v>
      </c>
      <c r="E66" s="233">
        <f>SUM(E60:E65)</f>
        <v>55321.56886336246</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0.56022024336660414</v>
      </c>
      <c r="C71" s="68"/>
      <c r="D71" s="68"/>
      <c r="E71" s="233">
        <f>B71*21*10^3</f>
        <v>11764.625110698686</v>
      </c>
    </row>
    <row r="72" spans="1:5" x14ac:dyDescent="0.25">
      <c r="A72" s="68" t="s">
        <v>395</v>
      </c>
      <c r="B72" s="232">
        <f>'Peternakan-CH4'!BD23</f>
        <v>1.6583025594018059</v>
      </c>
      <c r="C72" s="68"/>
      <c r="D72" s="68"/>
      <c r="E72" s="233">
        <f>B72*21*10^3</f>
        <v>34824.353747437926</v>
      </c>
    </row>
    <row r="73" spans="1:5" x14ac:dyDescent="0.25">
      <c r="A73" s="68" t="s">
        <v>359</v>
      </c>
      <c r="B73" s="68"/>
      <c r="C73" s="304">
        <f>'Peternakan-N2O'!FK23+'Peternakan-N2O'!FY23</f>
        <v>1358.1939366185172</v>
      </c>
      <c r="D73" s="68"/>
      <c r="E73" s="233">
        <f>C73*298*10^-3</f>
        <v>404.74179311231813</v>
      </c>
    </row>
    <row r="74" spans="1:5" x14ac:dyDescent="0.25">
      <c r="A74" s="68" t="s">
        <v>360</v>
      </c>
      <c r="B74" s="68"/>
      <c r="C74" s="68"/>
      <c r="D74" s="68">
        <f>'Kapur pertanian-CO2'!G81</f>
        <v>0</v>
      </c>
      <c r="E74" s="233">
        <f>D74*44/12</f>
        <v>0</v>
      </c>
    </row>
    <row r="75" spans="1:5" x14ac:dyDescent="0.25">
      <c r="A75" s="68" t="s">
        <v>361</v>
      </c>
      <c r="B75" s="68"/>
      <c r="C75" s="68"/>
      <c r="D75" s="234">
        <f>'Pupuk Urea-CO2'!E17</f>
        <v>534.57799999999997</v>
      </c>
      <c r="E75" s="233">
        <f>D75*44/12</f>
        <v>1960.1193333333333</v>
      </c>
    </row>
    <row r="76" spans="1:5" x14ac:dyDescent="0.25">
      <c r="A76" s="68" t="s">
        <v>394</v>
      </c>
      <c r="B76" s="68"/>
      <c r="C76" s="234">
        <f>'Direct N2O'!Y19</f>
        <v>25117.529171428574</v>
      </c>
      <c r="D76" s="68"/>
      <c r="E76" s="235">
        <f>C76*298*10^-3</f>
        <v>7485.0236930857154</v>
      </c>
    </row>
    <row r="77" spans="1:5" x14ac:dyDescent="0.25">
      <c r="A77" s="68"/>
      <c r="B77" s="68"/>
      <c r="C77" s="68"/>
      <c r="D77" s="68" t="s">
        <v>451</v>
      </c>
      <c r="E77" s="233">
        <f>SUM(E71:E76)</f>
        <v>56438.863677667985</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0.54762399125897232</v>
      </c>
      <c r="C82" s="68"/>
      <c r="D82" s="68"/>
      <c r="E82" s="233">
        <f>B82*21*10^3</f>
        <v>11500.103816438419</v>
      </c>
    </row>
    <row r="83" spans="1:5" x14ac:dyDescent="0.25">
      <c r="A83" s="68" t="s">
        <v>395</v>
      </c>
      <c r="B83" s="232">
        <f>'Peternakan-CH4'!BL23</f>
        <v>1.7381653895281184</v>
      </c>
      <c r="C83" s="68"/>
      <c r="D83" s="68"/>
      <c r="E83" s="233">
        <f>B83*21*10^3</f>
        <v>36501.473180090485</v>
      </c>
    </row>
    <row r="84" spans="1:5" x14ac:dyDescent="0.25">
      <c r="A84" s="68" t="s">
        <v>359</v>
      </c>
      <c r="B84" s="68"/>
      <c r="C84" s="232">
        <f>'Peternakan-N2O'!GK23+'Peternakan-N2O'!GY23</f>
        <v>1429.9398343148989</v>
      </c>
      <c r="D84" s="68"/>
      <c r="E84" s="233">
        <f>C84*298*10^-3</f>
        <v>426.12207062583985</v>
      </c>
    </row>
    <row r="85" spans="1:5" x14ac:dyDescent="0.25">
      <c r="A85" s="68" t="s">
        <v>360</v>
      </c>
      <c r="B85" s="68"/>
      <c r="C85" s="68"/>
      <c r="D85" s="68">
        <f>'Kapur pertanian-CO2'!G92</f>
        <v>0</v>
      </c>
      <c r="E85" s="233">
        <f>D85*44/12</f>
        <v>0</v>
      </c>
    </row>
    <row r="86" spans="1:5" x14ac:dyDescent="0.25">
      <c r="A86" s="68" t="s">
        <v>361</v>
      </c>
      <c r="B86" s="68"/>
      <c r="C86" s="68"/>
      <c r="D86" s="234">
        <f>'Pupuk Urea-CO2'!E18</f>
        <v>522.55830000000003</v>
      </c>
      <c r="E86" s="233">
        <f>D86*44/12</f>
        <v>1916.0471</v>
      </c>
    </row>
    <row r="87" spans="1:5" x14ac:dyDescent="0.25">
      <c r="A87" s="68" t="s">
        <v>394</v>
      </c>
      <c r="B87" s="68"/>
      <c r="C87" s="234">
        <f>'Direct N2O'!AB19</f>
        <v>24552.774981428574</v>
      </c>
      <c r="D87" s="68"/>
      <c r="E87" s="235">
        <f>C87*298*10^-3</f>
        <v>7316.7269444657159</v>
      </c>
    </row>
    <row r="88" spans="1:5" x14ac:dyDescent="0.25">
      <c r="A88" s="68"/>
      <c r="B88" s="68"/>
      <c r="C88" s="68"/>
      <c r="D88" s="68" t="s">
        <v>452</v>
      </c>
      <c r="E88" s="233">
        <f>SUM(E82:E87)</f>
        <v>57660.473111620464</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0.5350277391513405</v>
      </c>
      <c r="C93" s="68"/>
      <c r="D93" s="68"/>
      <c r="E93" s="233">
        <f>B93*21*10^3</f>
        <v>11235.582522178151</v>
      </c>
    </row>
    <row r="94" spans="1:5" x14ac:dyDescent="0.25">
      <c r="A94" s="68" t="s">
        <v>395</v>
      </c>
      <c r="B94" s="232">
        <f>'Peternakan-CH4'!BT23</f>
        <v>1.8157100196544351</v>
      </c>
      <c r="C94" s="68"/>
      <c r="D94" s="68"/>
      <c r="E94" s="233">
        <f>B94*21*10^3</f>
        <v>38129.910412743135</v>
      </c>
    </row>
    <row r="95" spans="1:5" x14ac:dyDescent="0.25">
      <c r="A95" s="68" t="s">
        <v>359</v>
      </c>
      <c r="B95" s="68"/>
      <c r="C95" s="232">
        <f>'Peternakan-N2O'!HK23+'Peternakan-N2O'!HY23</f>
        <v>1461.695265168426</v>
      </c>
      <c r="D95" s="68"/>
      <c r="E95" s="233">
        <f>C95*298*10^-3</f>
        <v>435.58518902019097</v>
      </c>
    </row>
    <row r="96" spans="1:5" x14ac:dyDescent="0.25">
      <c r="A96" s="68" t="s">
        <v>360</v>
      </c>
      <c r="B96" s="68"/>
      <c r="C96" s="68"/>
      <c r="D96" s="68">
        <f>'Kapur pertanian-CO2'!G103</f>
        <v>0</v>
      </c>
      <c r="E96" s="233">
        <f>D96*44/12</f>
        <v>0</v>
      </c>
    </row>
    <row r="97" spans="1:5" x14ac:dyDescent="0.25">
      <c r="A97" s="68" t="s">
        <v>361</v>
      </c>
      <c r="B97" s="68"/>
      <c r="C97" s="68"/>
      <c r="D97" s="234">
        <f>'Pupuk Urea-CO2'!E19</f>
        <v>510.53860000000009</v>
      </c>
      <c r="E97" s="233">
        <f>D97*44/12</f>
        <v>1871.9748666666671</v>
      </c>
    </row>
    <row r="98" spans="1:5" x14ac:dyDescent="0.25">
      <c r="A98" s="68" t="s">
        <v>394</v>
      </c>
      <c r="B98" s="68"/>
      <c r="C98" s="234">
        <f>'Direct N2O'!AE19</f>
        <v>23988.020791428571</v>
      </c>
      <c r="D98" s="68"/>
      <c r="E98" s="235">
        <f>C98*298*10^-3</f>
        <v>7148.4301958457136</v>
      </c>
    </row>
    <row r="99" spans="1:5" x14ac:dyDescent="0.25">
      <c r="A99" s="68"/>
      <c r="B99" s="68"/>
      <c r="C99" s="68"/>
      <c r="D99" s="68" t="s">
        <v>453</v>
      </c>
      <c r="E99" s="233">
        <f>SUM(E93:E98)</f>
        <v>58821.48318645385</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0.5224314870437089</v>
      </c>
      <c r="C104" s="68"/>
      <c r="D104" s="68"/>
      <c r="E104" s="233">
        <f>B104*21*10^3</f>
        <v>10971.061227917886</v>
      </c>
    </row>
    <row r="105" spans="1:5" x14ac:dyDescent="0.25">
      <c r="A105" s="68" t="s">
        <v>395</v>
      </c>
      <c r="B105" s="232">
        <f>'Peternakan-CH4'!CB23</f>
        <v>1.8942430697807522</v>
      </c>
      <c r="C105" s="68"/>
      <c r="D105" s="68"/>
      <c r="E105" s="233">
        <f>B105*21*10^3</f>
        <v>39779.104465395794</v>
      </c>
    </row>
    <row r="106" spans="1:5" x14ac:dyDescent="0.25">
      <c r="A106" s="68" t="s">
        <v>359</v>
      </c>
      <c r="B106" s="68"/>
      <c r="C106" s="232">
        <f>'Peternakan-N2O'!IK23+'Peternakan-N2O'!IY23</f>
        <v>1495.399806450524</v>
      </c>
      <c r="D106" s="68"/>
      <c r="E106" s="233">
        <f>C106*298*10^-3</f>
        <v>445.6291423222562</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498.51890000000003</v>
      </c>
      <c r="E108" s="233">
        <f>D108*44/12</f>
        <v>1827.9026333333334</v>
      </c>
    </row>
    <row r="109" spans="1:5" x14ac:dyDescent="0.25">
      <c r="A109" s="68" t="s">
        <v>394</v>
      </c>
      <c r="B109" s="68"/>
      <c r="C109" s="234">
        <f>'Direct N2O'!AH19</f>
        <v>23423.266601428568</v>
      </c>
      <c r="D109" s="68"/>
      <c r="E109" s="235">
        <f>C109*298*10^-3</f>
        <v>6980.1334472257131</v>
      </c>
    </row>
    <row r="110" spans="1:5" x14ac:dyDescent="0.25">
      <c r="A110" s="68"/>
      <c r="B110" s="68"/>
      <c r="C110" s="68"/>
      <c r="D110" s="68" t="s">
        <v>454</v>
      </c>
      <c r="E110" s="233">
        <f>SUM(E104:E109)</f>
        <v>60003.830916194987</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3" t="s">
        <v>517</v>
      </c>
      <c r="B124" s="493"/>
      <c r="C124" s="493"/>
      <c r="D124" s="493"/>
      <c r="E124" s="493"/>
      <c r="F124" s="493"/>
      <c r="G124" s="493"/>
      <c r="H124" s="493"/>
      <c r="I124" s="493"/>
      <c r="J124" s="493"/>
      <c r="K124" s="493"/>
      <c r="L124" s="493"/>
    </row>
    <row r="125" spans="1:22" x14ac:dyDescent="0.25">
      <c r="A125" s="178"/>
    </row>
    <row r="126" spans="1:22" x14ac:dyDescent="0.25">
      <c r="A126" s="243"/>
      <c r="B126" s="492" t="s">
        <v>434</v>
      </c>
      <c r="C126" s="492"/>
      <c r="D126" s="492"/>
      <c r="E126" s="492"/>
      <c r="F126" s="492"/>
      <c r="G126" s="492"/>
      <c r="H126" s="492"/>
      <c r="I126" s="492"/>
      <c r="J126" s="492"/>
      <c r="K126" s="492"/>
      <c r="L126" s="492"/>
    </row>
    <row r="127" spans="1:22" x14ac:dyDescent="0.25">
      <c r="A127" s="243" t="s">
        <v>424</v>
      </c>
      <c r="B127" s="244">
        <f>'Direct N2O'!D52</f>
        <v>2021</v>
      </c>
      <c r="C127" s="391">
        <f>'Direct N2O'!E52</f>
        <v>2022</v>
      </c>
      <c r="D127" s="391">
        <f>'Direct N2O'!F52</f>
        <v>2023</v>
      </c>
      <c r="E127" s="391">
        <f>'Direct N2O'!G52</f>
        <v>2024</v>
      </c>
      <c r="F127" s="391">
        <f>'Direct N2O'!H52</f>
        <v>2025</v>
      </c>
      <c r="G127" s="391">
        <f>'Direct N2O'!I52</f>
        <v>2026</v>
      </c>
      <c r="H127" s="391">
        <f>'Direct N2O'!J52</f>
        <v>2027</v>
      </c>
      <c r="I127" s="391">
        <f>'Direct N2O'!K52</f>
        <v>2028</v>
      </c>
      <c r="J127" s="391">
        <f>'Direct N2O'!L52</f>
        <v>2029</v>
      </c>
      <c r="K127" s="391">
        <f>'Direct N2O'!M52</f>
        <v>2030</v>
      </c>
      <c r="L127" s="391"/>
      <c r="M127" s="250"/>
      <c r="N127" s="250"/>
      <c r="O127" s="250"/>
      <c r="P127" s="250"/>
      <c r="Q127" s="250"/>
      <c r="R127" s="250"/>
      <c r="S127" s="250"/>
      <c r="T127" s="250"/>
      <c r="U127" s="250"/>
      <c r="V127" s="250"/>
    </row>
    <row r="128" spans="1:22" x14ac:dyDescent="0.25">
      <c r="A128" s="68" t="s">
        <v>358</v>
      </c>
      <c r="B128" s="384">
        <f>E5</f>
        <v>13351.752876260291</v>
      </c>
      <c r="C128" s="384">
        <f t="shared" ref="C128:C133" si="0">E16</f>
        <v>13087.231582000019</v>
      </c>
      <c r="D128" s="384">
        <f t="shared" ref="D128:D132" si="1">E27</f>
        <v>12822.710287739756</v>
      </c>
      <c r="E128" s="384">
        <f>E38</f>
        <v>12558.188993479485</v>
      </c>
      <c r="F128" s="384">
        <f>E49</f>
        <v>12293.667699219221</v>
      </c>
      <c r="G128" s="384">
        <f>E60</f>
        <v>12029.146404958952</v>
      </c>
      <c r="H128" s="384">
        <f>E71</f>
        <v>11764.625110698686</v>
      </c>
      <c r="I128" s="384">
        <f>E82</f>
        <v>11500.103816438419</v>
      </c>
      <c r="J128" s="384">
        <f>E93</f>
        <v>11235.582522178151</v>
      </c>
      <c r="K128" s="384">
        <f>E104</f>
        <v>10971.061227917886</v>
      </c>
      <c r="L128" s="384">
        <f t="shared" ref="L128:L133" si="2">E115</f>
        <v>0</v>
      </c>
    </row>
    <row r="129" spans="1:12" x14ac:dyDescent="0.25">
      <c r="A129" s="68" t="s">
        <v>395</v>
      </c>
      <c r="B129" s="384">
        <f t="shared" ref="B129:B133" si="3">E6</f>
        <v>25340.858731522116</v>
      </c>
      <c r="C129" s="384">
        <f t="shared" si="0"/>
        <v>26825.48040417477</v>
      </c>
      <c r="D129" s="384">
        <f t="shared" si="1"/>
        <v>28423.653276827426</v>
      </c>
      <c r="E129" s="384">
        <f t="shared" ref="E129:E133" si="4">E39</f>
        <v>30062.954229479972</v>
      </c>
      <c r="F129" s="384">
        <f t="shared" ref="F129:F133" si="5">E50</f>
        <v>31540.982322132724</v>
      </c>
      <c r="G129" s="384">
        <f t="shared" ref="G129:G133" si="6">E61</f>
        <v>33237.724574785272</v>
      </c>
      <c r="H129" s="384">
        <f t="shared" ref="H129:H133" si="7">E72</f>
        <v>34824.353747437926</v>
      </c>
      <c r="I129" s="384">
        <f t="shared" ref="I129:I133" si="8">E83</f>
        <v>36501.473180090485</v>
      </c>
      <c r="J129" s="384">
        <f t="shared" ref="J129:J133" si="9">E94</f>
        <v>38129.910412743135</v>
      </c>
      <c r="K129" s="384">
        <f t="shared" ref="K129:K133" si="10">E105</f>
        <v>39779.104465395794</v>
      </c>
      <c r="L129" s="384">
        <f t="shared" si="2"/>
        <v>0</v>
      </c>
    </row>
    <row r="130" spans="1:12" x14ac:dyDescent="0.25">
      <c r="A130" s="68" t="s">
        <v>359</v>
      </c>
      <c r="B130" s="384">
        <f t="shared" si="3"/>
        <v>336.12543281887565</v>
      </c>
      <c r="C130" s="384">
        <f t="shared" si="0"/>
        <v>343.83700391167224</v>
      </c>
      <c r="D130" s="384">
        <f t="shared" si="1"/>
        <v>351.80288504481751</v>
      </c>
      <c r="E130" s="384">
        <f t="shared" si="4"/>
        <v>361.79126265723085</v>
      </c>
      <c r="F130" s="384">
        <f t="shared" si="5"/>
        <v>367.49646090047952</v>
      </c>
      <c r="G130" s="384">
        <f t="shared" si="6"/>
        <v>397.1858752458528</v>
      </c>
      <c r="H130" s="384">
        <f t="shared" si="7"/>
        <v>404.74179311231813</v>
      </c>
      <c r="I130" s="384">
        <f t="shared" si="8"/>
        <v>426.12207062583985</v>
      </c>
      <c r="J130" s="384">
        <f t="shared" si="9"/>
        <v>435.58518902019097</v>
      </c>
      <c r="K130" s="384">
        <f t="shared" si="10"/>
        <v>445.6291423222562</v>
      </c>
      <c r="L130" s="384">
        <f t="shared" si="2"/>
        <v>0</v>
      </c>
    </row>
    <row r="131" spans="1:12" x14ac:dyDescent="0.25">
      <c r="A131" s="68" t="s">
        <v>360</v>
      </c>
      <c r="B131" s="384">
        <f t="shared" si="3"/>
        <v>0</v>
      </c>
      <c r="C131" s="384">
        <f t="shared" si="0"/>
        <v>0</v>
      </c>
      <c r="D131" s="384">
        <f t="shared" si="1"/>
        <v>0</v>
      </c>
      <c r="E131" s="384">
        <f t="shared" si="4"/>
        <v>0</v>
      </c>
      <c r="F131" s="384">
        <f t="shared" si="5"/>
        <v>0</v>
      </c>
      <c r="G131" s="384">
        <f t="shared" si="6"/>
        <v>0</v>
      </c>
      <c r="H131" s="384">
        <f t="shared" si="7"/>
        <v>0</v>
      </c>
      <c r="I131" s="384">
        <f t="shared" si="8"/>
        <v>0</v>
      </c>
      <c r="J131" s="384">
        <f t="shared" si="9"/>
        <v>0</v>
      </c>
      <c r="K131" s="384">
        <f t="shared" si="10"/>
        <v>0</v>
      </c>
      <c r="L131" s="384">
        <f t="shared" si="2"/>
        <v>0</v>
      </c>
    </row>
    <row r="132" spans="1:12" x14ac:dyDescent="0.25">
      <c r="A132" s="68" t="s">
        <v>361</v>
      </c>
      <c r="B132" s="384">
        <f t="shared" si="3"/>
        <v>2224.5527333333334</v>
      </c>
      <c r="C132" s="384">
        <f t="shared" si="0"/>
        <v>2180.4805000000001</v>
      </c>
      <c r="D132" s="384">
        <f t="shared" si="1"/>
        <v>2136.4082666666668</v>
      </c>
      <c r="E132" s="384">
        <f t="shared" si="4"/>
        <v>2092.3360333333335</v>
      </c>
      <c r="F132" s="384">
        <f t="shared" si="5"/>
        <v>2048.2638000000002</v>
      </c>
      <c r="G132" s="384">
        <f t="shared" si="6"/>
        <v>2004.1915666666666</v>
      </c>
      <c r="H132" s="384">
        <f t="shared" si="7"/>
        <v>1960.1193333333333</v>
      </c>
      <c r="I132" s="384">
        <f t="shared" si="8"/>
        <v>1916.0471</v>
      </c>
      <c r="J132" s="384">
        <f t="shared" si="9"/>
        <v>1871.9748666666671</v>
      </c>
      <c r="K132" s="384">
        <f t="shared" si="10"/>
        <v>1827.9026333333334</v>
      </c>
      <c r="L132" s="384">
        <f t="shared" si="2"/>
        <v>0</v>
      </c>
    </row>
    <row r="133" spans="1:12" x14ac:dyDescent="0.25">
      <c r="A133" s="68" t="s">
        <v>394</v>
      </c>
      <c r="B133" s="384">
        <f t="shared" si="3"/>
        <v>8494.8041848057146</v>
      </c>
      <c r="C133" s="384">
        <f t="shared" si="0"/>
        <v>8326.5074361857132</v>
      </c>
      <c r="D133" s="384">
        <f>E32</f>
        <v>8158.2106875657155</v>
      </c>
      <c r="E133" s="384">
        <f t="shared" si="4"/>
        <v>7989.9139389457168</v>
      </c>
      <c r="F133" s="384">
        <f t="shared" si="5"/>
        <v>7821.6171903257145</v>
      </c>
      <c r="G133" s="384">
        <f t="shared" si="6"/>
        <v>7653.3204417057141</v>
      </c>
      <c r="H133" s="384">
        <f t="shared" si="7"/>
        <v>7485.0236930857154</v>
      </c>
      <c r="I133" s="384">
        <f t="shared" si="8"/>
        <v>7316.7269444657159</v>
      </c>
      <c r="J133" s="384">
        <f t="shared" si="9"/>
        <v>7148.4301958457136</v>
      </c>
      <c r="K133" s="384">
        <f t="shared" si="10"/>
        <v>6980.1334472257131</v>
      </c>
      <c r="L133" s="384">
        <f t="shared" si="2"/>
        <v>0</v>
      </c>
    </row>
    <row r="134" spans="1:12" x14ac:dyDescent="0.25">
      <c r="A134" s="68" t="s">
        <v>515</v>
      </c>
      <c r="B134" s="384">
        <f>'Un-Direct N2O'!H6</f>
        <v>2123.7010462014287</v>
      </c>
      <c r="C134" s="384">
        <f>'Un-Direct N2O'!H7</f>
        <v>2081.6268590464288</v>
      </c>
      <c r="D134" s="384">
        <f>'Un-Direct N2O'!H8</f>
        <v>2039.5526718914286</v>
      </c>
      <c r="E134" s="384">
        <f>'Un-Direct N2O'!H9</f>
        <v>1997.4784847364283</v>
      </c>
      <c r="F134" s="384">
        <f>'Un-Direct N2O'!H10</f>
        <v>1955.4042975814286</v>
      </c>
      <c r="G134" s="384">
        <f>'Un-Direct N2O'!H11</f>
        <v>1913.3301104264285</v>
      </c>
      <c r="H134" s="384">
        <f>'Un-Direct N2O'!H12</f>
        <v>1871.2559232714286</v>
      </c>
      <c r="I134" s="384">
        <f>'Un-Direct N2O'!H13</f>
        <v>1829.1817361164285</v>
      </c>
      <c r="J134" s="384">
        <f>'Un-Direct N2O'!H14</f>
        <v>1787.1075489614288</v>
      </c>
      <c r="K134" s="384">
        <f>'Un-Direct N2O'!H15</f>
        <v>1745.0333618064285</v>
      </c>
      <c r="L134" s="384">
        <f>'Un-Direct N2O'!H16</f>
        <v>0</v>
      </c>
    </row>
    <row r="135" spans="1:12" x14ac:dyDescent="0.25">
      <c r="A135" s="245" t="s">
        <v>435</v>
      </c>
      <c r="B135" s="385">
        <f>SUM(B128:B134)</f>
        <v>51871.795004941756</v>
      </c>
      <c r="C135" s="385">
        <f t="shared" ref="C135:L135" si="11">SUM(C128:C134)</f>
        <v>52845.163785318604</v>
      </c>
      <c r="D135" s="385">
        <f t="shared" si="11"/>
        <v>53932.338075735803</v>
      </c>
      <c r="E135" s="385">
        <f t="shared" si="11"/>
        <v>55062.662942632167</v>
      </c>
      <c r="F135" s="385">
        <f t="shared" si="11"/>
        <v>56027.431770159572</v>
      </c>
      <c r="G135" s="385">
        <f t="shared" si="11"/>
        <v>57234.898973788891</v>
      </c>
      <c r="H135" s="385">
        <f t="shared" si="11"/>
        <v>58310.119600939412</v>
      </c>
      <c r="I135" s="385">
        <f t="shared" si="11"/>
        <v>59489.654847736892</v>
      </c>
      <c r="J135" s="385">
        <f t="shared" si="11"/>
        <v>60608.590735415281</v>
      </c>
      <c r="K135" s="385">
        <f t="shared" si="11"/>
        <v>61748.864278001412</v>
      </c>
      <c r="L135" s="385">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4" t="s">
        <v>456</v>
      </c>
      <c r="C3" s="414"/>
      <c r="D3" s="414"/>
      <c r="E3" s="414"/>
      <c r="F3" s="414"/>
      <c r="G3" s="414"/>
      <c r="H3" s="414"/>
      <c r="I3" s="414"/>
      <c r="J3" s="414"/>
      <c r="K3" s="414"/>
      <c r="L3" s="415"/>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22</v>
      </c>
      <c r="C5" s="230">
        <f>'Peternakan-CH4'!D27</f>
        <v>24</v>
      </c>
      <c r="D5" s="230">
        <f>'Peternakan-CH4'!E27</f>
        <v>25</v>
      </c>
      <c r="E5" s="230">
        <f>'Peternakan-CH4'!F27</f>
        <v>26</v>
      </c>
      <c r="F5" s="230">
        <f>'Peternakan-CH4'!G27</f>
        <v>28</v>
      </c>
      <c r="G5" s="230">
        <f>'Peternakan-CH4'!H27</f>
        <v>29</v>
      </c>
      <c r="H5" s="230">
        <f>'Peternakan-CH4'!I27</f>
        <v>31</v>
      </c>
      <c r="I5" s="230">
        <f>'Peternakan-CH4'!J27</f>
        <v>33</v>
      </c>
      <c r="J5" s="230">
        <f>'Peternakan-CH4'!K27</f>
        <v>35</v>
      </c>
      <c r="K5" s="230">
        <f>'Peternakan-CH4'!L27</f>
        <v>36</v>
      </c>
      <c r="L5" s="226"/>
    </row>
    <row r="6" spans="1:12" x14ac:dyDescent="0.25">
      <c r="A6" s="56" t="s">
        <v>71</v>
      </c>
      <c r="B6" s="230">
        <f>'Peternakan-CH4'!C28</f>
        <v>22546.526638414802</v>
      </c>
      <c r="C6" s="230">
        <f>'Peternakan-CH4'!D28</f>
        <v>24027.577266046399</v>
      </c>
      <c r="D6" s="230">
        <f>'Peternakan-CH4'!E28</f>
        <v>25508.627893678</v>
      </c>
      <c r="E6" s="230">
        <f>'Peternakan-CH4'!F28</f>
        <v>26989.678521309499</v>
      </c>
      <c r="F6" s="230">
        <f>'Peternakan-CH4'!G28</f>
        <v>28470.729148941198</v>
      </c>
      <c r="G6" s="230">
        <f>'Peternakan-CH4'!H28</f>
        <v>29951.779776572701</v>
      </c>
      <c r="H6" s="230">
        <f>'Peternakan-CH4'!I28</f>
        <v>31432.830404204298</v>
      </c>
      <c r="I6" s="230">
        <f>'Peternakan-CH4'!J28</f>
        <v>32913.881031835801</v>
      </c>
      <c r="J6" s="230">
        <f>'Peternakan-CH4'!K28</f>
        <v>34394.931659467402</v>
      </c>
      <c r="K6" s="230">
        <f>'Peternakan-CH4'!L28</f>
        <v>35875.982287099003</v>
      </c>
      <c r="L6" s="226"/>
    </row>
    <row r="7" spans="1:12" x14ac:dyDescent="0.25">
      <c r="A7" s="56" t="s">
        <v>22</v>
      </c>
      <c r="B7" s="230">
        <f>'Peternakan-CH4'!C29</f>
        <v>625</v>
      </c>
      <c r="C7" s="230">
        <f>'Peternakan-CH4'!D29</f>
        <v>630</v>
      </c>
      <c r="D7" s="230">
        <f>'Peternakan-CH4'!E29</f>
        <v>634</v>
      </c>
      <c r="E7" s="230">
        <f>'Peternakan-CH4'!F29</f>
        <v>639</v>
      </c>
      <c r="F7" s="230">
        <f>'Peternakan-CH4'!G29</f>
        <v>644</v>
      </c>
      <c r="G7" s="230">
        <f>'Peternakan-CH4'!H29</f>
        <v>650</v>
      </c>
      <c r="H7" s="230">
        <f>'Peternakan-CH4'!I29</f>
        <v>655</v>
      </c>
      <c r="I7" s="230">
        <f>'Peternakan-CH4'!J29</f>
        <v>659</v>
      </c>
      <c r="J7" s="230">
        <f>'Peternakan-CH4'!K29</f>
        <v>664</v>
      </c>
      <c r="K7" s="230">
        <f>'Peternakan-CH4'!L29</f>
        <v>669</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4737</v>
      </c>
      <c r="C9" s="230">
        <f>'Peternakan-CH4'!D31</f>
        <v>4711</v>
      </c>
      <c r="D9" s="230">
        <f>'Peternakan-CH4'!E31</f>
        <v>4685</v>
      </c>
      <c r="E9" s="230">
        <f>'Peternakan-CH4'!F31</f>
        <v>4658</v>
      </c>
      <c r="F9" s="230">
        <f>'Peternakan-CH4'!G31</f>
        <v>4631</v>
      </c>
      <c r="G9" s="230">
        <f>'Peternakan-CH4'!H31</f>
        <v>4602</v>
      </c>
      <c r="H9" s="230">
        <f>'Peternakan-CH4'!I31</f>
        <v>4574</v>
      </c>
      <c r="I9" s="230">
        <f>'Peternakan-CH4'!J31</f>
        <v>4544</v>
      </c>
      <c r="J9" s="230">
        <f>'Peternakan-CH4'!K31</f>
        <v>4514</v>
      </c>
      <c r="K9" s="230">
        <f>'Peternakan-CH4'!L31</f>
        <v>4484</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428381</v>
      </c>
      <c r="C11" s="230">
        <f>'Peternakan-CH4'!D33</f>
        <v>438662</v>
      </c>
      <c r="D11" s="230">
        <f>'Peternakan-CH4'!E33</f>
        <v>449190</v>
      </c>
      <c r="E11" s="230">
        <f>'Peternakan-CH4'!F33</f>
        <v>459971</v>
      </c>
      <c r="F11" s="230">
        <f>'Peternakan-CH4'!G33</f>
        <v>471010</v>
      </c>
      <c r="G11" s="230">
        <f>'Peternakan-CH4'!H33</f>
        <v>482314</v>
      </c>
      <c r="H11" s="230">
        <f>'Peternakan-CH4'!I33</f>
        <v>493890</v>
      </c>
      <c r="I11" s="230">
        <f>'Peternakan-CH4'!J33</f>
        <v>505743</v>
      </c>
      <c r="J11" s="230">
        <f>'Peternakan-CH4'!K33</f>
        <v>517881</v>
      </c>
      <c r="K11" s="230">
        <f>'Peternakan-CH4'!L33</f>
        <v>530310</v>
      </c>
      <c r="L11" s="226"/>
    </row>
    <row r="12" spans="1:12" x14ac:dyDescent="0.25">
      <c r="A12" s="56" t="s">
        <v>73</v>
      </c>
      <c r="B12" s="230">
        <f>'Peternakan-CH4'!C34</f>
        <v>1659884</v>
      </c>
      <c r="C12" s="230">
        <f>'Peternakan-CH4'!D34</f>
        <v>1607431</v>
      </c>
      <c r="D12" s="230">
        <f>'Peternakan-CH4'!E34</f>
        <v>1556636</v>
      </c>
      <c r="E12" s="230">
        <f>'Peternakan-CH4'!F34</f>
        <v>1507447</v>
      </c>
      <c r="F12" s="230">
        <f>'Peternakan-CH4'!G34</f>
        <v>1444737</v>
      </c>
      <c r="G12" s="230">
        <f>'Peternakan-CH4'!H34</f>
        <v>1673583</v>
      </c>
      <c r="H12" s="230">
        <f>'Peternakan-CH4'!I34</f>
        <v>1603962</v>
      </c>
      <c r="I12" s="230">
        <f>'Peternakan-CH4'!J34</f>
        <v>1713673</v>
      </c>
      <c r="J12" s="230">
        <f>'Peternakan-CH4'!K34</f>
        <v>1659521</v>
      </c>
      <c r="K12" s="230">
        <f>'Peternakan-CH4'!L34</f>
        <v>1607080</v>
      </c>
      <c r="L12" s="226"/>
    </row>
    <row r="13" spans="1:12" x14ac:dyDescent="0.25">
      <c r="A13" s="56" t="s">
        <v>74</v>
      </c>
      <c r="B13" s="230">
        <f>'Peternakan-CH4'!C35</f>
        <v>100894</v>
      </c>
      <c r="C13" s="230">
        <f>'Peternakan-CH4'!D35</f>
        <v>101975</v>
      </c>
      <c r="D13" s="230">
        <f>'Peternakan-CH4'!E35</f>
        <v>102342</v>
      </c>
      <c r="E13" s="230">
        <f>'Peternakan-CH4'!F35</f>
        <v>102467</v>
      </c>
      <c r="F13" s="230">
        <f>'Peternakan-CH4'!G35</f>
        <v>102510</v>
      </c>
      <c r="G13" s="230">
        <f>'Peternakan-CH4'!H35</f>
        <v>102524</v>
      </c>
      <c r="H13" s="230">
        <f>'Peternakan-CH4'!I35</f>
        <v>102529</v>
      </c>
      <c r="I13" s="230">
        <f>'Peternakan-CH4'!J35</f>
        <v>102531</v>
      </c>
      <c r="J13" s="230">
        <f>'Peternakan-CH4'!K35</f>
        <v>102532</v>
      </c>
      <c r="K13" s="230">
        <f>'Peternakan-CH4'!L35</f>
        <v>102532</v>
      </c>
      <c r="L13" s="226"/>
    </row>
    <row r="14" spans="1:12" x14ac:dyDescent="0.25">
      <c r="A14" s="56" t="s">
        <v>75</v>
      </c>
      <c r="B14" s="230">
        <f>'Peternakan-CH4'!C36</f>
        <v>21748</v>
      </c>
      <c r="C14" s="230">
        <f>'Peternakan-CH4'!D36</f>
        <v>22367</v>
      </c>
      <c r="D14" s="230">
        <f>'Peternakan-CH4'!E36</f>
        <v>23005</v>
      </c>
      <c r="E14" s="230">
        <f>'Peternakan-CH4'!F36</f>
        <v>23661</v>
      </c>
      <c r="F14" s="230">
        <f>'Peternakan-CH4'!G36</f>
        <v>22679</v>
      </c>
      <c r="G14" s="230">
        <f>'Peternakan-CH4'!H36</f>
        <v>23325</v>
      </c>
      <c r="H14" s="230">
        <f>'Peternakan-CH4'!I36</f>
        <v>23990</v>
      </c>
      <c r="I14" s="230">
        <f>'Peternakan-CH4'!J36</f>
        <v>24674</v>
      </c>
      <c r="J14" s="230">
        <f>'Peternakan-CH4'!K36</f>
        <v>25377</v>
      </c>
      <c r="K14" s="230">
        <f>'Peternakan-CH4'!L36</f>
        <v>26100</v>
      </c>
      <c r="L14" s="226"/>
    </row>
    <row r="17" spans="1:2" x14ac:dyDescent="0.25">
      <c r="A17" s="236" t="s">
        <v>426</v>
      </c>
    </row>
    <row r="18" spans="1:2" s="237" customFormat="1" x14ac:dyDescent="0.25">
      <c r="A18" s="238" t="s">
        <v>396</v>
      </c>
      <c r="B18" s="239" t="s">
        <v>427</v>
      </c>
    </row>
    <row r="19" spans="1:2" x14ac:dyDescent="0.25">
      <c r="A19" s="228">
        <v>2011</v>
      </c>
      <c r="B19" s="241">
        <f>'Lahan sawah'!D11</f>
        <v>6618.5039999999999</v>
      </c>
    </row>
    <row r="20" spans="1:2" x14ac:dyDescent="0.25">
      <c r="A20" s="229">
        <v>2012</v>
      </c>
      <c r="B20" s="241">
        <f>'Lahan sawah'!D12</f>
        <v>6487.3799999999992</v>
      </c>
    </row>
    <row r="21" spans="1:2" x14ac:dyDescent="0.25">
      <c r="A21" s="228">
        <v>2013</v>
      </c>
      <c r="B21" s="241">
        <f>'Lahan sawah'!D13</f>
        <v>6356.2560000000003</v>
      </c>
    </row>
    <row r="22" spans="1:2" x14ac:dyDescent="0.25">
      <c r="A22" s="229">
        <v>2014</v>
      </c>
      <c r="B22" s="241">
        <f>'Lahan sawah'!D14</f>
        <v>6225.1319999999996</v>
      </c>
    </row>
    <row r="23" spans="1:2" x14ac:dyDescent="0.25">
      <c r="A23" s="229">
        <v>2015</v>
      </c>
      <c r="B23" s="241">
        <f>'Lahan sawah'!D15</f>
        <v>6094.0079999999998</v>
      </c>
    </row>
    <row r="24" spans="1:2" x14ac:dyDescent="0.25">
      <c r="A24" s="228">
        <v>2016</v>
      </c>
      <c r="B24" s="241">
        <f>'Lahan sawah'!D16</f>
        <v>5962.8839999999991</v>
      </c>
    </row>
    <row r="25" spans="1:2" x14ac:dyDescent="0.25">
      <c r="A25" s="229">
        <v>2017</v>
      </c>
      <c r="B25" s="241">
        <f>'Lahan sawah'!D17</f>
        <v>5831.76</v>
      </c>
    </row>
    <row r="26" spans="1:2" x14ac:dyDescent="0.25">
      <c r="A26" s="229">
        <v>2018</v>
      </c>
      <c r="B26" s="241">
        <f>'Lahan sawah'!D18</f>
        <v>5700.6359999999995</v>
      </c>
    </row>
    <row r="27" spans="1:2" x14ac:dyDescent="0.25">
      <c r="A27" s="228">
        <v>2019</v>
      </c>
      <c r="B27" s="241">
        <f>'Lahan sawah'!D19</f>
        <v>5569.5119999999997</v>
      </c>
    </row>
    <row r="28" spans="1:2" x14ac:dyDescent="0.25">
      <c r="A28" s="229">
        <v>2020</v>
      </c>
      <c r="B28" s="241">
        <f>'Lahan sawah'!D20</f>
        <v>5438.3879999999999</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1253.3800000000001</v>
      </c>
    </row>
    <row r="35" spans="1:2" x14ac:dyDescent="0.25">
      <c r="A35" s="229">
        <v>2012</v>
      </c>
      <c r="B35" s="241">
        <f>'Direct N2O'!C37</f>
        <v>1255.93</v>
      </c>
    </row>
    <row r="36" spans="1:2" x14ac:dyDescent="0.25">
      <c r="A36" s="228">
        <v>2013</v>
      </c>
      <c r="B36" s="241">
        <f>'Direct N2O'!C38</f>
        <v>1258.48</v>
      </c>
    </row>
    <row r="37" spans="1:2" x14ac:dyDescent="0.25">
      <c r="A37" s="229">
        <v>2014</v>
      </c>
      <c r="B37" s="241">
        <f>'Direct N2O'!C39</f>
        <v>1261.03</v>
      </c>
    </row>
    <row r="38" spans="1:2" x14ac:dyDescent="0.25">
      <c r="A38" s="229">
        <v>2015</v>
      </c>
      <c r="B38" s="241">
        <f>'Direct N2O'!C40</f>
        <v>1263.58</v>
      </c>
    </row>
    <row r="39" spans="1:2" x14ac:dyDescent="0.25">
      <c r="A39" s="228">
        <v>2016</v>
      </c>
      <c r="B39" s="241">
        <f>'Direct N2O'!C41</f>
        <v>1266.1300000000001</v>
      </c>
    </row>
    <row r="40" spans="1:2" x14ac:dyDescent="0.25">
      <c r="A40" s="229">
        <v>2017</v>
      </c>
      <c r="B40" s="241">
        <f>'Direct N2O'!C42</f>
        <v>1268.68</v>
      </c>
    </row>
    <row r="41" spans="1:2" x14ac:dyDescent="0.25">
      <c r="A41" s="229">
        <v>2018</v>
      </c>
      <c r="B41" s="241">
        <f>'Direct N2O'!C43</f>
        <v>1271.23</v>
      </c>
    </row>
    <row r="42" spans="1:2" x14ac:dyDescent="0.25">
      <c r="A42" s="228">
        <v>2019</v>
      </c>
      <c r="B42" s="241">
        <f>'Direct N2O'!C44</f>
        <v>1273.78</v>
      </c>
    </row>
    <row r="43" spans="1:2" x14ac:dyDescent="0.25">
      <c r="A43" s="229">
        <v>2020</v>
      </c>
      <c r="B43" s="241">
        <f>'Direct N2O'!C45</f>
        <v>1276.33</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3" t="s">
        <v>443</v>
      </c>
      <c r="B78" s="493"/>
      <c r="C78" s="493"/>
      <c r="D78" s="493"/>
      <c r="E78" s="493"/>
      <c r="F78" s="493"/>
      <c r="G78" s="493"/>
      <c r="H78" s="493"/>
      <c r="I78" s="493"/>
      <c r="J78" s="493"/>
      <c r="K78" s="493"/>
      <c r="L78" s="493"/>
    </row>
    <row r="79" spans="1:12" x14ac:dyDescent="0.25">
      <c r="A79" s="178"/>
    </row>
    <row r="80" spans="1:12" x14ac:dyDescent="0.25">
      <c r="A80" s="247"/>
      <c r="B80" s="495" t="s">
        <v>434</v>
      </c>
      <c r="C80" s="495"/>
      <c r="D80" s="495"/>
      <c r="E80" s="495"/>
      <c r="F80" s="495"/>
      <c r="G80" s="495"/>
      <c r="H80" s="495"/>
      <c r="I80" s="495"/>
      <c r="J80" s="495"/>
      <c r="K80" s="495"/>
      <c r="L80" s="495"/>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13351.752876260291</v>
      </c>
      <c r="C82" s="248">
        <f>'Perhitungan ke CO2-eq'!C128</f>
        <v>13087.231582000019</v>
      </c>
      <c r="D82" s="248">
        <f>'Perhitungan ke CO2-eq'!D128</f>
        <v>12822.710287739756</v>
      </c>
      <c r="E82" s="248">
        <f>'Perhitungan ke CO2-eq'!E128</f>
        <v>12558.188993479485</v>
      </c>
      <c r="F82" s="248">
        <f>'Perhitungan ke CO2-eq'!F128</f>
        <v>12293.667699219221</v>
      </c>
      <c r="G82" s="248">
        <f>'Perhitungan ke CO2-eq'!G128</f>
        <v>12029.146404958952</v>
      </c>
      <c r="H82" s="248">
        <f>'Perhitungan ke CO2-eq'!H128</f>
        <v>11764.625110698686</v>
      </c>
      <c r="I82" s="248">
        <f>'Perhitungan ke CO2-eq'!I128</f>
        <v>11500.103816438419</v>
      </c>
      <c r="J82" s="248">
        <f>'Perhitungan ke CO2-eq'!J128</f>
        <v>11235.582522178151</v>
      </c>
      <c r="K82" s="248">
        <f>'Perhitungan ke CO2-eq'!K128</f>
        <v>10971.061227917886</v>
      </c>
      <c r="L82" s="248">
        <f>'Perhitungan ke CO2-eq'!L128</f>
        <v>0</v>
      </c>
    </row>
    <row r="83" spans="1:12" ht="60" x14ac:dyDescent="0.25">
      <c r="A83" s="242" t="s">
        <v>436</v>
      </c>
      <c r="B83" s="248">
        <f>'Perhitungan ke CO2-eq'!B129</f>
        <v>25340.858731522116</v>
      </c>
      <c r="C83" s="248">
        <f>'Perhitungan ke CO2-eq'!C129</f>
        <v>26825.48040417477</v>
      </c>
      <c r="D83" s="248">
        <f>'Perhitungan ke CO2-eq'!D129</f>
        <v>28423.653276827426</v>
      </c>
      <c r="E83" s="248">
        <f>'Perhitungan ke CO2-eq'!E129</f>
        <v>30062.954229479972</v>
      </c>
      <c r="F83" s="248">
        <f>'Perhitungan ke CO2-eq'!F129</f>
        <v>31540.982322132724</v>
      </c>
      <c r="G83" s="248">
        <f>'Perhitungan ke CO2-eq'!G129</f>
        <v>33237.724574785272</v>
      </c>
      <c r="H83" s="248">
        <f>'Perhitungan ke CO2-eq'!H129</f>
        <v>34824.353747437926</v>
      </c>
      <c r="I83" s="248">
        <f>'Perhitungan ke CO2-eq'!I129</f>
        <v>36501.473180090485</v>
      </c>
      <c r="J83" s="248">
        <f>'Perhitungan ke CO2-eq'!J129</f>
        <v>38129.910412743135</v>
      </c>
      <c r="K83" s="248">
        <f>'Perhitungan ke CO2-eq'!K129</f>
        <v>39779.104465395794</v>
      </c>
      <c r="L83" s="248">
        <f>'Perhitungan ke CO2-eq'!L129</f>
        <v>0</v>
      </c>
    </row>
    <row r="84" spans="1:12" ht="60" x14ac:dyDescent="0.25">
      <c r="A84" s="242" t="s">
        <v>437</v>
      </c>
      <c r="B84" s="248">
        <f>'Perhitungan ke CO2-eq'!B130</f>
        <v>336.12543281887565</v>
      </c>
      <c r="C84" s="248">
        <f>'Perhitungan ke CO2-eq'!C130</f>
        <v>343.83700391167224</v>
      </c>
      <c r="D84" s="248">
        <f>'Perhitungan ke CO2-eq'!D130</f>
        <v>351.80288504481751</v>
      </c>
      <c r="E84" s="248">
        <f>'Perhitungan ke CO2-eq'!E130</f>
        <v>361.79126265723085</v>
      </c>
      <c r="F84" s="248">
        <f>'Perhitungan ke CO2-eq'!F130</f>
        <v>367.49646090047952</v>
      </c>
      <c r="G84" s="248">
        <f>'Perhitungan ke CO2-eq'!G130</f>
        <v>397.1858752458528</v>
      </c>
      <c r="H84" s="248">
        <f>'Perhitungan ke CO2-eq'!H130</f>
        <v>404.74179311231813</v>
      </c>
      <c r="I84" s="248">
        <f>'Perhitungan ke CO2-eq'!I130</f>
        <v>426.12207062583985</v>
      </c>
      <c r="J84" s="248">
        <f>'Perhitungan ke CO2-eq'!J130</f>
        <v>435.58518902019097</v>
      </c>
      <c r="K84" s="248">
        <f>'Perhitungan ke CO2-eq'!K130</f>
        <v>445.6291423222562</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2224.5527333333334</v>
      </c>
      <c r="C86" s="248">
        <f>'Perhitungan ke CO2-eq'!C132</f>
        <v>2180.4805000000001</v>
      </c>
      <c r="D86" s="248">
        <f>'Perhitungan ke CO2-eq'!D132</f>
        <v>2136.4082666666668</v>
      </c>
      <c r="E86" s="248">
        <f>'Perhitungan ke CO2-eq'!E132</f>
        <v>2092.3360333333335</v>
      </c>
      <c r="F86" s="248">
        <f>'Perhitungan ke CO2-eq'!F132</f>
        <v>2048.2638000000002</v>
      </c>
      <c r="G86" s="248">
        <f>'Perhitungan ke CO2-eq'!G132</f>
        <v>2004.1915666666666</v>
      </c>
      <c r="H86" s="248">
        <f>'Perhitungan ke CO2-eq'!H132</f>
        <v>1960.1193333333333</v>
      </c>
      <c r="I86" s="248">
        <f>'Perhitungan ke CO2-eq'!I132</f>
        <v>1916.0471</v>
      </c>
      <c r="J86" s="248">
        <f>'Perhitungan ke CO2-eq'!J132</f>
        <v>1871.9748666666671</v>
      </c>
      <c r="K86" s="248">
        <f>'Perhitungan ke CO2-eq'!K132</f>
        <v>1827.9026333333334</v>
      </c>
      <c r="L86" s="248">
        <f>'Perhitungan ke CO2-eq'!L132</f>
        <v>0</v>
      </c>
    </row>
    <row r="87" spans="1:12" ht="45" x14ac:dyDescent="0.25">
      <c r="A87" s="242" t="s">
        <v>440</v>
      </c>
      <c r="B87" s="248">
        <f>'Perhitungan ke CO2-eq'!B133</f>
        <v>8494.8041848057146</v>
      </c>
      <c r="C87" s="248">
        <f>'Perhitungan ke CO2-eq'!C133</f>
        <v>8326.5074361857132</v>
      </c>
      <c r="D87" s="248">
        <f>'Perhitungan ke CO2-eq'!D133</f>
        <v>8158.2106875657155</v>
      </c>
      <c r="E87" s="248">
        <f>'Perhitungan ke CO2-eq'!E133</f>
        <v>7989.9139389457168</v>
      </c>
      <c r="F87" s="248">
        <f>'Perhitungan ke CO2-eq'!F133</f>
        <v>7821.6171903257145</v>
      </c>
      <c r="G87" s="248">
        <f>'Perhitungan ke CO2-eq'!G133</f>
        <v>7653.3204417057141</v>
      </c>
      <c r="H87" s="248">
        <f>'Perhitungan ke CO2-eq'!H133</f>
        <v>7485.0236930857154</v>
      </c>
      <c r="I87" s="248">
        <f>'Perhitungan ke CO2-eq'!I133</f>
        <v>7316.7269444657159</v>
      </c>
      <c r="J87" s="248">
        <f>'Perhitungan ke CO2-eq'!J133</f>
        <v>7148.4301958457136</v>
      </c>
      <c r="K87" s="248">
        <f>'Perhitungan ke CO2-eq'!K133</f>
        <v>6980.1334472257131</v>
      </c>
      <c r="L87" s="248">
        <f>'Perhitungan ke CO2-eq'!L133</f>
        <v>0</v>
      </c>
    </row>
    <row r="88" spans="1:12" s="178" customFormat="1" ht="45" x14ac:dyDescent="0.25">
      <c r="A88" s="246" t="s">
        <v>441</v>
      </c>
      <c r="B88" s="249">
        <f>'Perhitungan ke CO2-eq'!B135</f>
        <v>51871.795004941756</v>
      </c>
      <c r="C88" s="249">
        <f>'Perhitungan ke CO2-eq'!C135</f>
        <v>52845.163785318604</v>
      </c>
      <c r="D88" s="249">
        <f>'Perhitungan ke CO2-eq'!D135</f>
        <v>53932.338075735803</v>
      </c>
      <c r="E88" s="249">
        <f>'Perhitungan ke CO2-eq'!E135</f>
        <v>55062.662942632167</v>
      </c>
      <c r="F88" s="249">
        <f>'Perhitungan ke CO2-eq'!F135</f>
        <v>56027.431770159572</v>
      </c>
      <c r="G88" s="249">
        <f>'Perhitungan ke CO2-eq'!G135</f>
        <v>57234.898973788891</v>
      </c>
      <c r="H88" s="249">
        <f>'Perhitungan ke CO2-eq'!H135</f>
        <v>58310.119600939412</v>
      </c>
      <c r="I88" s="249">
        <f>'Perhitungan ke CO2-eq'!I135</f>
        <v>59489.654847736892</v>
      </c>
      <c r="J88" s="249">
        <f>'Perhitungan ke CO2-eq'!J135</f>
        <v>60608.590735415281</v>
      </c>
      <c r="K88" s="249">
        <f>'Perhitungan ke CO2-eq'!K135</f>
        <v>61748.864278001412</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0" t="s">
        <v>4</v>
      </c>
      <c r="D6" s="412"/>
      <c r="E6" s="49" t="s">
        <v>9</v>
      </c>
      <c r="F6" s="410" t="s">
        <v>17</v>
      </c>
      <c r="G6" s="411"/>
      <c r="H6" s="209"/>
      <c r="J6" s="48" t="s">
        <v>3</v>
      </c>
      <c r="K6" s="410" t="s">
        <v>4</v>
      </c>
      <c r="L6" s="412"/>
      <c r="M6" s="49" t="s">
        <v>9</v>
      </c>
      <c r="N6" s="410" t="s">
        <v>17</v>
      </c>
      <c r="O6" s="411"/>
      <c r="P6" s="209"/>
      <c r="R6" s="48" t="s">
        <v>3</v>
      </c>
      <c r="S6" s="410" t="s">
        <v>4</v>
      </c>
      <c r="T6" s="412"/>
      <c r="U6" s="49" t="s">
        <v>9</v>
      </c>
      <c r="V6" s="410" t="s">
        <v>17</v>
      </c>
      <c r="W6" s="411"/>
      <c r="X6" s="209"/>
      <c r="Z6" s="48" t="s">
        <v>3</v>
      </c>
      <c r="AA6" s="410" t="s">
        <v>4</v>
      </c>
      <c r="AB6" s="412"/>
      <c r="AC6" s="49" t="s">
        <v>9</v>
      </c>
      <c r="AD6" s="410" t="s">
        <v>17</v>
      </c>
      <c r="AE6" s="411"/>
      <c r="AF6" s="209"/>
      <c r="AH6" s="48" t="s">
        <v>3</v>
      </c>
      <c r="AI6" s="410" t="s">
        <v>4</v>
      </c>
      <c r="AJ6" s="412"/>
      <c r="AK6" s="49" t="s">
        <v>9</v>
      </c>
      <c r="AL6" s="410" t="s">
        <v>17</v>
      </c>
      <c r="AM6" s="411"/>
      <c r="AN6" s="209"/>
      <c r="AP6" s="48" t="s">
        <v>3</v>
      </c>
      <c r="AQ6" s="410" t="s">
        <v>4</v>
      </c>
      <c r="AR6" s="412"/>
      <c r="AS6" s="49" t="s">
        <v>9</v>
      </c>
      <c r="AT6" s="410" t="s">
        <v>17</v>
      </c>
      <c r="AU6" s="411"/>
      <c r="AV6" s="209"/>
      <c r="AX6" s="48" t="s">
        <v>3</v>
      </c>
      <c r="AY6" s="410" t="s">
        <v>4</v>
      </c>
      <c r="AZ6" s="412"/>
      <c r="BA6" s="49" t="s">
        <v>9</v>
      </c>
      <c r="BB6" s="410" t="s">
        <v>17</v>
      </c>
      <c r="BC6" s="411"/>
      <c r="BD6" s="209"/>
      <c r="BF6" s="48" t="s">
        <v>3</v>
      </c>
      <c r="BG6" s="410" t="s">
        <v>4</v>
      </c>
      <c r="BH6" s="412"/>
      <c r="BI6" s="49" t="s">
        <v>9</v>
      </c>
      <c r="BJ6" s="410" t="s">
        <v>17</v>
      </c>
      <c r="BK6" s="411"/>
      <c r="BL6" s="209"/>
      <c r="BN6" s="48" t="s">
        <v>3</v>
      </c>
      <c r="BO6" s="410" t="s">
        <v>4</v>
      </c>
      <c r="BP6" s="412"/>
      <c r="BQ6" s="49" t="s">
        <v>9</v>
      </c>
      <c r="BR6" s="410" t="s">
        <v>17</v>
      </c>
      <c r="BS6" s="411"/>
      <c r="BT6" s="209"/>
      <c r="BV6" s="48" t="s">
        <v>3</v>
      </c>
      <c r="BW6" s="410" t="s">
        <v>4</v>
      </c>
      <c r="BX6" s="412"/>
      <c r="BY6" s="49" t="s">
        <v>9</v>
      </c>
      <c r="BZ6" s="410" t="s">
        <v>17</v>
      </c>
      <c r="CA6" s="411"/>
      <c r="CB6" s="209"/>
      <c r="CD6" s="48" t="s">
        <v>3</v>
      </c>
      <c r="CE6" s="410" t="s">
        <v>4</v>
      </c>
      <c r="CF6" s="412"/>
      <c r="CG6" s="49" t="s">
        <v>9</v>
      </c>
      <c r="CH6" s="410" t="s">
        <v>17</v>
      </c>
      <c r="CI6" s="411"/>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22</v>
      </c>
      <c r="D12" s="87">
        <f>'EF peternakan'!$C$6</f>
        <v>61</v>
      </c>
      <c r="E12" s="43">
        <f>C12*D12*10^-6</f>
        <v>1.3419999999999999E-3</v>
      </c>
      <c r="F12" s="88">
        <f>'EF peternakan'!$C$16</f>
        <v>31</v>
      </c>
      <c r="G12" s="204">
        <f>C12*F12*10^-6</f>
        <v>6.8199999999999999E-4</v>
      </c>
      <c r="H12" s="175">
        <f>E12+G12</f>
        <v>2.0239999999999998E-3</v>
      </c>
      <c r="J12" s="46" t="s">
        <v>64</v>
      </c>
      <c r="K12" s="86">
        <f>D27</f>
        <v>24</v>
      </c>
      <c r="L12" s="87">
        <f>'EF peternakan'!$C$6</f>
        <v>61</v>
      </c>
      <c r="M12" s="43">
        <f t="shared" ref="M12:M17" si="0">K12*L12*10^-6</f>
        <v>1.464E-3</v>
      </c>
      <c r="N12" s="88">
        <f>'EF peternakan'!$C$16</f>
        <v>31</v>
      </c>
      <c r="O12" s="204">
        <f t="shared" ref="O12:O18" si="1">K12*N12*10^-6</f>
        <v>7.4399999999999998E-4</v>
      </c>
      <c r="P12" s="175">
        <f>M12+O12</f>
        <v>2.2079999999999999E-3</v>
      </c>
      <c r="R12" s="46" t="s">
        <v>64</v>
      </c>
      <c r="S12" s="86">
        <f>E27</f>
        <v>25</v>
      </c>
      <c r="T12" s="87">
        <f>'EF peternakan'!$C$6</f>
        <v>61</v>
      </c>
      <c r="U12" s="43">
        <f t="shared" ref="U12:U18" si="2">S12*T12*10^-6</f>
        <v>1.5249999999999999E-3</v>
      </c>
      <c r="V12" s="88">
        <f>'EF peternakan'!$C$16</f>
        <v>31</v>
      </c>
      <c r="W12" s="204">
        <f t="shared" ref="W12:W18" si="3">S12*V12*10^-6</f>
        <v>7.7499999999999997E-4</v>
      </c>
      <c r="X12" s="175">
        <f>U12+W12</f>
        <v>2.3E-3</v>
      </c>
      <c r="Z12" s="46" t="s">
        <v>64</v>
      </c>
      <c r="AA12" s="86">
        <f>F27</f>
        <v>26</v>
      </c>
      <c r="AB12" s="87">
        <f>'EF peternakan'!$C$6</f>
        <v>61</v>
      </c>
      <c r="AC12" s="43">
        <f t="shared" ref="AC12:AC18" si="4">AA12*AB12*10^-6</f>
        <v>1.586E-3</v>
      </c>
      <c r="AD12" s="88">
        <f>'EF peternakan'!$C$16</f>
        <v>31</v>
      </c>
      <c r="AE12" s="204">
        <f t="shared" ref="AE12:AE18" si="5">AA12*AD12*10^-6</f>
        <v>8.0599999999999997E-4</v>
      </c>
      <c r="AF12" s="175">
        <f>AC12+AE12</f>
        <v>2.392E-3</v>
      </c>
      <c r="AH12" s="46" t="s">
        <v>64</v>
      </c>
      <c r="AI12" s="86">
        <f>G27</f>
        <v>28</v>
      </c>
      <c r="AJ12" s="87">
        <f>'EF peternakan'!$C$6</f>
        <v>61</v>
      </c>
      <c r="AK12" s="43">
        <f t="shared" ref="AK12:AK18" si="6">AI12*AJ12*10^-6</f>
        <v>1.7079999999999999E-3</v>
      </c>
      <c r="AL12" s="88">
        <f>'EF peternakan'!$C$16</f>
        <v>31</v>
      </c>
      <c r="AM12" s="204">
        <f t="shared" ref="AM12:AM17" si="7">AI12*AL12*10^-6</f>
        <v>8.6799999999999996E-4</v>
      </c>
      <c r="AN12" s="175">
        <f>AK12+AM12</f>
        <v>2.5759999999999997E-3</v>
      </c>
      <c r="AP12" s="46" t="s">
        <v>64</v>
      </c>
      <c r="AQ12" s="86">
        <f>H27</f>
        <v>29</v>
      </c>
      <c r="AR12" s="87">
        <f>'EF peternakan'!$C$6</f>
        <v>61</v>
      </c>
      <c r="AS12" s="43">
        <f t="shared" ref="AS12:AS18" si="8">AQ12*AR12*10^-6</f>
        <v>1.769E-3</v>
      </c>
      <c r="AT12" s="88">
        <f>'EF peternakan'!$C$16</f>
        <v>31</v>
      </c>
      <c r="AU12" s="204">
        <f t="shared" ref="AU12:AU18" si="9">AQ12*AT12*10^-6</f>
        <v>8.9899999999999995E-4</v>
      </c>
      <c r="AV12" s="175">
        <f>AS12+AU12</f>
        <v>2.6679999999999998E-3</v>
      </c>
      <c r="AX12" s="46" t="s">
        <v>64</v>
      </c>
      <c r="AY12" s="86">
        <f>I27</f>
        <v>31</v>
      </c>
      <c r="AZ12" s="87">
        <f>'EF peternakan'!$C$6</f>
        <v>61</v>
      </c>
      <c r="BA12" s="43">
        <f t="shared" ref="BA12:BA18" si="10">AY12*AZ12*10^-6</f>
        <v>1.8909999999999999E-3</v>
      </c>
      <c r="BB12" s="88">
        <f>'EF peternakan'!$C$16</f>
        <v>31</v>
      </c>
      <c r="BC12" s="204">
        <f t="shared" ref="BC12:BC18" si="11">AY12*BB12*10^-6</f>
        <v>9.6099999999999994E-4</v>
      </c>
      <c r="BD12" s="175">
        <f>BA12+BC12</f>
        <v>2.8519999999999999E-3</v>
      </c>
      <c r="BF12" s="46" t="s">
        <v>64</v>
      </c>
      <c r="BG12" s="86">
        <f>J27</f>
        <v>33</v>
      </c>
      <c r="BH12" s="87">
        <f>'EF peternakan'!$C$6</f>
        <v>61</v>
      </c>
      <c r="BI12" s="43">
        <f t="shared" ref="BI12:BI18" si="12">BG12*BH12*10^-6</f>
        <v>2.013E-3</v>
      </c>
      <c r="BJ12" s="88">
        <f>'EF peternakan'!$C$16</f>
        <v>31</v>
      </c>
      <c r="BK12" s="204">
        <f t="shared" ref="BK12:BK18" si="13">BG12*BJ12*10^-6</f>
        <v>1.023E-3</v>
      </c>
      <c r="BL12" s="175">
        <f>BI12+BK12</f>
        <v>3.0360000000000001E-3</v>
      </c>
      <c r="BN12" s="46" t="s">
        <v>64</v>
      </c>
      <c r="BO12" s="86">
        <f>K27</f>
        <v>35</v>
      </c>
      <c r="BP12" s="87">
        <f>'EF peternakan'!$C$6</f>
        <v>61</v>
      </c>
      <c r="BQ12" s="43">
        <f t="shared" ref="BQ12:BQ18" si="14">BO12*BP12*10^-6</f>
        <v>2.1349999999999997E-3</v>
      </c>
      <c r="BR12" s="88">
        <f>'EF peternakan'!$C$16</f>
        <v>31</v>
      </c>
      <c r="BS12" s="204">
        <f t="shared" ref="BS12:BS18" si="15">BO12*BR12*10^-6</f>
        <v>1.085E-3</v>
      </c>
      <c r="BT12" s="175">
        <f>BQ12+BS12</f>
        <v>3.2199999999999998E-3</v>
      </c>
      <c r="BV12" s="46" t="s">
        <v>64</v>
      </c>
      <c r="BW12" s="86">
        <f>L27</f>
        <v>36</v>
      </c>
      <c r="BX12" s="87">
        <f>'EF peternakan'!$C$6</f>
        <v>61</v>
      </c>
      <c r="BY12" s="43">
        <f t="shared" ref="BY12:BY18" si="16">BW12*BX12*10^-6</f>
        <v>2.196E-3</v>
      </c>
      <c r="BZ12" s="88">
        <f>'EF peternakan'!$C$16</f>
        <v>31</v>
      </c>
      <c r="CA12" s="204">
        <f t="shared" ref="CA12:CA18" si="17">BW12*BZ12*10^-6</f>
        <v>1.116E-3</v>
      </c>
      <c r="CB12" s="175">
        <f>BY12+CA12</f>
        <v>3.3119999999999998E-3</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22546.526638414802</v>
      </c>
      <c r="D13" s="87">
        <f>'EF peternakan'!$C$5</f>
        <v>47</v>
      </c>
      <c r="E13" s="43">
        <f t="shared" ref="E13:E18" si="20">C13*D13*10^-6</f>
        <v>1.0596867520054956</v>
      </c>
      <c r="F13" s="88">
        <f>'EF peternakan'!$C$15</f>
        <v>1</v>
      </c>
      <c r="G13" s="204">
        <f t="shared" ref="G13:G18" si="21">C13*F13*10^-6</f>
        <v>2.2546526638414801E-2</v>
      </c>
      <c r="H13" s="175">
        <f t="shared" ref="H13:H18" si="22">E13+G13</f>
        <v>1.0822332786439104</v>
      </c>
      <c r="J13" s="46" t="s">
        <v>71</v>
      </c>
      <c r="K13" s="86">
        <f t="shared" ref="K13:K17" si="23">D28</f>
        <v>24027.577266046399</v>
      </c>
      <c r="L13" s="87">
        <f>'EF peternakan'!$C$5</f>
        <v>47</v>
      </c>
      <c r="M13" s="43">
        <f t="shared" si="0"/>
        <v>1.1292961315041807</v>
      </c>
      <c r="N13" s="88">
        <f>'EF peternakan'!$C$15</f>
        <v>1</v>
      </c>
      <c r="O13" s="204">
        <f t="shared" si="1"/>
        <v>2.4027577266046398E-2</v>
      </c>
      <c r="P13" s="175">
        <f t="shared" ref="P13:P18" si="24">M13+O13</f>
        <v>1.1533237087702271</v>
      </c>
      <c r="R13" s="46" t="s">
        <v>71</v>
      </c>
      <c r="S13" s="86">
        <f t="shared" ref="S13:S17" si="25">E28</f>
        <v>25508.627893678</v>
      </c>
      <c r="T13" s="87">
        <f>'EF peternakan'!$C$5</f>
        <v>47</v>
      </c>
      <c r="U13" s="43">
        <f t="shared" si="2"/>
        <v>1.1989055110028661</v>
      </c>
      <c r="V13" s="88">
        <f>'EF peternakan'!$C$15</f>
        <v>1</v>
      </c>
      <c r="W13" s="204">
        <f t="shared" si="3"/>
        <v>2.5508627893677999E-2</v>
      </c>
      <c r="X13" s="175">
        <f t="shared" ref="X13:X18" si="26">U13+W13</f>
        <v>1.2244141388965442</v>
      </c>
      <c r="Z13" s="46" t="s">
        <v>71</v>
      </c>
      <c r="AA13" s="86">
        <f t="shared" ref="AA13:AA17" si="27">F28</f>
        <v>26989.678521309499</v>
      </c>
      <c r="AB13" s="87">
        <f>'EF peternakan'!$C$5</f>
        <v>47</v>
      </c>
      <c r="AC13" s="43">
        <f t="shared" si="4"/>
        <v>1.2685148905015464</v>
      </c>
      <c r="AD13" s="88">
        <f>'EF peternakan'!$C$15</f>
        <v>1</v>
      </c>
      <c r="AE13" s="204">
        <f t="shared" si="5"/>
        <v>2.6989678521309499E-2</v>
      </c>
      <c r="AF13" s="175">
        <f t="shared" ref="AF13:AF18" si="28">AC13+AE13</f>
        <v>1.2955045690228559</v>
      </c>
      <c r="AH13" s="46" t="s">
        <v>71</v>
      </c>
      <c r="AI13" s="86">
        <f t="shared" ref="AI13:AI17" si="29">G28</f>
        <v>28470.729148941198</v>
      </c>
      <c r="AJ13" s="87">
        <f>'EF peternakan'!$C$5</f>
        <v>47</v>
      </c>
      <c r="AK13" s="43">
        <f t="shared" si="6"/>
        <v>1.3381242700002363</v>
      </c>
      <c r="AL13" s="88">
        <f>'EF peternakan'!$C$15</f>
        <v>1</v>
      </c>
      <c r="AM13" s="204">
        <f t="shared" si="7"/>
        <v>2.8470729148941196E-2</v>
      </c>
      <c r="AN13" s="175">
        <f t="shared" ref="AN13:AN18" si="30">AK13+AM13</f>
        <v>1.3665949991491775</v>
      </c>
      <c r="AP13" s="46" t="s">
        <v>71</v>
      </c>
      <c r="AQ13" s="86">
        <f t="shared" ref="AQ13:AQ17" si="31">H28</f>
        <v>29951.779776572701</v>
      </c>
      <c r="AR13" s="87">
        <f>'EF peternakan'!$C$5</f>
        <v>47</v>
      </c>
      <c r="AS13" s="43">
        <f t="shared" si="8"/>
        <v>1.4077336494989168</v>
      </c>
      <c r="AT13" s="88">
        <f>'EF peternakan'!$C$15</f>
        <v>1</v>
      </c>
      <c r="AU13" s="204">
        <f t="shared" si="9"/>
        <v>2.99517797765727E-2</v>
      </c>
      <c r="AV13" s="175">
        <f t="shared" ref="AV13:AV18" si="32">AS13+AU13</f>
        <v>1.4376854292754895</v>
      </c>
      <c r="AX13" s="46" t="s">
        <v>71</v>
      </c>
      <c r="AY13" s="86">
        <f t="shared" ref="AY13:AY17" si="33">I28</f>
        <v>31432.830404204298</v>
      </c>
      <c r="AZ13" s="87">
        <f>'EF peternakan'!$C$5</f>
        <v>47</v>
      </c>
      <c r="BA13" s="43">
        <f t="shared" si="10"/>
        <v>1.4773430289976019</v>
      </c>
      <c r="BB13" s="88">
        <f>'EF peternakan'!$C$15</f>
        <v>1</v>
      </c>
      <c r="BC13" s="204">
        <f t="shared" si="11"/>
        <v>3.1432830404204297E-2</v>
      </c>
      <c r="BD13" s="175">
        <f t="shared" ref="BD13:BD18" si="34">BA13+BC13</f>
        <v>1.5087758594018061</v>
      </c>
      <c r="BF13" s="46" t="s">
        <v>71</v>
      </c>
      <c r="BG13" s="86">
        <f t="shared" ref="BG13:BG17" si="35">J28</f>
        <v>32913.881031835801</v>
      </c>
      <c r="BH13" s="87">
        <f>'EF peternakan'!$C$5</f>
        <v>47</v>
      </c>
      <c r="BI13" s="43">
        <f t="shared" si="12"/>
        <v>1.5469524084962825</v>
      </c>
      <c r="BJ13" s="88">
        <f>'EF peternakan'!$C$15</f>
        <v>1</v>
      </c>
      <c r="BK13" s="204">
        <f t="shared" si="13"/>
        <v>3.2913881031835797E-2</v>
      </c>
      <c r="BL13" s="175">
        <f t="shared" ref="BL13:BL18" si="36">BI13+BK13</f>
        <v>1.5798662895281184</v>
      </c>
      <c r="BN13" s="46" t="s">
        <v>71</v>
      </c>
      <c r="BO13" s="86">
        <f t="shared" ref="BO13:BO17" si="37">K28</f>
        <v>34394.931659467402</v>
      </c>
      <c r="BP13" s="87">
        <f>'EF peternakan'!$C$5</f>
        <v>47</v>
      </c>
      <c r="BQ13" s="43">
        <f t="shared" si="14"/>
        <v>1.6165617879949676</v>
      </c>
      <c r="BR13" s="88">
        <f>'EF peternakan'!$C$15</f>
        <v>1</v>
      </c>
      <c r="BS13" s="204">
        <f t="shared" si="15"/>
        <v>3.4394931659467401E-2</v>
      </c>
      <c r="BT13" s="175">
        <f t="shared" ref="BT13:BT18" si="38">BQ13+BS13</f>
        <v>1.650956719654435</v>
      </c>
      <c r="BV13" s="46" t="s">
        <v>71</v>
      </c>
      <c r="BW13" s="86">
        <f t="shared" ref="BW13:BW17" si="39">L28</f>
        <v>35875.982287099003</v>
      </c>
      <c r="BX13" s="87">
        <f>'EF peternakan'!$C$5</f>
        <v>47</v>
      </c>
      <c r="BY13" s="43">
        <f t="shared" si="16"/>
        <v>1.686171167493653</v>
      </c>
      <c r="BZ13" s="88">
        <f>'EF peternakan'!$C$15</f>
        <v>1</v>
      </c>
      <c r="CA13" s="204">
        <f t="shared" si="17"/>
        <v>3.5875982287098998E-2</v>
      </c>
      <c r="CB13" s="175">
        <f t="shared" ref="CB13:CB18" si="40">BY13+CA13</f>
        <v>1.7220471497807521</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625</v>
      </c>
      <c r="D14" s="87">
        <f>'EF peternakan'!$C$7</f>
        <v>55</v>
      </c>
      <c r="E14" s="43">
        <f t="shared" si="20"/>
        <v>3.4374999999999996E-2</v>
      </c>
      <c r="F14" s="88">
        <f>'EF peternakan'!$C$17</f>
        <v>2</v>
      </c>
      <c r="G14" s="204">
        <f t="shared" si="21"/>
        <v>1.25E-3</v>
      </c>
      <c r="H14" s="175">
        <f t="shared" si="22"/>
        <v>3.5624999999999997E-2</v>
      </c>
      <c r="J14" s="46" t="s">
        <v>22</v>
      </c>
      <c r="K14" s="86">
        <f t="shared" si="23"/>
        <v>630</v>
      </c>
      <c r="L14" s="87">
        <f>'EF peternakan'!$C$7</f>
        <v>55</v>
      </c>
      <c r="M14" s="43">
        <f t="shared" si="0"/>
        <v>3.465E-2</v>
      </c>
      <c r="N14" s="88">
        <f>'EF peternakan'!$C$17</f>
        <v>2</v>
      </c>
      <c r="O14" s="204">
        <f t="shared" si="1"/>
        <v>1.2599999999999998E-3</v>
      </c>
      <c r="P14" s="175">
        <f t="shared" si="24"/>
        <v>3.5909999999999997E-2</v>
      </c>
      <c r="R14" s="46" t="s">
        <v>22</v>
      </c>
      <c r="S14" s="86">
        <f t="shared" si="25"/>
        <v>634</v>
      </c>
      <c r="T14" s="87">
        <f>'EF peternakan'!$C$7</f>
        <v>55</v>
      </c>
      <c r="U14" s="43">
        <f t="shared" si="2"/>
        <v>3.4869999999999998E-2</v>
      </c>
      <c r="V14" s="88">
        <f>'EF peternakan'!$C$17</f>
        <v>2</v>
      </c>
      <c r="W14" s="204">
        <f t="shared" si="3"/>
        <v>1.268E-3</v>
      </c>
      <c r="X14" s="175">
        <f t="shared" si="26"/>
        <v>3.6137999999999997E-2</v>
      </c>
      <c r="Z14" s="46" t="s">
        <v>22</v>
      </c>
      <c r="AA14" s="86">
        <f t="shared" si="27"/>
        <v>639</v>
      </c>
      <c r="AB14" s="87">
        <f>'EF peternakan'!$C$7</f>
        <v>55</v>
      </c>
      <c r="AC14" s="43">
        <f t="shared" si="4"/>
        <v>3.5144999999999996E-2</v>
      </c>
      <c r="AD14" s="88">
        <f>'EF peternakan'!$C$17</f>
        <v>2</v>
      </c>
      <c r="AE14" s="204">
        <f t="shared" si="5"/>
        <v>1.2779999999999998E-3</v>
      </c>
      <c r="AF14" s="175">
        <f t="shared" si="28"/>
        <v>3.6422999999999997E-2</v>
      </c>
      <c r="AH14" s="46" t="s">
        <v>22</v>
      </c>
      <c r="AI14" s="86">
        <f t="shared" si="29"/>
        <v>644</v>
      </c>
      <c r="AJ14" s="87">
        <f>'EF peternakan'!$C$7</f>
        <v>55</v>
      </c>
      <c r="AK14" s="43">
        <f t="shared" si="6"/>
        <v>3.542E-2</v>
      </c>
      <c r="AL14" s="88">
        <f>'EF peternakan'!$C$17</f>
        <v>2</v>
      </c>
      <c r="AM14" s="204">
        <f t="shared" si="7"/>
        <v>1.2879999999999999E-3</v>
      </c>
      <c r="AN14" s="175">
        <f t="shared" si="30"/>
        <v>3.6707999999999998E-2</v>
      </c>
      <c r="AP14" s="46" t="s">
        <v>22</v>
      </c>
      <c r="AQ14" s="86">
        <f t="shared" si="31"/>
        <v>650</v>
      </c>
      <c r="AR14" s="87">
        <f>'EF peternakan'!$C$7</f>
        <v>55</v>
      </c>
      <c r="AS14" s="43">
        <f t="shared" si="8"/>
        <v>3.5749999999999997E-2</v>
      </c>
      <c r="AT14" s="88">
        <f>'EF peternakan'!$C$17</f>
        <v>2</v>
      </c>
      <c r="AU14" s="204">
        <f t="shared" si="9"/>
        <v>1.2999999999999999E-3</v>
      </c>
      <c r="AV14" s="175">
        <f t="shared" si="32"/>
        <v>3.705E-2</v>
      </c>
      <c r="AX14" s="46" t="s">
        <v>22</v>
      </c>
      <c r="AY14" s="86">
        <f t="shared" si="33"/>
        <v>655</v>
      </c>
      <c r="AZ14" s="87">
        <f>'EF peternakan'!$C$7</f>
        <v>55</v>
      </c>
      <c r="BA14" s="43">
        <f t="shared" si="10"/>
        <v>3.6025000000000001E-2</v>
      </c>
      <c r="BB14" s="88">
        <f>'EF peternakan'!$C$17</f>
        <v>2</v>
      </c>
      <c r="BC14" s="204">
        <f t="shared" si="11"/>
        <v>1.31E-3</v>
      </c>
      <c r="BD14" s="175">
        <f t="shared" si="34"/>
        <v>3.7335E-2</v>
      </c>
      <c r="BF14" s="46" t="s">
        <v>22</v>
      </c>
      <c r="BG14" s="86">
        <f t="shared" si="35"/>
        <v>659</v>
      </c>
      <c r="BH14" s="87">
        <f>'EF peternakan'!$C$7</f>
        <v>55</v>
      </c>
      <c r="BI14" s="43">
        <f t="shared" si="12"/>
        <v>3.6244999999999999E-2</v>
      </c>
      <c r="BJ14" s="88">
        <f>'EF peternakan'!$C$17</f>
        <v>2</v>
      </c>
      <c r="BK14" s="204">
        <f t="shared" si="13"/>
        <v>1.3179999999999999E-3</v>
      </c>
      <c r="BL14" s="175">
        <f t="shared" si="36"/>
        <v>3.7562999999999999E-2</v>
      </c>
      <c r="BN14" s="46" t="s">
        <v>22</v>
      </c>
      <c r="BO14" s="86">
        <f t="shared" si="37"/>
        <v>664</v>
      </c>
      <c r="BP14" s="87">
        <f>'EF peternakan'!$C$7</f>
        <v>55</v>
      </c>
      <c r="BQ14" s="43">
        <f t="shared" si="14"/>
        <v>3.6519999999999997E-2</v>
      </c>
      <c r="BR14" s="88">
        <f>'EF peternakan'!$C$17</f>
        <v>2</v>
      </c>
      <c r="BS14" s="204">
        <f t="shared" si="15"/>
        <v>1.328E-3</v>
      </c>
      <c r="BT14" s="175">
        <f t="shared" si="38"/>
        <v>3.7848E-2</v>
      </c>
      <c r="BV14" s="46" t="s">
        <v>22</v>
      </c>
      <c r="BW14" s="86">
        <f t="shared" si="39"/>
        <v>669</v>
      </c>
      <c r="BX14" s="87">
        <f>'EF peternakan'!$C$7</f>
        <v>55</v>
      </c>
      <c r="BY14" s="43">
        <f t="shared" si="16"/>
        <v>3.6795000000000001E-2</v>
      </c>
      <c r="BZ14" s="88">
        <f>'EF peternakan'!$C$17</f>
        <v>2</v>
      </c>
      <c r="CA14" s="204">
        <f t="shared" si="17"/>
        <v>1.338E-3</v>
      </c>
      <c r="CB14" s="175">
        <f t="shared" si="40"/>
        <v>3.8133E-2</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4737</v>
      </c>
      <c r="D16" s="87">
        <f>'EF peternakan'!$C$9</f>
        <v>5</v>
      </c>
      <c r="E16" s="43">
        <f t="shared" si="20"/>
        <v>2.3684999999999998E-2</v>
      </c>
      <c r="F16" s="88">
        <f>'EF peternakan'!$C$19</f>
        <v>0.22</v>
      </c>
      <c r="G16" s="204">
        <f t="shared" si="21"/>
        <v>1.04214E-3</v>
      </c>
      <c r="H16" s="175">
        <f t="shared" si="22"/>
        <v>2.4727139999999998E-2</v>
      </c>
      <c r="J16" s="46" t="s">
        <v>23</v>
      </c>
      <c r="K16" s="86">
        <f t="shared" si="23"/>
        <v>4711</v>
      </c>
      <c r="L16" s="87">
        <f>'EF peternakan'!$C$9</f>
        <v>5</v>
      </c>
      <c r="M16" s="43">
        <f t="shared" si="0"/>
        <v>2.3555E-2</v>
      </c>
      <c r="N16" s="88">
        <f>'EF peternakan'!$C$19</f>
        <v>0.22</v>
      </c>
      <c r="O16" s="204">
        <f t="shared" si="1"/>
        <v>1.0364199999999999E-3</v>
      </c>
      <c r="P16" s="175">
        <f t="shared" si="24"/>
        <v>2.4591419999999999E-2</v>
      </c>
      <c r="R16" s="46" t="s">
        <v>23</v>
      </c>
      <c r="S16" s="86">
        <f t="shared" si="25"/>
        <v>4685</v>
      </c>
      <c r="T16" s="87">
        <f>'EF peternakan'!$C$9</f>
        <v>5</v>
      </c>
      <c r="U16" s="43">
        <f t="shared" si="2"/>
        <v>2.3424999999999998E-2</v>
      </c>
      <c r="V16" s="88">
        <f>'EF peternakan'!$C$19</f>
        <v>0.22</v>
      </c>
      <c r="W16" s="204">
        <f t="shared" si="3"/>
        <v>1.0307000000000001E-3</v>
      </c>
      <c r="X16" s="175">
        <f t="shared" si="26"/>
        <v>2.4455699999999997E-2</v>
      </c>
      <c r="Z16" s="46" t="s">
        <v>23</v>
      </c>
      <c r="AA16" s="86">
        <f t="shared" si="27"/>
        <v>4658</v>
      </c>
      <c r="AB16" s="87">
        <f>'EF peternakan'!$C$9</f>
        <v>5</v>
      </c>
      <c r="AC16" s="43">
        <f t="shared" si="4"/>
        <v>2.3289999999999998E-2</v>
      </c>
      <c r="AD16" s="88">
        <f>'EF peternakan'!$C$19</f>
        <v>0.22</v>
      </c>
      <c r="AE16" s="204">
        <f t="shared" si="5"/>
        <v>1.02476E-3</v>
      </c>
      <c r="AF16" s="175">
        <f t="shared" si="28"/>
        <v>2.4314759999999998E-2</v>
      </c>
      <c r="AH16" s="46" t="s">
        <v>23</v>
      </c>
      <c r="AI16" s="86">
        <f t="shared" si="29"/>
        <v>4631</v>
      </c>
      <c r="AJ16" s="87">
        <f>'EF peternakan'!$C$9</f>
        <v>5</v>
      </c>
      <c r="AK16" s="43">
        <f t="shared" si="6"/>
        <v>2.3154999999999999E-2</v>
      </c>
      <c r="AL16" s="88">
        <f>'EF peternakan'!$C$19</f>
        <v>0.22</v>
      </c>
      <c r="AM16" s="204">
        <f t="shared" si="7"/>
        <v>1.0188199999999999E-3</v>
      </c>
      <c r="AN16" s="175">
        <f t="shared" si="30"/>
        <v>2.4173819999999999E-2</v>
      </c>
      <c r="AP16" s="46" t="s">
        <v>23</v>
      </c>
      <c r="AQ16" s="86">
        <f t="shared" si="31"/>
        <v>4602</v>
      </c>
      <c r="AR16" s="87">
        <f>'EF peternakan'!$C$9</f>
        <v>5</v>
      </c>
      <c r="AS16" s="43">
        <f t="shared" si="8"/>
        <v>2.3009999999999999E-2</v>
      </c>
      <c r="AT16" s="88">
        <f>'EF peternakan'!$C$19</f>
        <v>0.22</v>
      </c>
      <c r="AU16" s="204">
        <f t="shared" si="9"/>
        <v>1.0124400000000001E-3</v>
      </c>
      <c r="AV16" s="175">
        <f t="shared" si="32"/>
        <v>2.4022439999999999E-2</v>
      </c>
      <c r="AX16" s="46" t="s">
        <v>23</v>
      </c>
      <c r="AY16" s="86">
        <f t="shared" si="33"/>
        <v>4574</v>
      </c>
      <c r="AZ16" s="87">
        <f>'EF peternakan'!$C$9</f>
        <v>5</v>
      </c>
      <c r="BA16" s="43">
        <f t="shared" si="10"/>
        <v>2.2869999999999998E-2</v>
      </c>
      <c r="BB16" s="88">
        <f>'EF peternakan'!$C$19</f>
        <v>0.22</v>
      </c>
      <c r="BC16" s="204">
        <f t="shared" si="11"/>
        <v>1.00628E-3</v>
      </c>
      <c r="BD16" s="175">
        <f t="shared" si="34"/>
        <v>2.387628E-2</v>
      </c>
      <c r="BF16" s="46" t="s">
        <v>23</v>
      </c>
      <c r="BG16" s="86">
        <f t="shared" si="35"/>
        <v>4544</v>
      </c>
      <c r="BH16" s="87">
        <f>'EF peternakan'!$C$9</f>
        <v>5</v>
      </c>
      <c r="BI16" s="43">
        <f t="shared" si="12"/>
        <v>2.2720000000000001E-2</v>
      </c>
      <c r="BJ16" s="88">
        <f>'EF peternakan'!$C$19</f>
        <v>0.22</v>
      </c>
      <c r="BK16" s="204">
        <f t="shared" si="13"/>
        <v>9.9967999999999997E-4</v>
      </c>
      <c r="BL16" s="175">
        <f t="shared" si="36"/>
        <v>2.371968E-2</v>
      </c>
      <c r="BN16" s="46" t="s">
        <v>23</v>
      </c>
      <c r="BO16" s="86">
        <f t="shared" si="37"/>
        <v>4514</v>
      </c>
      <c r="BP16" s="87">
        <f>'EF peternakan'!$C$9</f>
        <v>5</v>
      </c>
      <c r="BQ16" s="43">
        <f t="shared" si="14"/>
        <v>2.257E-2</v>
      </c>
      <c r="BR16" s="88">
        <f>'EF peternakan'!$C$19</f>
        <v>0.22</v>
      </c>
      <c r="BS16" s="204">
        <f t="shared" si="15"/>
        <v>9.9307999999999992E-4</v>
      </c>
      <c r="BT16" s="175">
        <f t="shared" si="38"/>
        <v>2.356308E-2</v>
      </c>
      <c r="BV16" s="46" t="s">
        <v>23</v>
      </c>
      <c r="BW16" s="86">
        <f t="shared" si="39"/>
        <v>4484</v>
      </c>
      <c r="BX16" s="87">
        <f>'EF peternakan'!$C$9</f>
        <v>5</v>
      </c>
      <c r="BY16" s="43">
        <f t="shared" si="16"/>
        <v>2.2419999999999999E-2</v>
      </c>
      <c r="BZ16" s="88">
        <f>'EF peternakan'!$C$19</f>
        <v>0.22</v>
      </c>
      <c r="CA16" s="204">
        <f t="shared" si="17"/>
        <v>9.8647999999999987E-4</v>
      </c>
      <c r="CB16" s="175">
        <f t="shared" si="40"/>
        <v>2.340648E-2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2235</v>
      </c>
      <c r="D18" s="87">
        <f>'EF peternakan'!$C$10</f>
        <v>1</v>
      </c>
      <c r="E18" s="43">
        <f t="shared" si="20"/>
        <v>2.235E-3</v>
      </c>
      <c r="F18" s="88">
        <f>'EF peternakan'!$C$20</f>
        <v>7</v>
      </c>
      <c r="G18" s="204">
        <f t="shared" si="21"/>
        <v>1.5644999999999999E-2</v>
      </c>
      <c r="H18" s="175">
        <f t="shared" si="22"/>
        <v>1.788E-2</v>
      </c>
      <c r="J18" s="269" t="s">
        <v>66</v>
      </c>
      <c r="K18" s="86">
        <f>$D37</f>
        <v>2566</v>
      </c>
      <c r="L18" s="87">
        <f>'EF peternakan'!$C$10</f>
        <v>1</v>
      </c>
      <c r="M18" s="43"/>
      <c r="N18" s="88">
        <f>'EF peternakan'!$C$20</f>
        <v>7</v>
      </c>
      <c r="O18" s="204">
        <f t="shared" si="1"/>
        <v>1.7961999999999999E-2</v>
      </c>
      <c r="P18" s="175">
        <f t="shared" si="24"/>
        <v>1.7961999999999999E-2</v>
      </c>
      <c r="R18" s="269" t="s">
        <v>66</v>
      </c>
      <c r="S18" s="86">
        <f>E37</f>
        <v>2947</v>
      </c>
      <c r="T18" s="87">
        <f>'EF peternakan'!$C$10</f>
        <v>1</v>
      </c>
      <c r="U18" s="43">
        <f t="shared" si="2"/>
        <v>2.947E-3</v>
      </c>
      <c r="V18" s="88">
        <f>'EF peternakan'!$C$20</f>
        <v>7</v>
      </c>
      <c r="W18" s="204">
        <f t="shared" si="3"/>
        <v>2.0628999999999998E-2</v>
      </c>
      <c r="X18" s="175">
        <f t="shared" si="26"/>
        <v>2.3576E-2</v>
      </c>
      <c r="Z18" s="269" t="s">
        <v>66</v>
      </c>
      <c r="AA18" s="86">
        <f>F37</f>
        <v>3883</v>
      </c>
      <c r="AB18" s="87">
        <f>'EF peternakan'!$C$10</f>
        <v>1</v>
      </c>
      <c r="AC18" s="43">
        <f t="shared" si="4"/>
        <v>3.8829999999999997E-3</v>
      </c>
      <c r="AD18" s="88">
        <f>'EF peternakan'!$C$20</f>
        <v>7</v>
      </c>
      <c r="AE18" s="204">
        <f t="shared" si="5"/>
        <v>2.7181E-2</v>
      </c>
      <c r="AF18" s="175">
        <f t="shared" si="28"/>
        <v>3.1064000000000001E-2</v>
      </c>
      <c r="AH18" s="269" t="s">
        <v>66</v>
      </c>
      <c r="AI18" s="86">
        <f>G37</f>
        <v>3885</v>
      </c>
      <c r="AJ18" s="87">
        <f>'EF peternakan'!$C$10</f>
        <v>1</v>
      </c>
      <c r="AK18" s="43">
        <f t="shared" si="6"/>
        <v>3.885E-3</v>
      </c>
      <c r="AL18" s="88">
        <f>'EF peternakan'!$C$20</f>
        <v>7</v>
      </c>
      <c r="AM18" s="204">
        <f>AI18*AL18*10^-6</f>
        <v>2.7195E-2</v>
      </c>
      <c r="AN18" s="175">
        <f t="shared" si="30"/>
        <v>3.108E-2</v>
      </c>
      <c r="AP18" s="269" t="s">
        <v>66</v>
      </c>
      <c r="AQ18" s="86">
        <f>H37</f>
        <v>4461</v>
      </c>
      <c r="AR18" s="87">
        <f>'EF peternakan'!$C$10</f>
        <v>1</v>
      </c>
      <c r="AS18" s="43">
        <f t="shared" si="8"/>
        <v>4.4609999999999997E-3</v>
      </c>
      <c r="AT18" s="88">
        <f>'EF peternakan'!$C$20</f>
        <v>7</v>
      </c>
      <c r="AU18" s="204">
        <f t="shared" si="9"/>
        <v>3.1226999999999998E-2</v>
      </c>
      <c r="AV18" s="175">
        <f t="shared" si="32"/>
        <v>3.5687999999999998E-2</v>
      </c>
      <c r="AX18" s="269" t="s">
        <v>66</v>
      </c>
      <c r="AY18" s="86">
        <f>I37</f>
        <v>5122</v>
      </c>
      <c r="AZ18" s="87">
        <f>'EF peternakan'!$C$10</f>
        <v>1</v>
      </c>
      <c r="BA18" s="43">
        <f t="shared" si="10"/>
        <v>5.1219999999999998E-3</v>
      </c>
      <c r="BB18" s="88">
        <f>'EF peternakan'!$C$20</f>
        <v>7</v>
      </c>
      <c r="BC18" s="204">
        <f t="shared" si="11"/>
        <v>3.5853999999999997E-2</v>
      </c>
      <c r="BD18" s="175">
        <f t="shared" si="34"/>
        <v>4.0975999999999999E-2</v>
      </c>
      <c r="BF18" s="269" t="s">
        <v>66</v>
      </c>
      <c r="BG18" s="86">
        <f>J37</f>
        <v>5881</v>
      </c>
      <c r="BH18" s="87">
        <f>'EF peternakan'!$C$10</f>
        <v>1</v>
      </c>
      <c r="BI18" s="43">
        <f t="shared" si="12"/>
        <v>5.8809999999999999E-3</v>
      </c>
      <c r="BJ18" s="88">
        <f>'EF peternakan'!$C$20</f>
        <v>7</v>
      </c>
      <c r="BK18" s="204">
        <f t="shared" si="13"/>
        <v>4.1166999999999995E-2</v>
      </c>
      <c r="BL18" s="175">
        <f t="shared" si="36"/>
        <v>4.7047999999999993E-2</v>
      </c>
      <c r="BN18" s="269" t="s">
        <v>461</v>
      </c>
      <c r="BO18" s="86">
        <f>K37</f>
        <v>6752</v>
      </c>
      <c r="BP18" s="87">
        <f>'EF peternakan'!$C$10</f>
        <v>1</v>
      </c>
      <c r="BQ18" s="43">
        <f t="shared" si="14"/>
        <v>6.7519999999999993E-3</v>
      </c>
      <c r="BR18" s="88">
        <f>'EF peternakan'!$C$20</f>
        <v>7</v>
      </c>
      <c r="BS18" s="204">
        <f t="shared" si="15"/>
        <v>4.7264E-2</v>
      </c>
      <c r="BT18" s="175">
        <f t="shared" si="38"/>
        <v>5.4016000000000002E-2</v>
      </c>
      <c r="BV18" s="269" t="s">
        <v>461</v>
      </c>
      <c r="BW18" s="86">
        <f>L37</f>
        <v>7753</v>
      </c>
      <c r="BX18" s="87">
        <f>'EF peternakan'!$C$10</f>
        <v>1</v>
      </c>
      <c r="BY18" s="43">
        <f t="shared" si="16"/>
        <v>7.7529999999999995E-3</v>
      </c>
      <c r="BZ18" s="88">
        <f>'EF peternakan'!$C$20</f>
        <v>7</v>
      </c>
      <c r="CA18" s="204">
        <f t="shared" si="17"/>
        <v>5.4271E-2</v>
      </c>
      <c r="CB18" s="175">
        <f t="shared" si="40"/>
        <v>6.2023999999999996E-2</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428381</v>
      </c>
      <c r="D19" s="9"/>
      <c r="E19" s="12"/>
      <c r="F19" s="88">
        <f>'EF peternakan'!$C$22</f>
        <v>0.02</v>
      </c>
      <c r="G19" s="204">
        <f t="shared" ref="G19:G22" si="44">C19*F19*10^-6</f>
        <v>8.5676199999999997E-3</v>
      </c>
      <c r="H19" s="175">
        <f t="shared" ref="H19:H22" si="45">E19+G19</f>
        <v>8.5676199999999997E-3</v>
      </c>
      <c r="J19" s="46" t="s">
        <v>67</v>
      </c>
      <c r="K19" s="44">
        <f>D33</f>
        <v>438662</v>
      </c>
      <c r="L19" s="9"/>
      <c r="M19" s="12"/>
      <c r="N19" s="88">
        <f>'EF peternakan'!$C$22</f>
        <v>0.02</v>
      </c>
      <c r="O19" s="204">
        <f t="shared" ref="O19:O22" si="46">K19*N19*10^-6</f>
        <v>8.7732399999999999E-3</v>
      </c>
      <c r="P19" s="175">
        <f t="shared" ref="P19:P22" si="47">M19+O19</f>
        <v>8.7732399999999999E-3</v>
      </c>
      <c r="R19" s="46" t="s">
        <v>67</v>
      </c>
      <c r="S19" s="44">
        <f>E33</f>
        <v>449190</v>
      </c>
      <c r="T19" s="9"/>
      <c r="U19" s="12"/>
      <c r="V19" s="88">
        <f>'EF peternakan'!$C$22</f>
        <v>0.02</v>
      </c>
      <c r="W19" s="204">
        <f t="shared" ref="W19:W22" si="48">S19*V19*10^-6</f>
        <v>8.9838000000000001E-3</v>
      </c>
      <c r="X19" s="175">
        <f t="shared" ref="X19:X22" si="49">U19+W19</f>
        <v>8.9838000000000001E-3</v>
      </c>
      <c r="Z19" s="46" t="s">
        <v>67</v>
      </c>
      <c r="AA19" s="44">
        <f>F33</f>
        <v>459971</v>
      </c>
      <c r="AB19" s="9"/>
      <c r="AC19" s="12"/>
      <c r="AD19" s="88">
        <f>'EF peternakan'!$C$22</f>
        <v>0.02</v>
      </c>
      <c r="AE19" s="204">
        <f t="shared" ref="AE19:AE22" si="50">AA19*AD19*10^-6</f>
        <v>9.1994199999999998E-3</v>
      </c>
      <c r="AF19" s="175">
        <f t="shared" ref="AF19:AF22" si="51">AC19+AE19</f>
        <v>9.1994199999999998E-3</v>
      </c>
      <c r="AH19" s="46" t="s">
        <v>67</v>
      </c>
      <c r="AI19" s="44">
        <f>G33</f>
        <v>471010</v>
      </c>
      <c r="AJ19" s="9"/>
      <c r="AK19" s="12"/>
      <c r="AL19" s="88">
        <f>'EF peternakan'!$C$22</f>
        <v>0.02</v>
      </c>
      <c r="AM19" s="204">
        <f t="shared" ref="AM19:AM22" si="52">AI19*AL19*10^-6</f>
        <v>9.4202000000000001E-3</v>
      </c>
      <c r="AN19" s="175">
        <f t="shared" ref="AN19:AN22" si="53">AK19+AM19</f>
        <v>9.4202000000000001E-3</v>
      </c>
      <c r="AP19" s="46" t="s">
        <v>67</v>
      </c>
      <c r="AQ19" s="44">
        <f>H33</f>
        <v>482314</v>
      </c>
      <c r="AR19" s="9"/>
      <c r="AS19" s="12"/>
      <c r="AT19" s="88">
        <f>'EF peternakan'!$C$22</f>
        <v>0.02</v>
      </c>
      <c r="AU19" s="204">
        <f t="shared" ref="AU19:AU21" si="54">AQ19*AT19*10^-6</f>
        <v>9.6462800000000001E-3</v>
      </c>
      <c r="AV19" s="175">
        <f t="shared" ref="AV19:AV21" si="55">AS19+AU19</f>
        <v>9.6462800000000001E-3</v>
      </c>
      <c r="AX19" s="46" t="s">
        <v>67</v>
      </c>
      <c r="AY19" s="44">
        <f>I33</f>
        <v>493890</v>
      </c>
      <c r="AZ19" s="9"/>
      <c r="BA19" s="12"/>
      <c r="BB19" s="88">
        <f>'EF peternakan'!$C$22</f>
        <v>0.02</v>
      </c>
      <c r="BC19" s="204">
        <f t="shared" ref="BC19:BC22" si="56">AY19*BB19*10^-6</f>
        <v>9.8778000000000008E-3</v>
      </c>
      <c r="BD19" s="175">
        <f t="shared" ref="BD19:BD22" si="57">BA19+BC19</f>
        <v>9.8778000000000008E-3</v>
      </c>
      <c r="BF19" s="46" t="s">
        <v>67</v>
      </c>
      <c r="BG19" s="44">
        <f>J33</f>
        <v>505743</v>
      </c>
      <c r="BH19" s="9"/>
      <c r="BI19" s="12"/>
      <c r="BJ19" s="88">
        <f>'EF peternakan'!$C$22</f>
        <v>0.02</v>
      </c>
      <c r="BK19" s="204">
        <f t="shared" ref="BK19:BK22" si="58">BG19*BJ19*10^-6</f>
        <v>1.011486E-2</v>
      </c>
      <c r="BL19" s="175">
        <f t="shared" ref="BL19:BL22" si="59">BI19+BK19</f>
        <v>1.011486E-2</v>
      </c>
      <c r="BN19" s="46" t="s">
        <v>67</v>
      </c>
      <c r="BO19" s="44">
        <f>K33</f>
        <v>517881</v>
      </c>
      <c r="BP19" s="9"/>
      <c r="BQ19" s="12"/>
      <c r="BR19" s="88">
        <f>'EF peternakan'!$C$22</f>
        <v>0.02</v>
      </c>
      <c r="BS19" s="204">
        <f t="shared" ref="BS19:BS22" si="60">BO19*BR19*10^-6</f>
        <v>1.035762E-2</v>
      </c>
      <c r="BT19" s="175">
        <f t="shared" ref="BT19:BT22" si="61">BQ19+BS19</f>
        <v>1.035762E-2</v>
      </c>
      <c r="BV19" s="46" t="s">
        <v>67</v>
      </c>
      <c r="BW19" s="44">
        <f>L33</f>
        <v>530310</v>
      </c>
      <c r="BX19" s="9"/>
      <c r="BY19" s="12"/>
      <c r="BZ19" s="88">
        <f>'EF peternakan'!$C$22</f>
        <v>0.02</v>
      </c>
      <c r="CA19" s="204">
        <f t="shared" ref="CA19:CA22" si="62">BW19*BZ19*10^-6</f>
        <v>1.06062E-2</v>
      </c>
      <c r="CB19" s="175">
        <f t="shared" ref="CB19:CB22" si="63">BY19+CA19</f>
        <v>1.06062E-2</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1659884</v>
      </c>
      <c r="D20" s="9"/>
      <c r="E20" s="12"/>
      <c r="F20" s="88">
        <f>'EF peternakan'!$C$23</f>
        <v>0.02</v>
      </c>
      <c r="G20" s="204">
        <f t="shared" si="44"/>
        <v>3.319768E-2</v>
      </c>
      <c r="H20" s="175">
        <f t="shared" si="45"/>
        <v>3.319768E-2</v>
      </c>
      <c r="J20" s="46" t="s">
        <v>68</v>
      </c>
      <c r="K20" s="44">
        <f t="shared" ref="K20:K21" si="67">D34</f>
        <v>1607431</v>
      </c>
      <c r="L20" s="9"/>
      <c r="M20" s="12"/>
      <c r="N20" s="88">
        <f>'EF peternakan'!$C$23</f>
        <v>0.02</v>
      </c>
      <c r="O20" s="204">
        <f t="shared" si="46"/>
        <v>3.2148619999999996E-2</v>
      </c>
      <c r="P20" s="175">
        <f t="shared" si="47"/>
        <v>3.2148619999999996E-2</v>
      </c>
      <c r="R20" s="46" t="s">
        <v>68</v>
      </c>
      <c r="S20" s="44">
        <f t="shared" ref="S20:S21" si="68">E34</f>
        <v>1556636</v>
      </c>
      <c r="T20" s="9"/>
      <c r="U20" s="12"/>
      <c r="V20" s="88">
        <f>'EF peternakan'!$C$23</f>
        <v>0.02</v>
      </c>
      <c r="W20" s="204">
        <f t="shared" si="48"/>
        <v>3.1132719999999999E-2</v>
      </c>
      <c r="X20" s="175">
        <f t="shared" si="49"/>
        <v>3.1132719999999999E-2</v>
      </c>
      <c r="Z20" s="46" t="s">
        <v>68</v>
      </c>
      <c r="AA20" s="44">
        <f t="shared" ref="AA20:AA21" si="69">F34</f>
        <v>1507447</v>
      </c>
      <c r="AB20" s="9"/>
      <c r="AC20" s="12"/>
      <c r="AD20" s="88">
        <f>'EF peternakan'!$C$23</f>
        <v>0.02</v>
      </c>
      <c r="AE20" s="204">
        <f t="shared" si="50"/>
        <v>3.0148940000000003E-2</v>
      </c>
      <c r="AF20" s="175">
        <f t="shared" si="51"/>
        <v>3.0148940000000003E-2</v>
      </c>
      <c r="AH20" s="46" t="s">
        <v>68</v>
      </c>
      <c r="AI20" s="44">
        <f>G34</f>
        <v>1444737</v>
      </c>
      <c r="AJ20" s="9"/>
      <c r="AK20" s="12"/>
      <c r="AL20" s="88">
        <f>'EF peternakan'!$C$23</f>
        <v>0.02</v>
      </c>
      <c r="AM20" s="204">
        <f t="shared" si="52"/>
        <v>2.8894739999999999E-2</v>
      </c>
      <c r="AN20" s="175">
        <f t="shared" si="53"/>
        <v>2.8894739999999999E-2</v>
      </c>
      <c r="AP20" s="46" t="s">
        <v>68</v>
      </c>
      <c r="AQ20" s="44">
        <f>H34</f>
        <v>1673583</v>
      </c>
      <c r="AR20" s="9"/>
      <c r="AS20" s="12"/>
      <c r="AT20" s="88">
        <f>'EF peternakan'!$C$23</f>
        <v>0.02</v>
      </c>
      <c r="AU20" s="204">
        <f t="shared" si="54"/>
        <v>3.347166E-2</v>
      </c>
      <c r="AV20" s="175">
        <f t="shared" si="55"/>
        <v>3.347166E-2</v>
      </c>
      <c r="AX20" s="46" t="s">
        <v>68</v>
      </c>
      <c r="AY20" s="44">
        <f>I34</f>
        <v>1603962</v>
      </c>
      <c r="AZ20" s="9"/>
      <c r="BA20" s="12"/>
      <c r="BB20" s="88">
        <f>'EF peternakan'!$C$23</f>
        <v>0.02</v>
      </c>
      <c r="BC20" s="204">
        <f t="shared" si="56"/>
        <v>3.2079240000000002E-2</v>
      </c>
      <c r="BD20" s="175">
        <f t="shared" si="57"/>
        <v>3.2079240000000002E-2</v>
      </c>
      <c r="BF20" s="46" t="s">
        <v>68</v>
      </c>
      <c r="BG20" s="44">
        <f>J34</f>
        <v>1713673</v>
      </c>
      <c r="BH20" s="9"/>
      <c r="BI20" s="12"/>
      <c r="BJ20" s="88">
        <f>'EF peternakan'!$C$23</f>
        <v>0.02</v>
      </c>
      <c r="BK20" s="204">
        <f t="shared" si="58"/>
        <v>3.4273459999999999E-2</v>
      </c>
      <c r="BL20" s="175">
        <f t="shared" si="59"/>
        <v>3.4273459999999999E-2</v>
      </c>
      <c r="BN20" s="46" t="s">
        <v>68</v>
      </c>
      <c r="BO20" s="44">
        <f>K34</f>
        <v>1659521</v>
      </c>
      <c r="BP20" s="9"/>
      <c r="BQ20" s="12"/>
      <c r="BR20" s="88">
        <f>'EF peternakan'!$C$23</f>
        <v>0.02</v>
      </c>
      <c r="BS20" s="204">
        <f t="shared" si="60"/>
        <v>3.3190419999999998E-2</v>
      </c>
      <c r="BT20" s="175">
        <f t="shared" si="61"/>
        <v>3.3190419999999998E-2</v>
      </c>
      <c r="BV20" s="46" t="s">
        <v>68</v>
      </c>
      <c r="BW20" s="44">
        <f>L34</f>
        <v>1607080</v>
      </c>
      <c r="BX20" s="9"/>
      <c r="BY20" s="12"/>
      <c r="BZ20" s="88">
        <f>'EF peternakan'!$C$23</f>
        <v>0.02</v>
      </c>
      <c r="CA20" s="204">
        <f t="shared" si="62"/>
        <v>3.2141599999999999E-2</v>
      </c>
      <c r="CB20" s="175">
        <f t="shared" si="63"/>
        <v>3.2141599999999999E-2</v>
      </c>
      <c r="CD20" s="46" t="s">
        <v>68</v>
      </c>
      <c r="CE20" s="44">
        <f>M34</f>
        <v>0</v>
      </c>
      <c r="CF20" s="9"/>
      <c r="CG20" s="12"/>
      <c r="CH20" s="88">
        <f>'EF peternakan'!$C$23</f>
        <v>0.02</v>
      </c>
      <c r="CI20" s="204">
        <f t="shared" si="64"/>
        <v>0</v>
      </c>
      <c r="CJ20" s="175">
        <f t="shared" si="65"/>
        <v>0</v>
      </c>
    </row>
    <row r="21" spans="2:88" x14ac:dyDescent="0.25">
      <c r="B21" s="46" t="s">
        <v>69</v>
      </c>
      <c r="C21" s="44">
        <f t="shared" si="66"/>
        <v>100894</v>
      </c>
      <c r="D21" s="9"/>
      <c r="E21" s="12"/>
      <c r="F21" s="88">
        <f>'EF peternakan'!$C$24</f>
        <v>0.02</v>
      </c>
      <c r="G21" s="204">
        <f t="shared" si="44"/>
        <v>2.0178800000000001E-3</v>
      </c>
      <c r="H21" s="175">
        <f t="shared" si="45"/>
        <v>2.0178800000000001E-3</v>
      </c>
      <c r="J21" s="46" t="s">
        <v>69</v>
      </c>
      <c r="K21" s="44">
        <f t="shared" si="67"/>
        <v>101975</v>
      </c>
      <c r="L21" s="9"/>
      <c r="M21" s="12"/>
      <c r="N21" s="88">
        <f>'EF peternakan'!$C$24</f>
        <v>0.02</v>
      </c>
      <c r="O21" s="204">
        <f t="shared" si="46"/>
        <v>2.0395000000000001E-3</v>
      </c>
      <c r="P21" s="175">
        <f t="shared" si="47"/>
        <v>2.0395000000000001E-3</v>
      </c>
      <c r="R21" s="46" t="s">
        <v>69</v>
      </c>
      <c r="S21" s="44">
        <f t="shared" si="68"/>
        <v>102342</v>
      </c>
      <c r="T21" s="9"/>
      <c r="U21" s="12"/>
      <c r="V21" s="88">
        <f>'EF peternakan'!$C$24</f>
        <v>0.02</v>
      </c>
      <c r="W21" s="204">
        <f t="shared" si="48"/>
        <v>2.0468399999999999E-3</v>
      </c>
      <c r="X21" s="175">
        <f t="shared" si="49"/>
        <v>2.0468399999999999E-3</v>
      </c>
      <c r="Z21" s="46" t="s">
        <v>69</v>
      </c>
      <c r="AA21" s="44">
        <f t="shared" si="69"/>
        <v>102467</v>
      </c>
      <c r="AB21" s="9"/>
      <c r="AC21" s="12"/>
      <c r="AD21" s="88">
        <f>'EF peternakan'!$C$24</f>
        <v>0.02</v>
      </c>
      <c r="AE21" s="204">
        <f t="shared" si="50"/>
        <v>2.0493400000000002E-3</v>
      </c>
      <c r="AF21" s="175">
        <f t="shared" si="51"/>
        <v>2.0493400000000002E-3</v>
      </c>
      <c r="AH21" s="46" t="s">
        <v>69</v>
      </c>
      <c r="AI21" s="44">
        <f>G35</f>
        <v>102510</v>
      </c>
      <c r="AJ21" s="9"/>
      <c r="AK21" s="12"/>
      <c r="AL21" s="88">
        <f>'EF peternakan'!$C$24</f>
        <v>0.02</v>
      </c>
      <c r="AM21" s="204">
        <f t="shared" si="52"/>
        <v>2.0501999999999999E-3</v>
      </c>
      <c r="AN21" s="175">
        <f t="shared" si="53"/>
        <v>2.0501999999999999E-3</v>
      </c>
      <c r="AP21" s="46" t="s">
        <v>69</v>
      </c>
      <c r="AQ21" s="44">
        <f>H35</f>
        <v>102524</v>
      </c>
      <c r="AR21" s="9"/>
      <c r="AS21" s="12"/>
      <c r="AT21" s="88">
        <f>'EF peternakan'!$C$24</f>
        <v>0.02</v>
      </c>
      <c r="AU21" s="204">
        <f t="shared" si="54"/>
        <v>2.0504799999999999E-3</v>
      </c>
      <c r="AV21" s="175">
        <f t="shared" si="55"/>
        <v>2.0504799999999999E-3</v>
      </c>
      <c r="AX21" s="46" t="s">
        <v>69</v>
      </c>
      <c r="AY21" s="44">
        <f>I35</f>
        <v>102529</v>
      </c>
      <c r="AZ21" s="9"/>
      <c r="BA21" s="12"/>
      <c r="BB21" s="88">
        <f>'EF peternakan'!$C$24</f>
        <v>0.02</v>
      </c>
      <c r="BC21" s="204">
        <f t="shared" si="56"/>
        <v>2.0505799999999998E-3</v>
      </c>
      <c r="BD21" s="175">
        <f t="shared" si="57"/>
        <v>2.0505799999999998E-3</v>
      </c>
      <c r="BF21" s="46" t="s">
        <v>69</v>
      </c>
      <c r="BG21" s="44">
        <f>J35</f>
        <v>102531</v>
      </c>
      <c r="BH21" s="9"/>
      <c r="BI21" s="12"/>
      <c r="BJ21" s="88">
        <f>'EF peternakan'!$C$24</f>
        <v>0.02</v>
      </c>
      <c r="BK21" s="204">
        <f t="shared" si="58"/>
        <v>2.05062E-3</v>
      </c>
      <c r="BL21" s="175">
        <f t="shared" si="59"/>
        <v>2.05062E-3</v>
      </c>
      <c r="BN21" s="46" t="s">
        <v>69</v>
      </c>
      <c r="BO21" s="44">
        <f>K35</f>
        <v>102532</v>
      </c>
      <c r="BP21" s="9"/>
      <c r="BQ21" s="12"/>
      <c r="BR21" s="88">
        <f>'EF peternakan'!$C$24</f>
        <v>0.02</v>
      </c>
      <c r="BS21" s="204">
        <f t="shared" si="60"/>
        <v>2.0506399999999998E-3</v>
      </c>
      <c r="BT21" s="175">
        <f t="shared" si="61"/>
        <v>2.0506399999999998E-3</v>
      </c>
      <c r="BV21" s="46" t="s">
        <v>69</v>
      </c>
      <c r="BW21" s="44">
        <f>L35</f>
        <v>102532</v>
      </c>
      <c r="BX21" s="9"/>
      <c r="BY21" s="12"/>
      <c r="BZ21" s="88">
        <f>'EF peternakan'!$C$24</f>
        <v>0.02</v>
      </c>
      <c r="CA21" s="204">
        <f t="shared" si="62"/>
        <v>2.0506399999999998E-3</v>
      </c>
      <c r="CB21" s="175">
        <f t="shared" si="63"/>
        <v>2.0506399999999998E-3</v>
      </c>
      <c r="CD21" s="46" t="s">
        <v>69</v>
      </c>
      <c r="CE21" s="44">
        <f>M35</f>
        <v>0</v>
      </c>
      <c r="CF21" s="9"/>
      <c r="CG21" s="12"/>
      <c r="CH21" s="88">
        <f>'EF peternakan'!$C$24</f>
        <v>0.02</v>
      </c>
      <c r="CI21" s="204">
        <f t="shared" si="64"/>
        <v>0</v>
      </c>
      <c r="CJ21" s="175">
        <f t="shared" si="65"/>
        <v>0</v>
      </c>
    </row>
    <row r="22" spans="2:88" x14ac:dyDescent="0.25">
      <c r="B22" s="269" t="s">
        <v>462</v>
      </c>
      <c r="C22" s="44">
        <f>C36</f>
        <v>21748</v>
      </c>
      <c r="D22" s="9"/>
      <c r="E22" s="12"/>
      <c r="F22" s="88">
        <f>'EF peternakan'!$C$25</f>
        <v>0.02</v>
      </c>
      <c r="G22" s="204">
        <f t="shared" si="44"/>
        <v>4.3496000000000002E-4</v>
      </c>
      <c r="H22" s="175">
        <f t="shared" si="45"/>
        <v>4.3496000000000002E-4</v>
      </c>
      <c r="J22" s="269" t="s">
        <v>462</v>
      </c>
      <c r="K22" s="44">
        <f>D36</f>
        <v>22367</v>
      </c>
      <c r="L22" s="9"/>
      <c r="M22" s="12"/>
      <c r="N22" s="88">
        <f>'EF peternakan'!$C$25</f>
        <v>0.02</v>
      </c>
      <c r="O22" s="204">
        <f t="shared" si="46"/>
        <v>4.4734000000000001E-4</v>
      </c>
      <c r="P22" s="175">
        <f t="shared" si="47"/>
        <v>4.4734000000000001E-4</v>
      </c>
      <c r="R22" s="269" t="s">
        <v>462</v>
      </c>
      <c r="S22" s="44">
        <f>E36</f>
        <v>23005</v>
      </c>
      <c r="T22" s="9"/>
      <c r="U22" s="12"/>
      <c r="V22" s="88">
        <f>'EF peternakan'!$C$25</f>
        <v>0.02</v>
      </c>
      <c r="W22" s="204">
        <f t="shared" si="48"/>
        <v>4.6010000000000002E-4</v>
      </c>
      <c r="X22" s="175">
        <f t="shared" si="49"/>
        <v>4.6010000000000002E-4</v>
      </c>
      <c r="Z22" s="269" t="s">
        <v>462</v>
      </c>
      <c r="AA22" s="44">
        <f>F36</f>
        <v>23661</v>
      </c>
      <c r="AB22" s="9"/>
      <c r="AC22" s="12"/>
      <c r="AD22" s="88">
        <f>'EF peternakan'!$C$25</f>
        <v>0.02</v>
      </c>
      <c r="AE22" s="204">
        <f t="shared" si="50"/>
        <v>4.7322E-4</v>
      </c>
      <c r="AF22" s="175">
        <f t="shared" si="51"/>
        <v>4.7322E-4</v>
      </c>
      <c r="AH22" s="269" t="s">
        <v>462</v>
      </c>
      <c r="AI22" s="44">
        <f>G36</f>
        <v>22679</v>
      </c>
      <c r="AJ22" s="9"/>
      <c r="AK22" s="12"/>
      <c r="AL22" s="88">
        <f>'EF peternakan'!$C$25</f>
        <v>0.02</v>
      </c>
      <c r="AM22" s="204">
        <f t="shared" si="52"/>
        <v>4.5357999999999998E-4</v>
      </c>
      <c r="AN22" s="175">
        <f t="shared" si="53"/>
        <v>4.5357999999999998E-4</v>
      </c>
      <c r="AP22" s="269" t="s">
        <v>462</v>
      </c>
      <c r="AQ22" s="44">
        <f>H36</f>
        <v>23325</v>
      </c>
      <c r="AR22" s="9"/>
      <c r="AS22" s="12"/>
      <c r="AT22" s="88">
        <f>'EF peternakan'!$C$25</f>
        <v>0.02</v>
      </c>
      <c r="AU22" s="204">
        <f t="shared" ref="AU22" si="70">AQ22*AT22*10^-6</f>
        <v>4.6649999999999996E-4</v>
      </c>
      <c r="AV22" s="175">
        <f t="shared" ref="AV22" si="71">AS22+AU22</f>
        <v>4.6649999999999996E-4</v>
      </c>
      <c r="AX22" s="269" t="s">
        <v>462</v>
      </c>
      <c r="AY22" s="44">
        <f>I36</f>
        <v>23990</v>
      </c>
      <c r="AZ22" s="9"/>
      <c r="BA22" s="12"/>
      <c r="BB22" s="88">
        <f>'EF peternakan'!$C$25</f>
        <v>0.02</v>
      </c>
      <c r="BC22" s="204">
        <f t="shared" si="56"/>
        <v>4.7980000000000001E-4</v>
      </c>
      <c r="BD22" s="175">
        <f t="shared" si="57"/>
        <v>4.7980000000000001E-4</v>
      </c>
      <c r="BF22" s="269" t="s">
        <v>462</v>
      </c>
      <c r="BG22" s="44">
        <f>J36</f>
        <v>24674</v>
      </c>
      <c r="BH22" s="9"/>
      <c r="BI22" s="12"/>
      <c r="BJ22" s="88">
        <f>'EF peternakan'!$C$25</f>
        <v>0.02</v>
      </c>
      <c r="BK22" s="204">
        <f t="shared" si="58"/>
        <v>4.9348000000000003E-4</v>
      </c>
      <c r="BL22" s="175">
        <f t="shared" si="59"/>
        <v>4.9348000000000003E-4</v>
      </c>
      <c r="BN22" s="269" t="s">
        <v>462</v>
      </c>
      <c r="BO22" s="44">
        <f>K36</f>
        <v>25377</v>
      </c>
      <c r="BP22" s="9"/>
      <c r="BQ22" s="12"/>
      <c r="BR22" s="88">
        <f>'EF peternakan'!$C$25</f>
        <v>0.02</v>
      </c>
      <c r="BS22" s="204">
        <f t="shared" si="60"/>
        <v>5.0754000000000001E-4</v>
      </c>
      <c r="BT22" s="175">
        <f t="shared" si="61"/>
        <v>5.0754000000000001E-4</v>
      </c>
      <c r="BV22" s="269" t="s">
        <v>462</v>
      </c>
      <c r="BW22" s="44">
        <f>L36</f>
        <v>26100</v>
      </c>
      <c r="BX22" s="9"/>
      <c r="BY22" s="12"/>
      <c r="BZ22" s="88">
        <f>'EF peternakan'!$C$25</f>
        <v>0.02</v>
      </c>
      <c r="CA22" s="204">
        <f t="shared" si="62"/>
        <v>5.22E-4</v>
      </c>
      <c r="CB22" s="175">
        <f t="shared" si="63"/>
        <v>5.22E-4</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2241072.5266384147</v>
      </c>
      <c r="D23" s="50"/>
      <c r="E23" s="52">
        <f>SUM(E12:E21)</f>
        <v>1.1213237520054955</v>
      </c>
      <c r="F23" s="51"/>
      <c r="G23" s="205">
        <f>SUM(G12:G22)</f>
        <v>8.5383806638414786E-2</v>
      </c>
      <c r="H23" s="211">
        <f>SUM(H12:H22)</f>
        <v>1.2067075586439102</v>
      </c>
      <c r="J23" s="47" t="s">
        <v>76</v>
      </c>
      <c r="K23" s="45">
        <f>SUM(K12:K22)</f>
        <v>2202393.5772660463</v>
      </c>
      <c r="L23" s="50"/>
      <c r="M23" s="52">
        <f>SUM(M12:M22)</f>
        <v>1.1889651315041807</v>
      </c>
      <c r="N23" s="51"/>
      <c r="O23" s="205">
        <f>SUM(O12:O22)</f>
        <v>8.8438697266046404E-2</v>
      </c>
      <c r="P23" s="211">
        <f>SUM(P12:P22)</f>
        <v>1.2774038287702272</v>
      </c>
      <c r="R23" s="47" t="s">
        <v>76</v>
      </c>
      <c r="S23" s="45">
        <f>SUM(S12:S22)</f>
        <v>2164972.6278936779</v>
      </c>
      <c r="T23" s="50"/>
      <c r="U23" s="52">
        <f>SUM(U12:U22)</f>
        <v>1.2616725110028661</v>
      </c>
      <c r="V23" s="51"/>
      <c r="W23" s="205">
        <f>SUM(W12:W22)</f>
        <v>9.1834787893677994E-2</v>
      </c>
      <c r="X23" s="211">
        <f>SUM(X12:X22)</f>
        <v>1.3535072988965442</v>
      </c>
      <c r="Z23" s="47" t="s">
        <v>76</v>
      </c>
      <c r="AA23" s="45">
        <f>SUM(AA12:AA22)</f>
        <v>2129741.6785213095</v>
      </c>
      <c r="AB23" s="50"/>
      <c r="AC23" s="52">
        <f>SUM(AC12:AC22)</f>
        <v>1.3324188905015466</v>
      </c>
      <c r="AD23" s="51"/>
      <c r="AE23" s="205">
        <f>SUM(AE12:AE22)</f>
        <v>9.915035852130949E-2</v>
      </c>
      <c r="AF23" s="211">
        <f>SUM(AF12:AF22)</f>
        <v>1.4315692490228558</v>
      </c>
      <c r="AH23" s="47" t="s">
        <v>76</v>
      </c>
      <c r="AI23" s="45">
        <f>SUM(AI12:AI22)</f>
        <v>2078594.7291489411</v>
      </c>
      <c r="AJ23" s="50"/>
      <c r="AK23" s="52">
        <f>SUM(AK12:AK22)</f>
        <v>1.4022922700002363</v>
      </c>
      <c r="AL23" s="51"/>
      <c r="AM23" s="205">
        <f>SUM(AM12:AM22)</f>
        <v>9.9659269148941201E-2</v>
      </c>
      <c r="AN23" s="211">
        <f>SUM(AN12:AN22)</f>
        <v>1.5019515391491773</v>
      </c>
      <c r="AP23" s="47" t="s">
        <v>76</v>
      </c>
      <c r="AQ23" s="45">
        <f>SUM(AQ12:AQ22)</f>
        <v>2321439.7797765727</v>
      </c>
      <c r="AR23" s="50"/>
      <c r="AS23" s="52">
        <f>SUM(AS12:AS22)</f>
        <v>1.4727236494989167</v>
      </c>
      <c r="AT23" s="51"/>
      <c r="AU23" s="205">
        <f>SUM(AU12:AU22)</f>
        <v>0.11002513977657269</v>
      </c>
      <c r="AV23" s="211">
        <f>SUM(AV12:AV22)</f>
        <v>1.5827487892754892</v>
      </c>
      <c r="AX23" s="47" t="s">
        <v>76</v>
      </c>
      <c r="AY23" s="45">
        <f>SUM(AY12:AY22)</f>
        <v>2266185.8304042043</v>
      </c>
      <c r="AZ23" s="50"/>
      <c r="BA23" s="52">
        <f>SUM(BA12:BA22)</f>
        <v>1.543251028997602</v>
      </c>
      <c r="BB23" s="51"/>
      <c r="BC23" s="205">
        <f>SUM(BC12:BC22)</f>
        <v>0.11505153040420429</v>
      </c>
      <c r="BD23" s="211">
        <f>SUM(BD12:BD22)</f>
        <v>1.6583025594018059</v>
      </c>
      <c r="BF23" s="47" t="s">
        <v>76</v>
      </c>
      <c r="BG23" s="45">
        <f>SUM(BG12:BG22)</f>
        <v>2390651.8810318359</v>
      </c>
      <c r="BH23" s="50"/>
      <c r="BI23" s="52">
        <f>SUM(BI12:BI22)</f>
        <v>1.6138114084962827</v>
      </c>
      <c r="BJ23" s="51"/>
      <c r="BK23" s="205">
        <f>SUM(BK12:BK22)</f>
        <v>0.1243539810318358</v>
      </c>
      <c r="BL23" s="211">
        <f>SUM(BL12:BL22)</f>
        <v>1.7381653895281184</v>
      </c>
      <c r="BN23" s="47" t="s">
        <v>76</v>
      </c>
      <c r="BO23" s="45">
        <f>SUM(BO12:BO22)</f>
        <v>2351670.9316594675</v>
      </c>
      <c r="BP23" s="50"/>
      <c r="BQ23" s="52">
        <f>SUM(BQ12:BQ22)</f>
        <v>1.6845387879949678</v>
      </c>
      <c r="BR23" s="51"/>
      <c r="BS23" s="205">
        <f>SUM(BS12:BS22)</f>
        <v>0.1311712316594674</v>
      </c>
      <c r="BT23" s="211">
        <f>SUM(BT12:BT22)</f>
        <v>1.8157100196544351</v>
      </c>
      <c r="BV23" s="47" t="s">
        <v>76</v>
      </c>
      <c r="BW23" s="45">
        <f>SUM(BW12:BW22)</f>
        <v>2314839.9822870991</v>
      </c>
      <c r="BX23" s="50"/>
      <c r="BY23" s="52">
        <f>SUM(BY12:BY22)</f>
        <v>1.755335167493653</v>
      </c>
      <c r="BZ23" s="51"/>
      <c r="CA23" s="205">
        <f>SUM(CA12:CA22)</f>
        <v>0.13890790228709898</v>
      </c>
      <c r="CB23" s="211">
        <f>SUM(CB12:CB22)</f>
        <v>1.8942430697807522</v>
      </c>
      <c r="CD23" s="47" t="s">
        <v>76</v>
      </c>
      <c r="CE23" s="45">
        <f>SUM(CE12:CE22)</f>
        <v>0</v>
      </c>
      <c r="CF23" s="50"/>
      <c r="CG23" s="52">
        <f>SUM(CG12:CG22)</f>
        <v>0</v>
      </c>
      <c r="CH23" s="51"/>
      <c r="CI23" s="205">
        <f>SUM(CI12:CI22)</f>
        <v>0</v>
      </c>
      <c r="CJ23" s="211">
        <f>SUM(CJ12:CJ22)</f>
        <v>0</v>
      </c>
    </row>
    <row r="25" spans="2:88" x14ac:dyDescent="0.25">
      <c r="B25" s="227"/>
      <c r="C25" s="413" t="s">
        <v>518</v>
      </c>
      <c r="D25" s="414"/>
      <c r="E25" s="414"/>
      <c r="F25" s="414"/>
      <c r="G25" s="414"/>
      <c r="H25" s="414"/>
      <c r="I25" s="414"/>
      <c r="J25" s="414"/>
      <c r="K25" s="414"/>
      <c r="L25" s="414"/>
      <c r="M25" s="415"/>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[1]PPU!$O$26</f>
        <v>22</v>
      </c>
      <c r="D27" s="230">
        <f>[1]PPU!$O$27</f>
        <v>24</v>
      </c>
      <c r="E27" s="230">
        <f>[1]PPU!$O$28</f>
        <v>25</v>
      </c>
      <c r="F27" s="230">
        <f>[1]PPU!$O$29</f>
        <v>26</v>
      </c>
      <c r="G27" s="230">
        <f>[1]PPU!$O$30</f>
        <v>28</v>
      </c>
      <c r="H27" s="230">
        <f>[1]PPU!$O$31</f>
        <v>29</v>
      </c>
      <c r="I27" s="230">
        <f>[1]PPU!$O$32</f>
        <v>31</v>
      </c>
      <c r="J27" s="230">
        <f>[1]PPU!$O$33</f>
        <v>33</v>
      </c>
      <c r="K27" s="230">
        <f>[1]PPU!$O$34</f>
        <v>35</v>
      </c>
      <c r="L27" s="230">
        <f>[1]PPU!$O$35</f>
        <v>36</v>
      </c>
      <c r="M27" s="230"/>
    </row>
    <row r="28" spans="2:88" x14ac:dyDescent="0.25">
      <c r="B28" s="56" t="s">
        <v>71</v>
      </c>
      <c r="C28" s="230">
        <f>[1]PPU!$N$26</f>
        <v>22546.526638414802</v>
      </c>
      <c r="D28" s="230">
        <f>[1]PPU!$N$27</f>
        <v>24027.577266046399</v>
      </c>
      <c r="E28" s="230">
        <f>[1]PPU!$N$28</f>
        <v>25508.627893678</v>
      </c>
      <c r="F28" s="230">
        <f>[1]PPU!$N$29</f>
        <v>26989.678521309499</v>
      </c>
      <c r="G28" s="230">
        <f>[1]PPU!$N$30</f>
        <v>28470.729148941198</v>
      </c>
      <c r="H28" s="230">
        <f>[1]PPU!$N$31</f>
        <v>29951.779776572701</v>
      </c>
      <c r="I28" s="230">
        <f>[1]PPU!$N$32</f>
        <v>31432.830404204298</v>
      </c>
      <c r="J28" s="230">
        <f>[1]PPU!$N$33</f>
        <v>32913.881031835801</v>
      </c>
      <c r="K28" s="230">
        <f>[1]PPU!$N$34</f>
        <v>34394.931659467402</v>
      </c>
      <c r="L28" s="230">
        <f>[1]PPU!$N$35</f>
        <v>35875.982287099003</v>
      </c>
      <c r="M28" s="230"/>
      <c r="N28" s="230"/>
    </row>
    <row r="29" spans="2:88" x14ac:dyDescent="0.25">
      <c r="B29" s="56" t="s">
        <v>22</v>
      </c>
      <c r="C29" s="230">
        <f>[1]PPU!$P$26</f>
        <v>625</v>
      </c>
      <c r="D29" s="230">
        <f>[1]PPU!$P$27</f>
        <v>630</v>
      </c>
      <c r="E29" s="230">
        <f>[1]PPU!$P$28</f>
        <v>634</v>
      </c>
      <c r="F29" s="230">
        <f>[1]PPU!$P$29</f>
        <v>639</v>
      </c>
      <c r="G29" s="230">
        <f>[1]PPU!$P$30</f>
        <v>644</v>
      </c>
      <c r="H29" s="230">
        <f>[1]PPU!$P$31</f>
        <v>650</v>
      </c>
      <c r="I29" s="230">
        <f>[1]PPU!$P$32</f>
        <v>655</v>
      </c>
      <c r="J29" s="230">
        <f>[1]PPU!$P$33</f>
        <v>659</v>
      </c>
      <c r="K29" s="230">
        <f>[1]PPU!$P$34</f>
        <v>664</v>
      </c>
      <c r="L29" s="230">
        <f>[1]PPU!$P$35</f>
        <v>669</v>
      </c>
      <c r="M29" s="230"/>
    </row>
    <row r="30" spans="2:88" x14ac:dyDescent="0.25">
      <c r="B30" s="56" t="s">
        <v>65</v>
      </c>
      <c r="C30" s="230">
        <f>[1]PPU!$R$26</f>
        <v>0</v>
      </c>
      <c r="D30" s="230">
        <f>[1]PPU!$R$27</f>
        <v>0</v>
      </c>
      <c r="E30" s="230">
        <f>[1]PPU!$R$28</f>
        <v>0</v>
      </c>
      <c r="F30" s="230">
        <f>[1]PPU!$R$29</f>
        <v>0</v>
      </c>
      <c r="G30" s="230">
        <f>[1]PPU!$R$30</f>
        <v>0</v>
      </c>
      <c r="H30" s="230">
        <f>[1]PPU!$R$31</f>
        <v>0</v>
      </c>
      <c r="I30" s="230">
        <f>[1]PPU!$R$32</f>
        <v>0</v>
      </c>
      <c r="J30" s="230">
        <f>[1]PPU!$R$33</f>
        <v>0</v>
      </c>
      <c r="K30" s="230">
        <f>[1]PPU!$R$34</f>
        <v>0</v>
      </c>
      <c r="L30" s="230">
        <f>[1]PPU!$R$35</f>
        <v>0</v>
      </c>
      <c r="M30" s="226"/>
    </row>
    <row r="31" spans="2:88" x14ac:dyDescent="0.25">
      <c r="B31" s="56" t="s">
        <v>23</v>
      </c>
      <c r="C31" s="230">
        <f>[1]PPU!$Q$26</f>
        <v>4737</v>
      </c>
      <c r="D31" s="230">
        <f>[1]PPU!$Q$27</f>
        <v>4711</v>
      </c>
      <c r="E31" s="230">
        <f>[1]PPU!$Q$28</f>
        <v>4685</v>
      </c>
      <c r="F31" s="230">
        <f>[1]PPU!$Q$29</f>
        <v>4658</v>
      </c>
      <c r="G31" s="230">
        <f>[1]PPU!$Q$30</f>
        <v>4631</v>
      </c>
      <c r="H31" s="230">
        <f>[1]PPU!$Q$31</f>
        <v>4602</v>
      </c>
      <c r="I31" s="230">
        <f>[1]PPU!$Q$32</f>
        <v>4574</v>
      </c>
      <c r="J31" s="230">
        <f>[1]PPU!$Q$33</f>
        <v>4544</v>
      </c>
      <c r="K31" s="230">
        <f>[1]PPU!$Q$34</f>
        <v>4514</v>
      </c>
      <c r="L31" s="230">
        <f>[1]PPU!$Q$35</f>
        <v>4484</v>
      </c>
      <c r="M31" s="230"/>
    </row>
    <row r="32" spans="2:88" x14ac:dyDescent="0.25">
      <c r="B32" s="56" t="s">
        <v>24</v>
      </c>
      <c r="C32" s="230">
        <f>[1]PPU!$T$26</f>
        <v>0</v>
      </c>
      <c r="D32" s="230">
        <f>[1]PPU!$T$27</f>
        <v>0</v>
      </c>
      <c r="E32" s="230">
        <f>[1]PPU!$T$28</f>
        <v>0</v>
      </c>
      <c r="F32" s="230">
        <f>[1]PPU!$T$29</f>
        <v>0</v>
      </c>
      <c r="G32" s="230">
        <f>[1]PPU!$T$30</f>
        <v>0</v>
      </c>
      <c r="H32" s="230">
        <f>[1]PPU!$T$31</f>
        <v>0</v>
      </c>
      <c r="I32" s="230">
        <f>[1]PPU!$T$32</f>
        <v>0</v>
      </c>
      <c r="J32" s="230">
        <f>[1]PPU!$T$33</f>
        <v>0</v>
      </c>
      <c r="K32" s="230">
        <f>[1]PPU!$T$34</f>
        <v>0</v>
      </c>
      <c r="L32" s="230">
        <f>[1]PPU!$T$35</f>
        <v>0</v>
      </c>
      <c r="M32" s="230"/>
    </row>
    <row r="33" spans="2:13" x14ac:dyDescent="0.25">
      <c r="B33" s="56" t="s">
        <v>72</v>
      </c>
      <c r="C33" s="230">
        <f>[1]PPU!$U$26</f>
        <v>428381</v>
      </c>
      <c r="D33" s="230">
        <f>[1]PPU!$U$27</f>
        <v>438662</v>
      </c>
      <c r="E33" s="230">
        <f>[1]PPU!$U$28</f>
        <v>449190</v>
      </c>
      <c r="F33" s="230">
        <f>[1]PPU!$U$29</f>
        <v>459971</v>
      </c>
      <c r="G33" s="230">
        <f>[1]PPU!$U$30</f>
        <v>471010</v>
      </c>
      <c r="H33" s="230">
        <f>[1]PPU!$U$31</f>
        <v>482314</v>
      </c>
      <c r="I33" s="230">
        <f>[1]PPU!$U$32</f>
        <v>493890</v>
      </c>
      <c r="J33" s="230">
        <f>[1]PPU!$U$33</f>
        <v>505743</v>
      </c>
      <c r="K33" s="230">
        <f>[1]PPU!$U$34</f>
        <v>517881</v>
      </c>
      <c r="L33" s="230">
        <f>[1]PPU!$U$35</f>
        <v>530310</v>
      </c>
      <c r="M33" s="230"/>
    </row>
    <row r="34" spans="2:13" x14ac:dyDescent="0.25">
      <c r="B34" s="56" t="s">
        <v>73</v>
      </c>
      <c r="C34" s="230">
        <f>[1]PPU!$V$26</f>
        <v>1659884</v>
      </c>
      <c r="D34" s="230">
        <f>[1]PPU!$V$27</f>
        <v>1607431</v>
      </c>
      <c r="E34" s="230">
        <f>[1]PPU!$V$28</f>
        <v>1556636</v>
      </c>
      <c r="F34" s="230">
        <f>[1]PPU!$V$29</f>
        <v>1507447</v>
      </c>
      <c r="G34" s="230">
        <f>[1]PPU!$V$30</f>
        <v>1444737</v>
      </c>
      <c r="H34" s="230">
        <f>[1]PPU!$V$31</f>
        <v>1673583</v>
      </c>
      <c r="I34" s="230">
        <f>[1]PPU!$V$32</f>
        <v>1603962</v>
      </c>
      <c r="J34" s="230">
        <f>[1]PPU!$V$33</f>
        <v>1713673</v>
      </c>
      <c r="K34" s="230">
        <f>[1]PPU!$V$34</f>
        <v>1659521</v>
      </c>
      <c r="L34" s="230">
        <f>[1]PPU!$V$35</f>
        <v>1607080</v>
      </c>
      <c r="M34" s="230"/>
    </row>
    <row r="35" spans="2:13" x14ac:dyDescent="0.25">
      <c r="B35" s="56" t="s">
        <v>74</v>
      </c>
      <c r="C35" s="230">
        <f>[1]PPU!$W$26</f>
        <v>100894</v>
      </c>
      <c r="D35" s="230">
        <f>[1]PPU!$W$27</f>
        <v>101975</v>
      </c>
      <c r="E35" s="230">
        <f>[1]PPU!$W$28</f>
        <v>102342</v>
      </c>
      <c r="F35" s="230">
        <f>[1]PPU!$W$29</f>
        <v>102467</v>
      </c>
      <c r="G35" s="230">
        <f>[1]PPU!$W$30</f>
        <v>102510</v>
      </c>
      <c r="H35" s="230">
        <f>[1]PPU!$W$31</f>
        <v>102524</v>
      </c>
      <c r="I35" s="230">
        <f>[1]PPU!$W$32</f>
        <v>102529</v>
      </c>
      <c r="J35" s="230">
        <f>[1]PPU!$W$33</f>
        <v>102531</v>
      </c>
      <c r="K35" s="230">
        <f>[1]PPU!$W$34</f>
        <v>102532</v>
      </c>
      <c r="L35" s="230">
        <f>[1]PPU!$W$35</f>
        <v>102532</v>
      </c>
      <c r="M35" s="226"/>
    </row>
    <row r="36" spans="2:13" x14ac:dyDescent="0.25">
      <c r="B36" s="56" t="s">
        <v>75</v>
      </c>
      <c r="C36" s="230">
        <f>[1]PPU!$X$26</f>
        <v>21748</v>
      </c>
      <c r="D36" s="230">
        <f>[1]PPU!$X$27</f>
        <v>22367</v>
      </c>
      <c r="E36" s="230">
        <f>[1]PPU!$X$28</f>
        <v>23005</v>
      </c>
      <c r="F36" s="230">
        <f>[1]PPU!$X$29</f>
        <v>23661</v>
      </c>
      <c r="G36" s="230">
        <f>[1]PPU!$X$30</f>
        <v>22679</v>
      </c>
      <c r="H36" s="230">
        <f>[1]PPU!$X$31</f>
        <v>23325</v>
      </c>
      <c r="I36" s="230">
        <f>[1]PPU!$X$32</f>
        <v>23990</v>
      </c>
      <c r="J36" s="230">
        <f>[1]PPU!$X$33</f>
        <v>24674</v>
      </c>
      <c r="K36" s="230">
        <f>[1]PPU!$X$34</f>
        <v>25377</v>
      </c>
      <c r="L36" s="230">
        <f>[1]PPU!$X$35</f>
        <v>26100</v>
      </c>
      <c r="M36" s="226"/>
    </row>
    <row r="37" spans="2:13" x14ac:dyDescent="0.25">
      <c r="B37" s="271" t="s">
        <v>66</v>
      </c>
      <c r="C37" s="233">
        <f>[1]PPU!$S$26</f>
        <v>2235</v>
      </c>
      <c r="D37" s="233">
        <f>[1]PPU!$S$27</f>
        <v>2566</v>
      </c>
      <c r="E37" s="233">
        <f>[1]PPU!$S$28</f>
        <v>2947</v>
      </c>
      <c r="F37" s="233">
        <f>[1]PPU!$S$29</f>
        <v>3883</v>
      </c>
      <c r="G37" s="233">
        <f>[1]PPU!$S$30</f>
        <v>3885</v>
      </c>
      <c r="H37" s="233">
        <f>[1]PPU!$S$31</f>
        <v>4461</v>
      </c>
      <c r="I37" s="233">
        <f>[1]PPU!$S$32</f>
        <v>5122</v>
      </c>
      <c r="J37" s="233">
        <f>[1]PPU!$S$33</f>
        <v>5881</v>
      </c>
      <c r="K37" s="233">
        <f>[1]PPU!$S$34</f>
        <v>6752</v>
      </c>
      <c r="L37" s="233">
        <f>[1]PPU!$S$35</f>
        <v>7753</v>
      </c>
      <c r="M37" s="68"/>
    </row>
  </sheetData>
  <mergeCells count="23">
    <mergeCell ref="F6:G6"/>
    <mergeCell ref="C6:D6"/>
    <mergeCell ref="C25:M25"/>
    <mergeCell ref="K6:L6"/>
    <mergeCell ref="N6:O6"/>
    <mergeCell ref="S6:T6"/>
    <mergeCell ref="V6:W6"/>
    <mergeCell ref="AA6:AB6"/>
    <mergeCell ref="AD6:AE6"/>
    <mergeCell ref="AI6:AJ6"/>
    <mergeCell ref="AL6:AM6"/>
    <mergeCell ref="AQ6:AR6"/>
    <mergeCell ref="AT6:AU6"/>
    <mergeCell ref="AY6:AZ6"/>
    <mergeCell ref="BB6:BC6"/>
    <mergeCell ref="BZ6:CA6"/>
    <mergeCell ref="CE6:CF6"/>
    <mergeCell ref="CH6:CI6"/>
    <mergeCell ref="BG6:BH6"/>
    <mergeCell ref="BJ6:BK6"/>
    <mergeCell ref="BO6:BP6"/>
    <mergeCell ref="BR6:BS6"/>
    <mergeCell ref="BW6:BX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F5" activePane="bottomRight" state="frozen"/>
      <selection pane="topRight" activeCell="C1" sqref="C1"/>
      <selection pane="bottomLeft" activeCell="A2" sqref="A2"/>
      <selection pane="bottomRight" activeCell="JW11" sqref="JW11:JW16"/>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6" t="s">
        <v>102</v>
      </c>
      <c r="C5" s="302" t="s">
        <v>3</v>
      </c>
      <c r="D5" s="303" t="s">
        <v>89</v>
      </c>
      <c r="E5" s="418" t="s">
        <v>98</v>
      </c>
      <c r="F5" s="419"/>
      <c r="G5" s="425"/>
      <c r="H5" s="418" t="s">
        <v>89</v>
      </c>
      <c r="I5" s="419"/>
      <c r="J5" s="419"/>
      <c r="K5" s="420"/>
      <c r="S5" s="416" t="s">
        <v>102</v>
      </c>
      <c r="T5" s="302" t="s">
        <v>3</v>
      </c>
      <c r="U5" s="303" t="s">
        <v>89</v>
      </c>
      <c r="V5" s="418" t="s">
        <v>145</v>
      </c>
      <c r="W5" s="419"/>
      <c r="X5" s="418" t="s">
        <v>146</v>
      </c>
      <c r="Y5" s="420"/>
      <c r="AB5" s="416" t="s">
        <v>102</v>
      </c>
      <c r="AC5" s="302" t="s">
        <v>3</v>
      </c>
      <c r="AD5" s="303" t="s">
        <v>89</v>
      </c>
      <c r="AE5" s="418" t="s">
        <v>98</v>
      </c>
      <c r="AF5" s="419"/>
      <c r="AG5" s="425"/>
      <c r="AH5" s="418" t="s">
        <v>89</v>
      </c>
      <c r="AI5" s="419"/>
      <c r="AJ5" s="419"/>
      <c r="AK5" s="420"/>
      <c r="AS5" s="416" t="s">
        <v>102</v>
      </c>
      <c r="AT5" s="302" t="s">
        <v>3</v>
      </c>
      <c r="AU5" s="303" t="s">
        <v>89</v>
      </c>
      <c r="AV5" s="418" t="s">
        <v>145</v>
      </c>
      <c r="AW5" s="419"/>
      <c r="AX5" s="418" t="s">
        <v>146</v>
      </c>
      <c r="AY5" s="420"/>
      <c r="BB5" s="416" t="s">
        <v>102</v>
      </c>
      <c r="BC5" s="302" t="s">
        <v>3</v>
      </c>
      <c r="BD5" s="303" t="s">
        <v>89</v>
      </c>
      <c r="BE5" s="418" t="s">
        <v>98</v>
      </c>
      <c r="BF5" s="419"/>
      <c r="BG5" s="425"/>
      <c r="BH5" s="418" t="s">
        <v>89</v>
      </c>
      <c r="BI5" s="419"/>
      <c r="BJ5" s="419"/>
      <c r="BK5" s="420"/>
      <c r="BS5" s="416" t="s">
        <v>102</v>
      </c>
      <c r="BT5" s="302" t="s">
        <v>3</v>
      </c>
      <c r="BU5" s="303" t="s">
        <v>89</v>
      </c>
      <c r="BV5" s="418" t="s">
        <v>145</v>
      </c>
      <c r="BW5" s="419"/>
      <c r="BX5" s="418" t="s">
        <v>146</v>
      </c>
      <c r="BY5" s="420"/>
      <c r="CB5" s="416" t="s">
        <v>102</v>
      </c>
      <c r="CC5" s="302" t="s">
        <v>3</v>
      </c>
      <c r="CD5" s="303" t="s">
        <v>89</v>
      </c>
      <c r="CE5" s="418" t="s">
        <v>98</v>
      </c>
      <c r="CF5" s="419"/>
      <c r="CG5" s="425"/>
      <c r="CH5" s="418" t="s">
        <v>89</v>
      </c>
      <c r="CI5" s="419"/>
      <c r="CJ5" s="419"/>
      <c r="CK5" s="420"/>
      <c r="CS5" s="416" t="s">
        <v>102</v>
      </c>
      <c r="CT5" s="302" t="s">
        <v>3</v>
      </c>
      <c r="CU5" s="303" t="s">
        <v>89</v>
      </c>
      <c r="CV5" s="418" t="s">
        <v>145</v>
      </c>
      <c r="CW5" s="419"/>
      <c r="CX5" s="418" t="s">
        <v>146</v>
      </c>
      <c r="CY5" s="420"/>
      <c r="DB5" s="416" t="s">
        <v>102</v>
      </c>
      <c r="DC5" s="302" t="s">
        <v>3</v>
      </c>
      <c r="DD5" s="303" t="s">
        <v>89</v>
      </c>
      <c r="DE5" s="418" t="s">
        <v>98</v>
      </c>
      <c r="DF5" s="419"/>
      <c r="DG5" s="425"/>
      <c r="DH5" s="418" t="s">
        <v>89</v>
      </c>
      <c r="DI5" s="419"/>
      <c r="DJ5" s="419"/>
      <c r="DK5" s="420"/>
      <c r="DS5" s="416" t="s">
        <v>102</v>
      </c>
      <c r="DT5" s="302" t="s">
        <v>3</v>
      </c>
      <c r="DU5" s="303" t="s">
        <v>89</v>
      </c>
      <c r="DV5" s="418" t="s">
        <v>145</v>
      </c>
      <c r="DW5" s="419"/>
      <c r="DX5" s="418" t="s">
        <v>146</v>
      </c>
      <c r="DY5" s="420"/>
      <c r="EB5" s="416" t="s">
        <v>102</v>
      </c>
      <c r="EC5" s="302" t="s">
        <v>3</v>
      </c>
      <c r="ED5" s="303" t="s">
        <v>89</v>
      </c>
      <c r="EE5" s="418" t="s">
        <v>98</v>
      </c>
      <c r="EF5" s="419"/>
      <c r="EG5" s="425"/>
      <c r="EH5" s="418" t="s">
        <v>89</v>
      </c>
      <c r="EI5" s="419"/>
      <c r="EJ5" s="419"/>
      <c r="EK5" s="420"/>
      <c r="ES5" s="416" t="s">
        <v>102</v>
      </c>
      <c r="ET5" s="302" t="s">
        <v>3</v>
      </c>
      <c r="EU5" s="303" t="s">
        <v>89</v>
      </c>
      <c r="EV5" s="418" t="s">
        <v>145</v>
      </c>
      <c r="EW5" s="419"/>
      <c r="EX5" s="418" t="s">
        <v>146</v>
      </c>
      <c r="EY5" s="420"/>
      <c r="FB5" s="416" t="s">
        <v>102</v>
      </c>
      <c r="FC5" s="302" t="s">
        <v>3</v>
      </c>
      <c r="FD5" s="303" t="s">
        <v>89</v>
      </c>
      <c r="FE5" s="418" t="s">
        <v>98</v>
      </c>
      <c r="FF5" s="419"/>
      <c r="FG5" s="425"/>
      <c r="FH5" s="418" t="s">
        <v>89</v>
      </c>
      <c r="FI5" s="419"/>
      <c r="FJ5" s="419"/>
      <c r="FK5" s="420"/>
      <c r="FS5" s="416" t="s">
        <v>102</v>
      </c>
      <c r="FT5" s="302" t="s">
        <v>3</v>
      </c>
      <c r="FU5" s="303" t="s">
        <v>89</v>
      </c>
      <c r="FV5" s="418" t="s">
        <v>145</v>
      </c>
      <c r="FW5" s="419"/>
      <c r="FX5" s="418" t="s">
        <v>146</v>
      </c>
      <c r="FY5" s="420"/>
      <c r="GB5" s="416" t="s">
        <v>102</v>
      </c>
      <c r="GC5" s="302" t="s">
        <v>3</v>
      </c>
      <c r="GD5" s="303" t="s">
        <v>89</v>
      </c>
      <c r="GE5" s="418" t="s">
        <v>98</v>
      </c>
      <c r="GF5" s="419"/>
      <c r="GG5" s="425"/>
      <c r="GH5" s="418" t="s">
        <v>89</v>
      </c>
      <c r="GI5" s="419"/>
      <c r="GJ5" s="419"/>
      <c r="GK5" s="420"/>
      <c r="GS5" s="416" t="s">
        <v>102</v>
      </c>
      <c r="GT5" s="302" t="s">
        <v>3</v>
      </c>
      <c r="GU5" s="303" t="s">
        <v>89</v>
      </c>
      <c r="GV5" s="418" t="s">
        <v>145</v>
      </c>
      <c r="GW5" s="419"/>
      <c r="GX5" s="418" t="s">
        <v>146</v>
      </c>
      <c r="GY5" s="420"/>
      <c r="HB5" s="416" t="s">
        <v>102</v>
      </c>
      <c r="HC5" s="302" t="s">
        <v>3</v>
      </c>
      <c r="HD5" s="303" t="s">
        <v>89</v>
      </c>
      <c r="HE5" s="418" t="s">
        <v>98</v>
      </c>
      <c r="HF5" s="419"/>
      <c r="HG5" s="425"/>
      <c r="HH5" s="418" t="s">
        <v>89</v>
      </c>
      <c r="HI5" s="419"/>
      <c r="HJ5" s="419"/>
      <c r="HK5" s="420"/>
      <c r="HS5" s="416" t="s">
        <v>102</v>
      </c>
      <c r="HT5" s="302" t="s">
        <v>3</v>
      </c>
      <c r="HU5" s="303" t="s">
        <v>89</v>
      </c>
      <c r="HV5" s="418" t="s">
        <v>145</v>
      </c>
      <c r="HW5" s="419"/>
      <c r="HX5" s="418" t="s">
        <v>146</v>
      </c>
      <c r="HY5" s="420"/>
      <c r="IB5" s="416" t="s">
        <v>102</v>
      </c>
      <c r="IC5" s="302" t="s">
        <v>3</v>
      </c>
      <c r="ID5" s="303" t="s">
        <v>89</v>
      </c>
      <c r="IE5" s="418" t="s">
        <v>98</v>
      </c>
      <c r="IF5" s="419"/>
      <c r="IG5" s="425"/>
      <c r="IH5" s="418" t="s">
        <v>89</v>
      </c>
      <c r="II5" s="419"/>
      <c r="IJ5" s="419"/>
      <c r="IK5" s="420"/>
      <c r="IS5" s="416" t="s">
        <v>102</v>
      </c>
      <c r="IT5" s="302" t="s">
        <v>3</v>
      </c>
      <c r="IU5" s="303" t="s">
        <v>89</v>
      </c>
      <c r="IV5" s="418" t="s">
        <v>145</v>
      </c>
      <c r="IW5" s="419"/>
      <c r="IX5" s="418" t="s">
        <v>146</v>
      </c>
      <c r="IY5" s="420"/>
      <c r="JB5" s="416" t="s">
        <v>102</v>
      </c>
      <c r="JC5" s="302" t="s">
        <v>3</v>
      </c>
      <c r="JD5" s="303" t="s">
        <v>89</v>
      </c>
      <c r="JE5" s="418" t="s">
        <v>98</v>
      </c>
      <c r="JF5" s="419"/>
      <c r="JG5" s="425"/>
      <c r="JH5" s="418" t="s">
        <v>89</v>
      </c>
      <c r="JI5" s="419"/>
      <c r="JJ5" s="419"/>
      <c r="JK5" s="420"/>
      <c r="JS5" s="416" t="s">
        <v>102</v>
      </c>
      <c r="JT5" s="302" t="s">
        <v>3</v>
      </c>
      <c r="JU5" s="303" t="s">
        <v>89</v>
      </c>
      <c r="JV5" s="418" t="s">
        <v>145</v>
      </c>
      <c r="JW5" s="419"/>
      <c r="JX5" s="418" t="s">
        <v>146</v>
      </c>
      <c r="JY5" s="420"/>
    </row>
    <row r="6" spans="1:285" s="253" customFormat="1" ht="93" x14ac:dyDescent="0.25">
      <c r="B6" s="417"/>
      <c r="C6" s="426" t="s">
        <v>12</v>
      </c>
      <c r="D6" s="25" t="s">
        <v>5</v>
      </c>
      <c r="E6" s="25" t="s">
        <v>88</v>
      </c>
      <c r="F6" s="25" t="s">
        <v>93</v>
      </c>
      <c r="G6" s="25" t="s">
        <v>96</v>
      </c>
      <c r="H6" s="426" t="s">
        <v>349</v>
      </c>
      <c r="I6" s="203" t="s">
        <v>110</v>
      </c>
      <c r="J6" s="294" t="s">
        <v>106</v>
      </c>
      <c r="K6" s="21" t="s">
        <v>133</v>
      </c>
      <c r="S6" s="417"/>
      <c r="T6" s="427" t="s">
        <v>12</v>
      </c>
      <c r="U6" s="25" t="s">
        <v>121</v>
      </c>
      <c r="V6" s="426" t="s">
        <v>130</v>
      </c>
      <c r="W6" s="25" t="s">
        <v>124</v>
      </c>
      <c r="X6" s="25" t="s">
        <v>126</v>
      </c>
      <c r="Y6" s="157" t="s">
        <v>129</v>
      </c>
      <c r="AB6" s="417"/>
      <c r="AC6" s="426" t="s">
        <v>12</v>
      </c>
      <c r="AD6" s="25" t="s">
        <v>5</v>
      </c>
      <c r="AE6" s="25" t="s">
        <v>88</v>
      </c>
      <c r="AF6" s="25" t="s">
        <v>93</v>
      </c>
      <c r="AG6" s="25" t="s">
        <v>96</v>
      </c>
      <c r="AH6" s="426" t="s">
        <v>349</v>
      </c>
      <c r="AI6" s="203" t="s">
        <v>110</v>
      </c>
      <c r="AJ6" s="294" t="s">
        <v>106</v>
      </c>
      <c r="AK6" s="21" t="s">
        <v>133</v>
      </c>
      <c r="AS6" s="417"/>
      <c r="AT6" s="427" t="s">
        <v>12</v>
      </c>
      <c r="AU6" s="25" t="s">
        <v>121</v>
      </c>
      <c r="AV6" s="426" t="s">
        <v>130</v>
      </c>
      <c r="AW6" s="25" t="s">
        <v>124</v>
      </c>
      <c r="AX6" s="25" t="s">
        <v>126</v>
      </c>
      <c r="AY6" s="157" t="s">
        <v>129</v>
      </c>
      <c r="BB6" s="417"/>
      <c r="BC6" s="426" t="s">
        <v>12</v>
      </c>
      <c r="BD6" s="25" t="s">
        <v>5</v>
      </c>
      <c r="BE6" s="25" t="s">
        <v>88</v>
      </c>
      <c r="BF6" s="25" t="s">
        <v>93</v>
      </c>
      <c r="BG6" s="25" t="s">
        <v>96</v>
      </c>
      <c r="BH6" s="426" t="s">
        <v>349</v>
      </c>
      <c r="BI6" s="203" t="s">
        <v>110</v>
      </c>
      <c r="BJ6" s="294" t="s">
        <v>106</v>
      </c>
      <c r="BK6" s="21" t="s">
        <v>133</v>
      </c>
      <c r="BS6" s="417"/>
      <c r="BT6" s="427" t="s">
        <v>12</v>
      </c>
      <c r="BU6" s="25" t="s">
        <v>121</v>
      </c>
      <c r="BV6" s="426" t="s">
        <v>130</v>
      </c>
      <c r="BW6" s="25" t="s">
        <v>124</v>
      </c>
      <c r="BX6" s="25" t="s">
        <v>126</v>
      </c>
      <c r="BY6" s="157" t="s">
        <v>129</v>
      </c>
      <c r="CB6" s="417"/>
      <c r="CC6" s="426" t="s">
        <v>12</v>
      </c>
      <c r="CD6" s="25" t="s">
        <v>5</v>
      </c>
      <c r="CE6" s="25" t="s">
        <v>88</v>
      </c>
      <c r="CF6" s="25" t="s">
        <v>93</v>
      </c>
      <c r="CG6" s="25" t="s">
        <v>96</v>
      </c>
      <c r="CH6" s="426" t="s">
        <v>349</v>
      </c>
      <c r="CI6" s="203" t="s">
        <v>110</v>
      </c>
      <c r="CJ6" s="294" t="s">
        <v>106</v>
      </c>
      <c r="CK6" s="21" t="s">
        <v>133</v>
      </c>
      <c r="CS6" s="417"/>
      <c r="CT6" s="427" t="s">
        <v>12</v>
      </c>
      <c r="CU6" s="25" t="s">
        <v>121</v>
      </c>
      <c r="CV6" s="426" t="s">
        <v>130</v>
      </c>
      <c r="CW6" s="25" t="s">
        <v>124</v>
      </c>
      <c r="CX6" s="25" t="s">
        <v>126</v>
      </c>
      <c r="CY6" s="157" t="s">
        <v>129</v>
      </c>
      <c r="DB6" s="417"/>
      <c r="DC6" s="426" t="s">
        <v>12</v>
      </c>
      <c r="DD6" s="25" t="s">
        <v>5</v>
      </c>
      <c r="DE6" s="25" t="s">
        <v>88</v>
      </c>
      <c r="DF6" s="25" t="s">
        <v>93</v>
      </c>
      <c r="DG6" s="25" t="s">
        <v>96</v>
      </c>
      <c r="DH6" s="426" t="s">
        <v>349</v>
      </c>
      <c r="DI6" s="203" t="s">
        <v>110</v>
      </c>
      <c r="DJ6" s="294" t="s">
        <v>106</v>
      </c>
      <c r="DK6" s="21" t="s">
        <v>133</v>
      </c>
      <c r="DS6" s="417"/>
      <c r="DT6" s="427" t="s">
        <v>12</v>
      </c>
      <c r="DU6" s="25" t="s">
        <v>121</v>
      </c>
      <c r="DV6" s="426" t="s">
        <v>130</v>
      </c>
      <c r="DW6" s="25" t="s">
        <v>124</v>
      </c>
      <c r="DX6" s="25" t="s">
        <v>126</v>
      </c>
      <c r="DY6" s="157" t="s">
        <v>129</v>
      </c>
      <c r="EB6" s="417"/>
      <c r="EC6" s="426" t="s">
        <v>12</v>
      </c>
      <c r="ED6" s="25" t="s">
        <v>5</v>
      </c>
      <c r="EE6" s="25" t="s">
        <v>88</v>
      </c>
      <c r="EF6" s="25" t="s">
        <v>93</v>
      </c>
      <c r="EG6" s="25" t="s">
        <v>96</v>
      </c>
      <c r="EH6" s="426" t="s">
        <v>349</v>
      </c>
      <c r="EI6" s="203" t="s">
        <v>110</v>
      </c>
      <c r="EJ6" s="294" t="s">
        <v>106</v>
      </c>
      <c r="EK6" s="21" t="s">
        <v>133</v>
      </c>
      <c r="ES6" s="417"/>
      <c r="ET6" s="427" t="s">
        <v>12</v>
      </c>
      <c r="EU6" s="25" t="s">
        <v>121</v>
      </c>
      <c r="EV6" s="426" t="s">
        <v>130</v>
      </c>
      <c r="EW6" s="25" t="s">
        <v>124</v>
      </c>
      <c r="EX6" s="25" t="s">
        <v>126</v>
      </c>
      <c r="EY6" s="157" t="s">
        <v>129</v>
      </c>
      <c r="FB6" s="417"/>
      <c r="FC6" s="426" t="s">
        <v>12</v>
      </c>
      <c r="FD6" s="25" t="s">
        <v>5</v>
      </c>
      <c r="FE6" s="25" t="s">
        <v>88</v>
      </c>
      <c r="FF6" s="25" t="s">
        <v>93</v>
      </c>
      <c r="FG6" s="25" t="s">
        <v>96</v>
      </c>
      <c r="FH6" s="426" t="s">
        <v>349</v>
      </c>
      <c r="FI6" s="203" t="s">
        <v>110</v>
      </c>
      <c r="FJ6" s="294" t="s">
        <v>106</v>
      </c>
      <c r="FK6" s="21" t="s">
        <v>133</v>
      </c>
      <c r="FS6" s="417"/>
      <c r="FT6" s="427" t="s">
        <v>12</v>
      </c>
      <c r="FU6" s="25" t="s">
        <v>121</v>
      </c>
      <c r="FV6" s="426" t="s">
        <v>130</v>
      </c>
      <c r="FW6" s="25" t="s">
        <v>124</v>
      </c>
      <c r="FX6" s="25" t="s">
        <v>126</v>
      </c>
      <c r="FY6" s="157" t="s">
        <v>129</v>
      </c>
      <c r="GB6" s="417"/>
      <c r="GC6" s="426" t="s">
        <v>12</v>
      </c>
      <c r="GD6" s="25" t="s">
        <v>5</v>
      </c>
      <c r="GE6" s="25" t="s">
        <v>88</v>
      </c>
      <c r="GF6" s="25" t="s">
        <v>93</v>
      </c>
      <c r="GG6" s="25" t="s">
        <v>96</v>
      </c>
      <c r="GH6" s="426" t="s">
        <v>349</v>
      </c>
      <c r="GI6" s="203" t="s">
        <v>110</v>
      </c>
      <c r="GJ6" s="294" t="s">
        <v>106</v>
      </c>
      <c r="GK6" s="21" t="s">
        <v>133</v>
      </c>
      <c r="GS6" s="417"/>
      <c r="GT6" s="427" t="s">
        <v>12</v>
      </c>
      <c r="GU6" s="25" t="s">
        <v>121</v>
      </c>
      <c r="GV6" s="426" t="s">
        <v>130</v>
      </c>
      <c r="GW6" s="25" t="s">
        <v>124</v>
      </c>
      <c r="GX6" s="25" t="s">
        <v>126</v>
      </c>
      <c r="GY6" s="157" t="s">
        <v>129</v>
      </c>
      <c r="HB6" s="417"/>
      <c r="HC6" s="426" t="s">
        <v>12</v>
      </c>
      <c r="HD6" s="25" t="s">
        <v>5</v>
      </c>
      <c r="HE6" s="25" t="s">
        <v>88</v>
      </c>
      <c r="HF6" s="25" t="s">
        <v>93</v>
      </c>
      <c r="HG6" s="25" t="s">
        <v>96</v>
      </c>
      <c r="HH6" s="426" t="s">
        <v>349</v>
      </c>
      <c r="HI6" s="203" t="s">
        <v>110</v>
      </c>
      <c r="HJ6" s="294" t="s">
        <v>106</v>
      </c>
      <c r="HK6" s="21" t="s">
        <v>133</v>
      </c>
      <c r="HS6" s="417"/>
      <c r="HT6" s="427" t="s">
        <v>12</v>
      </c>
      <c r="HU6" s="25" t="s">
        <v>121</v>
      </c>
      <c r="HV6" s="426" t="s">
        <v>130</v>
      </c>
      <c r="HW6" s="25" t="s">
        <v>124</v>
      </c>
      <c r="HX6" s="25" t="s">
        <v>126</v>
      </c>
      <c r="HY6" s="157" t="s">
        <v>129</v>
      </c>
      <c r="IB6" s="417"/>
      <c r="IC6" s="426" t="s">
        <v>12</v>
      </c>
      <c r="ID6" s="25" t="s">
        <v>5</v>
      </c>
      <c r="IE6" s="25" t="s">
        <v>88</v>
      </c>
      <c r="IF6" s="25" t="s">
        <v>93</v>
      </c>
      <c r="IG6" s="25" t="s">
        <v>96</v>
      </c>
      <c r="IH6" s="426" t="s">
        <v>349</v>
      </c>
      <c r="II6" s="203" t="s">
        <v>110</v>
      </c>
      <c r="IJ6" s="294" t="s">
        <v>106</v>
      </c>
      <c r="IK6" s="21" t="s">
        <v>133</v>
      </c>
      <c r="IS6" s="417"/>
      <c r="IT6" s="427" t="s">
        <v>12</v>
      </c>
      <c r="IU6" s="25" t="s">
        <v>121</v>
      </c>
      <c r="IV6" s="426" t="s">
        <v>130</v>
      </c>
      <c r="IW6" s="25" t="s">
        <v>124</v>
      </c>
      <c r="IX6" s="25" t="s">
        <v>126</v>
      </c>
      <c r="IY6" s="157" t="s">
        <v>129</v>
      </c>
      <c r="JB6" s="417"/>
      <c r="JC6" s="426" t="s">
        <v>12</v>
      </c>
      <c r="JD6" s="25" t="s">
        <v>5</v>
      </c>
      <c r="JE6" s="25" t="s">
        <v>88</v>
      </c>
      <c r="JF6" s="25" t="s">
        <v>93</v>
      </c>
      <c r="JG6" s="25" t="s">
        <v>96</v>
      </c>
      <c r="JH6" s="426" t="s">
        <v>349</v>
      </c>
      <c r="JI6" s="203" t="s">
        <v>110</v>
      </c>
      <c r="JJ6" s="294" t="s">
        <v>106</v>
      </c>
      <c r="JK6" s="21" t="s">
        <v>133</v>
      </c>
      <c r="JS6" s="417"/>
      <c r="JT6" s="427" t="s">
        <v>12</v>
      </c>
      <c r="JU6" s="25" t="s">
        <v>121</v>
      </c>
      <c r="JV6" s="426" t="s">
        <v>130</v>
      </c>
      <c r="JW6" s="25" t="s">
        <v>124</v>
      </c>
      <c r="JX6" s="25" t="s">
        <v>126</v>
      </c>
      <c r="JY6" s="157" t="s">
        <v>129</v>
      </c>
    </row>
    <row r="7" spans="1:285" s="20" customFormat="1" ht="45" x14ac:dyDescent="0.25">
      <c r="A7" s="20" t="s">
        <v>348</v>
      </c>
      <c r="B7" s="417"/>
      <c r="C7" s="426"/>
      <c r="D7" s="254" t="s">
        <v>6</v>
      </c>
      <c r="E7" s="25" t="s">
        <v>95</v>
      </c>
      <c r="F7" s="254" t="s">
        <v>94</v>
      </c>
      <c r="G7" s="254" t="s">
        <v>97</v>
      </c>
      <c r="H7" s="426"/>
      <c r="I7" s="273" t="s">
        <v>109</v>
      </c>
      <c r="J7" s="294" t="s">
        <v>107</v>
      </c>
      <c r="K7" s="274" t="s">
        <v>108</v>
      </c>
      <c r="S7" s="417"/>
      <c r="T7" s="427"/>
      <c r="U7" s="203" t="s">
        <v>109</v>
      </c>
      <c r="V7" s="426"/>
      <c r="W7" s="203" t="s">
        <v>109</v>
      </c>
      <c r="X7" s="25" t="s">
        <v>128</v>
      </c>
      <c r="Y7" s="275" t="s">
        <v>143</v>
      </c>
      <c r="AB7" s="417"/>
      <c r="AC7" s="426"/>
      <c r="AD7" s="254" t="s">
        <v>6</v>
      </c>
      <c r="AE7" s="25" t="s">
        <v>95</v>
      </c>
      <c r="AF7" s="254" t="s">
        <v>94</v>
      </c>
      <c r="AG7" s="254" t="s">
        <v>97</v>
      </c>
      <c r="AH7" s="426"/>
      <c r="AI7" s="273" t="s">
        <v>109</v>
      </c>
      <c r="AJ7" s="294" t="s">
        <v>107</v>
      </c>
      <c r="AK7" s="274" t="s">
        <v>108</v>
      </c>
      <c r="AS7" s="417"/>
      <c r="AT7" s="427"/>
      <c r="AU7" s="203" t="s">
        <v>109</v>
      </c>
      <c r="AV7" s="426"/>
      <c r="AW7" s="203" t="s">
        <v>109</v>
      </c>
      <c r="AX7" s="25" t="s">
        <v>128</v>
      </c>
      <c r="AY7" s="275" t="s">
        <v>143</v>
      </c>
      <c r="BB7" s="417"/>
      <c r="BC7" s="426"/>
      <c r="BD7" s="254" t="s">
        <v>6</v>
      </c>
      <c r="BE7" s="25" t="s">
        <v>95</v>
      </c>
      <c r="BF7" s="254" t="s">
        <v>94</v>
      </c>
      <c r="BG7" s="254" t="s">
        <v>97</v>
      </c>
      <c r="BH7" s="426"/>
      <c r="BI7" s="273" t="s">
        <v>109</v>
      </c>
      <c r="BJ7" s="294" t="s">
        <v>107</v>
      </c>
      <c r="BK7" s="274" t="s">
        <v>108</v>
      </c>
      <c r="BS7" s="417"/>
      <c r="BT7" s="427"/>
      <c r="BU7" s="203" t="s">
        <v>109</v>
      </c>
      <c r="BV7" s="426"/>
      <c r="BW7" s="203" t="s">
        <v>109</v>
      </c>
      <c r="BX7" s="25" t="s">
        <v>128</v>
      </c>
      <c r="BY7" s="275" t="s">
        <v>143</v>
      </c>
      <c r="CB7" s="417"/>
      <c r="CC7" s="426"/>
      <c r="CD7" s="254" t="s">
        <v>6</v>
      </c>
      <c r="CE7" s="25" t="s">
        <v>95</v>
      </c>
      <c r="CF7" s="254" t="s">
        <v>94</v>
      </c>
      <c r="CG7" s="254" t="s">
        <v>97</v>
      </c>
      <c r="CH7" s="426"/>
      <c r="CI7" s="273" t="s">
        <v>109</v>
      </c>
      <c r="CJ7" s="294" t="s">
        <v>107</v>
      </c>
      <c r="CK7" s="274" t="s">
        <v>108</v>
      </c>
      <c r="CS7" s="417"/>
      <c r="CT7" s="427"/>
      <c r="CU7" s="203" t="s">
        <v>109</v>
      </c>
      <c r="CV7" s="426"/>
      <c r="CW7" s="203" t="s">
        <v>109</v>
      </c>
      <c r="CX7" s="25" t="s">
        <v>128</v>
      </c>
      <c r="CY7" s="275" t="s">
        <v>143</v>
      </c>
      <c r="DB7" s="417"/>
      <c r="DC7" s="426"/>
      <c r="DD7" s="254" t="s">
        <v>6</v>
      </c>
      <c r="DE7" s="25" t="s">
        <v>95</v>
      </c>
      <c r="DF7" s="254" t="s">
        <v>94</v>
      </c>
      <c r="DG7" s="254" t="s">
        <v>97</v>
      </c>
      <c r="DH7" s="426"/>
      <c r="DI7" s="273" t="s">
        <v>109</v>
      </c>
      <c r="DJ7" s="294" t="s">
        <v>107</v>
      </c>
      <c r="DK7" s="274" t="s">
        <v>108</v>
      </c>
      <c r="DS7" s="417"/>
      <c r="DT7" s="427"/>
      <c r="DU7" s="203" t="s">
        <v>109</v>
      </c>
      <c r="DV7" s="426"/>
      <c r="DW7" s="203" t="s">
        <v>109</v>
      </c>
      <c r="DX7" s="25" t="s">
        <v>128</v>
      </c>
      <c r="DY7" s="275" t="s">
        <v>143</v>
      </c>
      <c r="EB7" s="417"/>
      <c r="EC7" s="426"/>
      <c r="ED7" s="254" t="s">
        <v>6</v>
      </c>
      <c r="EE7" s="25" t="s">
        <v>95</v>
      </c>
      <c r="EF7" s="254" t="s">
        <v>94</v>
      </c>
      <c r="EG7" s="254" t="s">
        <v>97</v>
      </c>
      <c r="EH7" s="426"/>
      <c r="EI7" s="273" t="s">
        <v>109</v>
      </c>
      <c r="EJ7" s="294" t="s">
        <v>107</v>
      </c>
      <c r="EK7" s="274" t="s">
        <v>108</v>
      </c>
      <c r="ES7" s="417"/>
      <c r="ET7" s="427"/>
      <c r="EU7" s="203" t="s">
        <v>109</v>
      </c>
      <c r="EV7" s="426"/>
      <c r="EW7" s="203" t="s">
        <v>109</v>
      </c>
      <c r="EX7" s="25" t="s">
        <v>128</v>
      </c>
      <c r="EY7" s="275" t="s">
        <v>143</v>
      </c>
      <c r="FB7" s="417"/>
      <c r="FC7" s="426"/>
      <c r="FD7" s="254" t="s">
        <v>6</v>
      </c>
      <c r="FE7" s="25" t="s">
        <v>95</v>
      </c>
      <c r="FF7" s="254" t="s">
        <v>94</v>
      </c>
      <c r="FG7" s="254" t="s">
        <v>97</v>
      </c>
      <c r="FH7" s="426"/>
      <c r="FI7" s="273" t="s">
        <v>109</v>
      </c>
      <c r="FJ7" s="294" t="s">
        <v>107</v>
      </c>
      <c r="FK7" s="274" t="s">
        <v>108</v>
      </c>
      <c r="FS7" s="417"/>
      <c r="FT7" s="427"/>
      <c r="FU7" s="203" t="s">
        <v>109</v>
      </c>
      <c r="FV7" s="426"/>
      <c r="FW7" s="203" t="s">
        <v>109</v>
      </c>
      <c r="FX7" s="25" t="s">
        <v>128</v>
      </c>
      <c r="FY7" s="275" t="s">
        <v>143</v>
      </c>
      <c r="GB7" s="417"/>
      <c r="GC7" s="426"/>
      <c r="GD7" s="254" t="s">
        <v>6</v>
      </c>
      <c r="GE7" s="25" t="s">
        <v>95</v>
      </c>
      <c r="GF7" s="254" t="s">
        <v>94</v>
      </c>
      <c r="GG7" s="254" t="s">
        <v>97</v>
      </c>
      <c r="GH7" s="426"/>
      <c r="GI7" s="273" t="s">
        <v>109</v>
      </c>
      <c r="GJ7" s="294" t="s">
        <v>107</v>
      </c>
      <c r="GK7" s="274" t="s">
        <v>108</v>
      </c>
      <c r="GS7" s="417"/>
      <c r="GT7" s="427"/>
      <c r="GU7" s="203" t="s">
        <v>109</v>
      </c>
      <c r="GV7" s="426"/>
      <c r="GW7" s="203" t="s">
        <v>109</v>
      </c>
      <c r="GX7" s="25" t="s">
        <v>128</v>
      </c>
      <c r="GY7" s="275" t="s">
        <v>143</v>
      </c>
      <c r="HB7" s="417"/>
      <c r="HC7" s="426"/>
      <c r="HD7" s="254" t="s">
        <v>6</v>
      </c>
      <c r="HE7" s="25" t="s">
        <v>95</v>
      </c>
      <c r="HF7" s="254" t="s">
        <v>94</v>
      </c>
      <c r="HG7" s="254" t="s">
        <v>97</v>
      </c>
      <c r="HH7" s="426"/>
      <c r="HI7" s="273" t="s">
        <v>109</v>
      </c>
      <c r="HJ7" s="294" t="s">
        <v>107</v>
      </c>
      <c r="HK7" s="274" t="s">
        <v>108</v>
      </c>
      <c r="HS7" s="417"/>
      <c r="HT7" s="427"/>
      <c r="HU7" s="203" t="s">
        <v>109</v>
      </c>
      <c r="HV7" s="426"/>
      <c r="HW7" s="203" t="s">
        <v>109</v>
      </c>
      <c r="HX7" s="25" t="s">
        <v>128</v>
      </c>
      <c r="HY7" s="275" t="s">
        <v>143</v>
      </c>
      <c r="IB7" s="417"/>
      <c r="IC7" s="426"/>
      <c r="ID7" s="254" t="s">
        <v>6</v>
      </c>
      <c r="IE7" s="25" t="s">
        <v>95</v>
      </c>
      <c r="IF7" s="254" t="s">
        <v>94</v>
      </c>
      <c r="IG7" s="254" t="s">
        <v>97</v>
      </c>
      <c r="IH7" s="426"/>
      <c r="II7" s="273" t="s">
        <v>109</v>
      </c>
      <c r="IJ7" s="294" t="s">
        <v>107</v>
      </c>
      <c r="IK7" s="274" t="s">
        <v>108</v>
      </c>
      <c r="IS7" s="417"/>
      <c r="IT7" s="427"/>
      <c r="IU7" s="203" t="s">
        <v>109</v>
      </c>
      <c r="IV7" s="426"/>
      <c r="IW7" s="203" t="s">
        <v>109</v>
      </c>
      <c r="IX7" s="25" t="s">
        <v>128</v>
      </c>
      <c r="IY7" s="275" t="s">
        <v>143</v>
      </c>
      <c r="JB7" s="417"/>
      <c r="JC7" s="426"/>
      <c r="JD7" s="254" t="s">
        <v>6</v>
      </c>
      <c r="JE7" s="25" t="s">
        <v>95</v>
      </c>
      <c r="JF7" s="254" t="s">
        <v>94</v>
      </c>
      <c r="JG7" s="254" t="s">
        <v>97</v>
      </c>
      <c r="JH7" s="426"/>
      <c r="JI7" s="273" t="s">
        <v>109</v>
      </c>
      <c r="JJ7" s="294" t="s">
        <v>107</v>
      </c>
      <c r="JK7" s="274" t="s">
        <v>108</v>
      </c>
      <c r="JS7" s="417"/>
      <c r="JT7" s="427"/>
      <c r="JU7" s="203" t="s">
        <v>109</v>
      </c>
      <c r="JV7" s="426"/>
      <c r="JW7" s="203" t="s">
        <v>109</v>
      </c>
      <c r="JX7" s="25" t="s">
        <v>128</v>
      </c>
      <c r="JY7" s="275" t="s">
        <v>143</v>
      </c>
    </row>
    <row r="8" spans="1:285" s="20" customFormat="1" ht="54" x14ac:dyDescent="0.25">
      <c r="B8" s="417"/>
      <c r="C8" s="254"/>
      <c r="D8" s="254"/>
      <c r="E8" s="254"/>
      <c r="F8" s="254"/>
      <c r="G8" s="25" t="s">
        <v>100</v>
      </c>
      <c r="H8" s="272" t="s">
        <v>99</v>
      </c>
      <c r="I8" s="294" t="s">
        <v>104</v>
      </c>
      <c r="J8" s="272"/>
      <c r="K8" s="21" t="s">
        <v>111</v>
      </c>
      <c r="S8" s="417"/>
      <c r="T8" s="254"/>
      <c r="U8" s="25"/>
      <c r="V8" s="25" t="s">
        <v>99</v>
      </c>
      <c r="W8" s="25" t="s">
        <v>135</v>
      </c>
      <c r="X8" s="25"/>
      <c r="Y8" s="157" t="s">
        <v>147</v>
      </c>
      <c r="AB8" s="417"/>
      <c r="AC8" s="254"/>
      <c r="AD8" s="254"/>
      <c r="AE8" s="254"/>
      <c r="AF8" s="254"/>
      <c r="AG8" s="25" t="s">
        <v>100</v>
      </c>
      <c r="AH8" s="272" t="s">
        <v>99</v>
      </c>
      <c r="AI8" s="294" t="s">
        <v>104</v>
      </c>
      <c r="AJ8" s="272"/>
      <c r="AK8" s="21" t="s">
        <v>111</v>
      </c>
      <c r="AS8" s="417"/>
      <c r="AT8" s="254"/>
      <c r="AU8" s="25"/>
      <c r="AV8" s="25" t="s">
        <v>99</v>
      </c>
      <c r="AW8" s="25" t="s">
        <v>135</v>
      </c>
      <c r="AX8" s="25"/>
      <c r="AY8" s="157" t="s">
        <v>147</v>
      </c>
      <c r="BB8" s="417"/>
      <c r="BC8" s="254"/>
      <c r="BD8" s="254"/>
      <c r="BE8" s="254"/>
      <c r="BF8" s="254"/>
      <c r="BG8" s="25" t="s">
        <v>100</v>
      </c>
      <c r="BH8" s="272" t="s">
        <v>99</v>
      </c>
      <c r="BI8" s="294" t="s">
        <v>104</v>
      </c>
      <c r="BJ8" s="272"/>
      <c r="BK8" s="21" t="s">
        <v>111</v>
      </c>
      <c r="BS8" s="417"/>
      <c r="BT8" s="254"/>
      <c r="BU8" s="25"/>
      <c r="BV8" s="25" t="s">
        <v>99</v>
      </c>
      <c r="BW8" s="25" t="s">
        <v>135</v>
      </c>
      <c r="BX8" s="25"/>
      <c r="BY8" s="157" t="s">
        <v>147</v>
      </c>
      <c r="CB8" s="417"/>
      <c r="CC8" s="254"/>
      <c r="CD8" s="254"/>
      <c r="CE8" s="254"/>
      <c r="CF8" s="254"/>
      <c r="CG8" s="25" t="s">
        <v>100</v>
      </c>
      <c r="CH8" s="272" t="s">
        <v>99</v>
      </c>
      <c r="CI8" s="294" t="s">
        <v>104</v>
      </c>
      <c r="CJ8" s="272"/>
      <c r="CK8" s="21" t="s">
        <v>111</v>
      </c>
      <c r="CS8" s="417"/>
      <c r="CT8" s="254"/>
      <c r="CU8" s="25"/>
      <c r="CV8" s="25" t="s">
        <v>99</v>
      </c>
      <c r="CW8" s="25" t="s">
        <v>135</v>
      </c>
      <c r="CX8" s="25"/>
      <c r="CY8" s="157" t="s">
        <v>147</v>
      </c>
      <c r="DB8" s="417"/>
      <c r="DC8" s="254"/>
      <c r="DD8" s="254"/>
      <c r="DE8" s="254"/>
      <c r="DF8" s="254"/>
      <c r="DG8" s="25" t="s">
        <v>100</v>
      </c>
      <c r="DH8" s="272" t="s">
        <v>99</v>
      </c>
      <c r="DI8" s="294" t="s">
        <v>104</v>
      </c>
      <c r="DJ8" s="272"/>
      <c r="DK8" s="21" t="s">
        <v>111</v>
      </c>
      <c r="DS8" s="417"/>
      <c r="DT8" s="254"/>
      <c r="DU8" s="25"/>
      <c r="DV8" s="25" t="s">
        <v>99</v>
      </c>
      <c r="DW8" s="25" t="s">
        <v>135</v>
      </c>
      <c r="DX8" s="25"/>
      <c r="DY8" s="157" t="s">
        <v>147</v>
      </c>
      <c r="EB8" s="417"/>
      <c r="EC8" s="254"/>
      <c r="ED8" s="254"/>
      <c r="EE8" s="254"/>
      <c r="EF8" s="254"/>
      <c r="EG8" s="25" t="s">
        <v>100</v>
      </c>
      <c r="EH8" s="272" t="s">
        <v>99</v>
      </c>
      <c r="EI8" s="294" t="s">
        <v>104</v>
      </c>
      <c r="EJ8" s="272"/>
      <c r="EK8" s="21" t="s">
        <v>111</v>
      </c>
      <c r="ES8" s="417"/>
      <c r="ET8" s="254"/>
      <c r="EU8" s="25"/>
      <c r="EV8" s="25" t="s">
        <v>99</v>
      </c>
      <c r="EW8" s="25" t="s">
        <v>135</v>
      </c>
      <c r="EX8" s="25"/>
      <c r="EY8" s="157" t="s">
        <v>147</v>
      </c>
      <c r="FB8" s="417"/>
      <c r="FC8" s="254"/>
      <c r="FD8" s="254"/>
      <c r="FE8" s="254"/>
      <c r="FF8" s="254"/>
      <c r="FG8" s="25" t="s">
        <v>100</v>
      </c>
      <c r="FH8" s="272" t="s">
        <v>99</v>
      </c>
      <c r="FI8" s="294" t="s">
        <v>104</v>
      </c>
      <c r="FJ8" s="272"/>
      <c r="FK8" s="21" t="s">
        <v>111</v>
      </c>
      <c r="FS8" s="417"/>
      <c r="FT8" s="254"/>
      <c r="FU8" s="25"/>
      <c r="FV8" s="25" t="s">
        <v>99</v>
      </c>
      <c r="FW8" s="25" t="s">
        <v>135</v>
      </c>
      <c r="FX8" s="25"/>
      <c r="FY8" s="157" t="s">
        <v>147</v>
      </c>
      <c r="GB8" s="417"/>
      <c r="GC8" s="254"/>
      <c r="GD8" s="254"/>
      <c r="GE8" s="254"/>
      <c r="GF8" s="254"/>
      <c r="GG8" s="25" t="s">
        <v>100</v>
      </c>
      <c r="GH8" s="272" t="s">
        <v>99</v>
      </c>
      <c r="GI8" s="294" t="s">
        <v>104</v>
      </c>
      <c r="GJ8" s="272"/>
      <c r="GK8" s="21" t="s">
        <v>111</v>
      </c>
      <c r="GS8" s="417"/>
      <c r="GT8" s="254"/>
      <c r="GU8" s="25"/>
      <c r="GV8" s="25" t="s">
        <v>99</v>
      </c>
      <c r="GW8" s="25" t="s">
        <v>135</v>
      </c>
      <c r="GX8" s="25"/>
      <c r="GY8" s="157" t="s">
        <v>147</v>
      </c>
      <c r="HB8" s="417"/>
      <c r="HC8" s="254"/>
      <c r="HD8" s="254"/>
      <c r="HE8" s="254"/>
      <c r="HF8" s="254"/>
      <c r="HG8" s="25" t="s">
        <v>100</v>
      </c>
      <c r="HH8" s="272" t="s">
        <v>99</v>
      </c>
      <c r="HI8" s="294" t="s">
        <v>104</v>
      </c>
      <c r="HJ8" s="272"/>
      <c r="HK8" s="21" t="s">
        <v>111</v>
      </c>
      <c r="HS8" s="417"/>
      <c r="HT8" s="254"/>
      <c r="HU8" s="25"/>
      <c r="HV8" s="25" t="s">
        <v>99</v>
      </c>
      <c r="HW8" s="25" t="s">
        <v>135</v>
      </c>
      <c r="HX8" s="25"/>
      <c r="HY8" s="157" t="s">
        <v>147</v>
      </c>
      <c r="IB8" s="417"/>
      <c r="IC8" s="254"/>
      <c r="ID8" s="254"/>
      <c r="IE8" s="254"/>
      <c r="IF8" s="254"/>
      <c r="IG8" s="25" t="s">
        <v>100</v>
      </c>
      <c r="IH8" s="272" t="s">
        <v>99</v>
      </c>
      <c r="II8" s="294" t="s">
        <v>104</v>
      </c>
      <c r="IJ8" s="272"/>
      <c r="IK8" s="21" t="s">
        <v>111</v>
      </c>
      <c r="IS8" s="417"/>
      <c r="IT8" s="254"/>
      <c r="IU8" s="25"/>
      <c r="IV8" s="25" t="s">
        <v>99</v>
      </c>
      <c r="IW8" s="25" t="s">
        <v>135</v>
      </c>
      <c r="IX8" s="25"/>
      <c r="IY8" s="157" t="s">
        <v>147</v>
      </c>
      <c r="JB8" s="417"/>
      <c r="JC8" s="254"/>
      <c r="JD8" s="254"/>
      <c r="JE8" s="254"/>
      <c r="JF8" s="254"/>
      <c r="JG8" s="25" t="s">
        <v>100</v>
      </c>
      <c r="JH8" s="272" t="s">
        <v>99</v>
      </c>
      <c r="JI8" s="294" t="s">
        <v>104</v>
      </c>
      <c r="JJ8" s="272"/>
      <c r="JK8" s="21" t="s">
        <v>111</v>
      </c>
      <c r="JS8" s="417"/>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22</v>
      </c>
      <c r="E11" s="87">
        <f>'EF peternakan'!$G$5</f>
        <v>0.47</v>
      </c>
      <c r="F11" s="293">
        <f>'EF peternakan'!$H$5</f>
        <v>300</v>
      </c>
      <c r="G11" s="91">
        <f>E11*(F11/10^3)*365</f>
        <v>51.464999999999996</v>
      </c>
      <c r="H11" s="89">
        <f>I$26/100</f>
        <v>0.02</v>
      </c>
      <c r="I11" s="83">
        <f>D11*G11*H11</f>
        <v>22.644600000000001</v>
      </c>
      <c r="J11" s="88">
        <v>0.02</v>
      </c>
      <c r="K11" s="85">
        <f t="shared" ref="K11:K21" si="0">I11*J11*(44/28)</f>
        <v>0.71168742857142864</v>
      </c>
      <c r="S11" s="6"/>
      <c r="T11" s="81" t="s">
        <v>64</v>
      </c>
      <c r="U11" s="86">
        <f t="shared" ref="U11:U21" si="1">I11</f>
        <v>22.644600000000001</v>
      </c>
      <c r="V11" s="87">
        <f>V26</f>
        <v>0</v>
      </c>
      <c r="W11" s="300">
        <f>U11*V11</f>
        <v>0</v>
      </c>
      <c r="X11" s="91">
        <f t="shared" ref="X11:X16" si="2">Z$26</f>
        <v>0.01</v>
      </c>
      <c r="Y11" s="98">
        <f t="shared" ref="Y11:Y16" si="3">W11*X11*(44/28)</f>
        <v>0</v>
      </c>
      <c r="AB11" s="6"/>
      <c r="AC11" s="81" t="s">
        <v>64</v>
      </c>
      <c r="AD11" s="86">
        <f>D39</f>
        <v>24</v>
      </c>
      <c r="AE11" s="87">
        <f>'EF peternakan'!$G$5</f>
        <v>0.47</v>
      </c>
      <c r="AF11" s="87">
        <f>'EF peternakan'!$H$5</f>
        <v>300</v>
      </c>
      <c r="AG11" s="91">
        <f t="shared" ref="AG11:AG21" si="4">AE11*(AF11/10^3)*365</f>
        <v>51.464999999999996</v>
      </c>
      <c r="AH11" s="89">
        <f t="shared" ref="AH11:AH21" si="5">AI$26/100</f>
        <v>0.02</v>
      </c>
      <c r="AI11" s="83">
        <f t="shared" ref="AI11:AI20" si="6">AD11*AG11*AH11</f>
        <v>24.703199999999999</v>
      </c>
      <c r="AJ11" s="88">
        <v>0.02</v>
      </c>
      <c r="AK11" s="85">
        <f t="shared" ref="AK11:AK21" si="7">AI11*AJ11*(44/28)</f>
        <v>0.7763862857142857</v>
      </c>
      <c r="AS11" s="6"/>
      <c r="AT11" s="81" t="s">
        <v>64</v>
      </c>
      <c r="AU11" s="86">
        <f t="shared" ref="AU11:AU15" si="8">AI11</f>
        <v>24.703199999999999</v>
      </c>
      <c r="AV11" s="87">
        <f t="shared" ref="AV11:AV16" si="9">AV26</f>
        <v>0</v>
      </c>
      <c r="AW11" s="300">
        <f>AU11*AV11</f>
        <v>0</v>
      </c>
      <c r="AX11" s="91">
        <f t="shared" ref="AX11:AX16" si="10">AZ$26</f>
        <v>0.01</v>
      </c>
      <c r="AY11" s="98">
        <f t="shared" ref="AY11:AY16" si="11">AW11*AX11*(44/28)</f>
        <v>0</v>
      </c>
      <c r="BB11" s="6"/>
      <c r="BC11" s="81" t="s">
        <v>64</v>
      </c>
      <c r="BD11" s="86">
        <f>E39</f>
        <v>25</v>
      </c>
      <c r="BE11" s="87">
        <f>'EF peternakan'!$G$5</f>
        <v>0.47</v>
      </c>
      <c r="BF11" s="87">
        <f>'EF peternakan'!$H$5</f>
        <v>300</v>
      </c>
      <c r="BG11" s="91">
        <f>BE11*(BF11/10^3)*365</f>
        <v>51.464999999999996</v>
      </c>
      <c r="BH11" s="89">
        <f t="shared" ref="BH11:BH16" si="12">BI$26/100</f>
        <v>0.02</v>
      </c>
      <c r="BI11" s="83">
        <f>BD11*BG11*BH11</f>
        <v>25.732500000000002</v>
      </c>
      <c r="BJ11" s="88">
        <v>0.02</v>
      </c>
      <c r="BK11" s="85">
        <f t="shared" ref="BK11:BK21" si="13">BI11*BJ11*(44/28)</f>
        <v>0.80873571428571434</v>
      </c>
      <c r="BS11" s="6"/>
      <c r="BT11" s="81" t="s">
        <v>64</v>
      </c>
      <c r="BU11" s="86">
        <f>BI11</f>
        <v>25.732500000000002</v>
      </c>
      <c r="BV11" s="87">
        <f t="shared" ref="BV11:BV16" si="14">BV26</f>
        <v>0</v>
      </c>
      <c r="BW11" s="300">
        <f>BU11*BV11</f>
        <v>0</v>
      </c>
      <c r="BX11" s="91">
        <f t="shared" ref="BX11:BX16" si="15">BZ$26</f>
        <v>0.01</v>
      </c>
      <c r="BY11" s="98">
        <f t="shared" ref="BY11:BY16" si="16">BW11*BX11*(44/28)</f>
        <v>0</v>
      </c>
      <c r="CB11" s="6"/>
      <c r="CC11" s="81" t="s">
        <v>64</v>
      </c>
      <c r="CD11" s="86">
        <f>F39</f>
        <v>26</v>
      </c>
      <c r="CE11" s="87">
        <f>'EF peternakan'!$G$5</f>
        <v>0.47</v>
      </c>
      <c r="CF11" s="87">
        <f>'EF peternakan'!$H$5</f>
        <v>300</v>
      </c>
      <c r="CG11" s="91">
        <f t="shared" ref="CG11:CG21" si="17">CE11*(CF11/10^3)*365</f>
        <v>51.464999999999996</v>
      </c>
      <c r="CH11" s="89">
        <f t="shared" ref="CH11:CH21" si="18">CI$26/100</f>
        <v>0.02</v>
      </c>
      <c r="CI11" s="83">
        <f t="shared" ref="CI11:CI15" si="19">CD11*CG11*CH11</f>
        <v>26.761799999999997</v>
      </c>
      <c r="CJ11" s="88">
        <v>0.02</v>
      </c>
      <c r="CK11" s="85">
        <f t="shared" ref="CK11:CK21" si="20">CI11*CJ11*(44/28)</f>
        <v>0.84108514285714275</v>
      </c>
      <c r="CS11" s="6"/>
      <c r="CT11" s="81" t="s">
        <v>64</v>
      </c>
      <c r="CU11" s="86">
        <f>CI11</f>
        <v>26.761799999999997</v>
      </c>
      <c r="CV11" s="87">
        <f t="shared" ref="CV11:CV16" si="21">CV26</f>
        <v>0</v>
      </c>
      <c r="CW11" s="300">
        <f>CU11*CV11</f>
        <v>0</v>
      </c>
      <c r="CX11" s="91">
        <f t="shared" ref="CX11:CX16" si="22">CZ$26</f>
        <v>0.01</v>
      </c>
      <c r="CY11" s="98">
        <f t="shared" ref="CY11:CY16" si="23">CW11*CX11*(44/28)</f>
        <v>0</v>
      </c>
      <c r="DB11" s="6"/>
      <c r="DC11" s="81" t="s">
        <v>64</v>
      </c>
      <c r="DD11" s="86">
        <f>G39</f>
        <v>28</v>
      </c>
      <c r="DE11" s="87">
        <f>'EF peternakan'!$G$5</f>
        <v>0.47</v>
      </c>
      <c r="DF11" s="87">
        <f>'EF peternakan'!$H$5</f>
        <v>300</v>
      </c>
      <c r="DG11" s="91">
        <f t="shared" ref="DG11:DG21" si="24">DE11*(DF11/10^3)*365</f>
        <v>51.464999999999996</v>
      </c>
      <c r="DH11" s="89">
        <f t="shared" ref="DH11:DH21" si="25">DI$26/100</f>
        <v>0.02</v>
      </c>
      <c r="DI11" s="83">
        <f t="shared" ref="DI11:DI21" si="26">DD11*DG11*DH11</f>
        <v>28.820399999999999</v>
      </c>
      <c r="DJ11" s="88">
        <v>0.02</v>
      </c>
      <c r="DK11" s="85">
        <f t="shared" ref="DK11:DK15" si="27">DI11*DJ11*(44/28)</f>
        <v>0.90578400000000003</v>
      </c>
      <c r="DS11" s="6"/>
      <c r="DT11" s="81" t="s">
        <v>64</v>
      </c>
      <c r="DU11" s="86">
        <f>DI11</f>
        <v>28.820399999999999</v>
      </c>
      <c r="DV11" s="87">
        <f t="shared" ref="DV11:DV16" si="28">DV26</f>
        <v>0</v>
      </c>
      <c r="DW11" s="300">
        <f>DU11*DV11</f>
        <v>0</v>
      </c>
      <c r="DX11" s="91">
        <f t="shared" ref="DX11:DX16" si="29">DZ$26</f>
        <v>0.01</v>
      </c>
      <c r="DY11" s="98">
        <f t="shared" ref="DY11:DY16" si="30">DW11*DX11*(44/28)</f>
        <v>0</v>
      </c>
      <c r="EB11" s="6"/>
      <c r="EC11" s="81" t="s">
        <v>64</v>
      </c>
      <c r="ED11" s="86">
        <f>H39</f>
        <v>29</v>
      </c>
      <c r="EE11" s="87">
        <f>'EF peternakan'!$G$5</f>
        <v>0.47</v>
      </c>
      <c r="EF11" s="87">
        <f>'EF peternakan'!$H$5</f>
        <v>300</v>
      </c>
      <c r="EG11" s="91">
        <f t="shared" ref="EG11:EG21" si="31">EE11*(EF11/10^3)*365</f>
        <v>51.464999999999996</v>
      </c>
      <c r="EH11" s="89">
        <f t="shared" ref="EH11:EH21" si="32">EI$26/100</f>
        <v>0.02</v>
      </c>
      <c r="EI11" s="83">
        <f t="shared" ref="EI11:EI21" si="33">ED11*EG11*EH11</f>
        <v>29.849699999999999</v>
      </c>
      <c r="EJ11" s="88">
        <v>0.02</v>
      </c>
      <c r="EK11" s="85">
        <f t="shared" ref="EK11:EK21" si="34">EI11*EJ11*(44/28)</f>
        <v>0.93813342857142856</v>
      </c>
      <c r="ES11" s="6"/>
      <c r="ET11" s="81" t="s">
        <v>64</v>
      </c>
      <c r="EU11" s="86">
        <f>EI11</f>
        <v>29.849699999999999</v>
      </c>
      <c r="EV11" s="87">
        <f t="shared" ref="EV11:EV16" si="35">EV26</f>
        <v>0</v>
      </c>
      <c r="EW11" s="300">
        <f>EU11*EV11</f>
        <v>0</v>
      </c>
      <c r="EX11" s="91">
        <f t="shared" ref="EX11:EX16" si="36">EZ$26</f>
        <v>0.01</v>
      </c>
      <c r="EY11" s="98">
        <f t="shared" ref="EY11:EY16" si="37">EW11*EX11*(44/28)</f>
        <v>0</v>
      </c>
      <c r="FB11" s="6"/>
      <c r="FC11" s="81" t="s">
        <v>64</v>
      </c>
      <c r="FD11" s="86">
        <f>I39</f>
        <v>31</v>
      </c>
      <c r="FE11" s="87">
        <f>'EF peternakan'!$G$5</f>
        <v>0.47</v>
      </c>
      <c r="FF11" s="87">
        <f>'EF peternakan'!$H$5</f>
        <v>300</v>
      </c>
      <c r="FG11" s="91">
        <f t="shared" ref="FG11:FG21" si="38">FE11*(FF11/10^3)*365</f>
        <v>51.464999999999996</v>
      </c>
      <c r="FH11" s="89">
        <f t="shared" ref="FH11:FH21" si="39">FI$26/100</f>
        <v>0.02</v>
      </c>
      <c r="FI11" s="83">
        <f t="shared" ref="FI11:FI16" si="40">FD11*FG11*FH11</f>
        <v>31.908300000000001</v>
      </c>
      <c r="FJ11" s="88">
        <v>0.02</v>
      </c>
      <c r="FK11" s="85">
        <f t="shared" ref="FK11:FK16" si="41">FI11*FJ11*(44/28)</f>
        <v>1.0028322857142857</v>
      </c>
      <c r="FS11" s="6"/>
      <c r="FT11" s="81" t="s">
        <v>64</v>
      </c>
      <c r="FU11" s="86">
        <f>FI11</f>
        <v>31.908300000000001</v>
      </c>
      <c r="FV11" s="87">
        <f t="shared" ref="FV11:FV16" si="42">FV26</f>
        <v>0</v>
      </c>
      <c r="FW11" s="300">
        <f>FU11*FV11</f>
        <v>0</v>
      </c>
      <c r="FX11" s="91">
        <f t="shared" ref="FX11:FX16" si="43">FZ$26</f>
        <v>0.01</v>
      </c>
      <c r="FY11" s="98">
        <f>FW11*FX11*(44/28)</f>
        <v>0</v>
      </c>
      <c r="GB11" s="6"/>
      <c r="GC11" s="81" t="s">
        <v>64</v>
      </c>
      <c r="GD11" s="86">
        <f>J39</f>
        <v>33</v>
      </c>
      <c r="GE11" s="87">
        <f>'EF peternakan'!$G$5</f>
        <v>0.47</v>
      </c>
      <c r="GF11" s="87">
        <f>'EF peternakan'!$H$5</f>
        <v>300</v>
      </c>
      <c r="GG11" s="91">
        <f t="shared" ref="GG11:GG21" si="44">GE11*(GF11/10^3)*365</f>
        <v>51.464999999999996</v>
      </c>
      <c r="GH11" s="89">
        <f t="shared" ref="GH11:GH21" si="45">GI$26/100</f>
        <v>0.02</v>
      </c>
      <c r="GI11" s="83">
        <f t="shared" ref="GI11:GI16" si="46">GD11*GG11*GH11</f>
        <v>33.966899999999995</v>
      </c>
      <c r="GJ11" s="88">
        <v>0.02</v>
      </c>
      <c r="GK11" s="85">
        <f t="shared" ref="GK11:GK16" si="47">GI11*GJ11*(44/28)</f>
        <v>1.0675311428571426</v>
      </c>
      <c r="GS11" s="6"/>
      <c r="GT11" s="81" t="s">
        <v>64</v>
      </c>
      <c r="GU11" s="86">
        <f t="shared" ref="GU11:GU21" si="48">GI11</f>
        <v>33.966899999999995</v>
      </c>
      <c r="GV11" s="87">
        <f t="shared" ref="GV11:GV16" si="49">GV26</f>
        <v>0</v>
      </c>
      <c r="GW11" s="300">
        <f>GU11*GV11</f>
        <v>0</v>
      </c>
      <c r="GX11" s="91">
        <f t="shared" ref="GX11:GX16" si="50">GZ$26</f>
        <v>0.01</v>
      </c>
      <c r="GY11" s="98">
        <f t="shared" ref="GY11:GY16" si="51">GW11*GX11*(44/28)</f>
        <v>0</v>
      </c>
      <c r="HB11" s="6"/>
      <c r="HC11" s="81" t="s">
        <v>64</v>
      </c>
      <c r="HD11" s="86">
        <f>K39</f>
        <v>35</v>
      </c>
      <c r="HE11" s="87">
        <f>'EF peternakan'!$G$5</f>
        <v>0.47</v>
      </c>
      <c r="HF11" s="87">
        <f>'EF peternakan'!$H$5</f>
        <v>300</v>
      </c>
      <c r="HG11" s="91">
        <f t="shared" ref="HG11:HG21" si="52">HE11*(HF11/10^3)*365</f>
        <v>51.464999999999996</v>
      </c>
      <c r="HH11" s="89">
        <f t="shared" ref="HH11:HH21" si="53">HI$26/100</f>
        <v>0.02</v>
      </c>
      <c r="HI11" s="83">
        <f t="shared" ref="HI11:HI21" si="54">HD11*HG11*HH11</f>
        <v>36.025500000000001</v>
      </c>
      <c r="HJ11" s="88">
        <v>0.02</v>
      </c>
      <c r="HK11" s="85">
        <f t="shared" ref="HK11:HK21" si="55">HI11*HJ11*(44/28)</f>
        <v>1.1322299999999998</v>
      </c>
      <c r="HS11" s="6"/>
      <c r="HT11" s="81" t="s">
        <v>64</v>
      </c>
      <c r="HU11" s="86">
        <f>HI11</f>
        <v>36.025500000000001</v>
      </c>
      <c r="HV11" s="87">
        <f t="shared" ref="HV11:HV16" si="56">HV26</f>
        <v>0</v>
      </c>
      <c r="HW11" s="300">
        <f>HU11*HV11</f>
        <v>0</v>
      </c>
      <c r="HX11" s="91">
        <f t="shared" ref="HX11:HX16" si="57">HZ$26</f>
        <v>0.01</v>
      </c>
      <c r="HY11" s="98">
        <f t="shared" ref="HY11:HY16" si="58">HW11*HX11*(44/28)</f>
        <v>0</v>
      </c>
      <c r="IB11" s="6"/>
      <c r="IC11" s="81" t="s">
        <v>64</v>
      </c>
      <c r="ID11" s="86">
        <f>L39</f>
        <v>36</v>
      </c>
      <c r="IE11" s="87">
        <f>'EF peternakan'!$G$5</f>
        <v>0.47</v>
      </c>
      <c r="IF11" s="87">
        <f>'EF peternakan'!$H$5</f>
        <v>300</v>
      </c>
      <c r="IG11" s="91">
        <f t="shared" ref="IG11:IG21" si="59">IE11*(IF11/10^3)*365</f>
        <v>51.464999999999996</v>
      </c>
      <c r="IH11" s="89">
        <f t="shared" ref="IH11:IH21" si="60">II$26/100</f>
        <v>0.02</v>
      </c>
      <c r="II11" s="83">
        <f t="shared" ref="II11:II21" si="61">ID11*IG11*IH11</f>
        <v>37.054799999999993</v>
      </c>
      <c r="IJ11" s="88">
        <v>0.02</v>
      </c>
      <c r="IK11" s="85">
        <f t="shared" ref="IK11:IK21" si="62">II11*IJ11*(44/28)</f>
        <v>1.1645794285714284</v>
      </c>
      <c r="IS11" s="6"/>
      <c r="IT11" s="81" t="s">
        <v>64</v>
      </c>
      <c r="IU11" s="86">
        <f t="shared" ref="IU11:IU21" si="63">II11</f>
        <v>37.054799999999993</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22546.526638414802</v>
      </c>
      <c r="E12" s="87">
        <f>'EF peternakan'!$G$6</f>
        <v>0.34</v>
      </c>
      <c r="F12" s="293">
        <f>'EF peternakan'!$H$6</f>
        <v>250</v>
      </c>
      <c r="G12" s="91">
        <f>E12*(F12/10^3)*365</f>
        <v>31.025000000000002</v>
      </c>
      <c r="H12" s="89">
        <f t="shared" ref="H12:H21" si="76">I$26/100</f>
        <v>0.02</v>
      </c>
      <c r="I12" s="83">
        <f>D12*G12*H12</f>
        <v>13990.119779136387</v>
      </c>
      <c r="J12" s="88">
        <v>0.02</v>
      </c>
      <c r="K12" s="85">
        <f t="shared" si="0"/>
        <v>439.68947877285785</v>
      </c>
      <c r="S12" s="6"/>
      <c r="T12" s="81" t="s">
        <v>71</v>
      </c>
      <c r="U12" s="86">
        <f t="shared" si="1"/>
        <v>13990.119779136387</v>
      </c>
      <c r="V12" s="87">
        <f t="shared" ref="V12:V16" si="77">V27</f>
        <v>0.3</v>
      </c>
      <c r="W12" s="300">
        <f t="shared" ref="W12:W16" si="78">U12*V12</f>
        <v>4197.0359337409154</v>
      </c>
      <c r="X12" s="91">
        <f t="shared" si="2"/>
        <v>0.01</v>
      </c>
      <c r="Y12" s="98">
        <f t="shared" si="3"/>
        <v>65.953421815928678</v>
      </c>
      <c r="AB12" s="6"/>
      <c r="AC12" s="81" t="s">
        <v>71</v>
      </c>
      <c r="AD12" s="86">
        <f t="shared" ref="AD12:AD20" si="79">D40</f>
        <v>24027.577266046399</v>
      </c>
      <c r="AE12" s="87">
        <f>'EF peternakan'!$G$6</f>
        <v>0.34</v>
      </c>
      <c r="AF12" s="87">
        <f>'EF peternakan'!$H$6</f>
        <v>250</v>
      </c>
      <c r="AG12" s="91">
        <f t="shared" si="4"/>
        <v>31.025000000000002</v>
      </c>
      <c r="AH12" s="89">
        <f t="shared" si="5"/>
        <v>0.02</v>
      </c>
      <c r="AI12" s="83">
        <f t="shared" si="6"/>
        <v>14909.111693581792</v>
      </c>
      <c r="AJ12" s="88">
        <v>0.02</v>
      </c>
      <c r="AK12" s="85">
        <f t="shared" si="7"/>
        <v>468.5720817982849</v>
      </c>
      <c r="AS12" s="6"/>
      <c r="AT12" s="81" t="s">
        <v>71</v>
      </c>
      <c r="AU12" s="86">
        <f t="shared" si="8"/>
        <v>14909.111693581792</v>
      </c>
      <c r="AV12" s="87">
        <f t="shared" si="9"/>
        <v>0.3</v>
      </c>
      <c r="AW12" s="300">
        <f t="shared" ref="AW12:AW16" si="80">AU12*AV12</f>
        <v>4472.733508074537</v>
      </c>
      <c r="AX12" s="91">
        <f t="shared" si="10"/>
        <v>0.01</v>
      </c>
      <c r="AY12" s="98">
        <f t="shared" si="11"/>
        <v>70.285812269742721</v>
      </c>
      <c r="BB12" s="6"/>
      <c r="BC12" s="81" t="s">
        <v>71</v>
      </c>
      <c r="BD12" s="86">
        <f t="shared" ref="BD12:BD16" si="81">E40</f>
        <v>25508.627893678</v>
      </c>
      <c r="BE12" s="87">
        <f>'EF peternakan'!$G$6</f>
        <v>0.34</v>
      </c>
      <c r="BF12" s="87">
        <f>'EF peternakan'!$H$6</f>
        <v>250</v>
      </c>
      <c r="BG12" s="91">
        <f t="shared" ref="BG12:BG16" si="82">BE12*(BF12/10^3)*365</f>
        <v>31.025000000000002</v>
      </c>
      <c r="BH12" s="89">
        <f t="shared" si="12"/>
        <v>0.02</v>
      </c>
      <c r="BI12" s="83">
        <f t="shared" ref="BI12" si="83">BD12*BG12*BH12</f>
        <v>15828.103608027201</v>
      </c>
      <c r="BJ12" s="88">
        <v>0.02</v>
      </c>
      <c r="BK12" s="85">
        <f t="shared" si="13"/>
        <v>497.454684823712</v>
      </c>
      <c r="BS12" s="6"/>
      <c r="BT12" s="81" t="s">
        <v>71</v>
      </c>
      <c r="BU12" s="86">
        <f t="shared" ref="BU12:BU15" si="84">BI12</f>
        <v>15828.103608027201</v>
      </c>
      <c r="BV12" s="87">
        <f t="shared" si="14"/>
        <v>0.3</v>
      </c>
      <c r="BW12" s="300">
        <f t="shared" ref="BW12:BW16" si="85">BU12*BV12</f>
        <v>4748.4310824081604</v>
      </c>
      <c r="BX12" s="91">
        <f t="shared" si="15"/>
        <v>0.01</v>
      </c>
      <c r="BY12" s="98">
        <f t="shared" si="16"/>
        <v>74.618202723556806</v>
      </c>
      <c r="CB12" s="6"/>
      <c r="CC12" s="81" t="s">
        <v>71</v>
      </c>
      <c r="CD12" s="86">
        <f t="shared" ref="CD12:CD16" si="86">F40</f>
        <v>26989.678521309499</v>
      </c>
      <c r="CE12" s="87">
        <f>'EF peternakan'!$G$6</f>
        <v>0.34</v>
      </c>
      <c r="CF12" s="87">
        <f>'EF peternakan'!$H$6</f>
        <v>250</v>
      </c>
      <c r="CG12" s="91">
        <f t="shared" si="17"/>
        <v>31.025000000000002</v>
      </c>
      <c r="CH12" s="89">
        <f t="shared" si="18"/>
        <v>0.02</v>
      </c>
      <c r="CI12" s="83">
        <f t="shared" si="19"/>
        <v>16747.095522472548</v>
      </c>
      <c r="CJ12" s="88">
        <v>0.02</v>
      </c>
      <c r="CK12" s="85">
        <f t="shared" si="20"/>
        <v>526.33728784913728</v>
      </c>
      <c r="CS12" s="6"/>
      <c r="CT12" s="81" t="s">
        <v>71</v>
      </c>
      <c r="CU12" s="86">
        <f>CI12</f>
        <v>16747.095522472548</v>
      </c>
      <c r="CV12" s="87">
        <f t="shared" si="21"/>
        <v>0.3</v>
      </c>
      <c r="CW12" s="300">
        <f t="shared" ref="CW12:CW16" si="87">CU12*CV12</f>
        <v>5024.1286567417637</v>
      </c>
      <c r="CX12" s="91">
        <f t="shared" si="22"/>
        <v>0.01</v>
      </c>
      <c r="CY12" s="98">
        <f t="shared" si="23"/>
        <v>78.950593177370578</v>
      </c>
      <c r="DB12" s="6"/>
      <c r="DC12" s="81" t="s">
        <v>71</v>
      </c>
      <c r="DD12" s="86">
        <f t="shared" ref="DD12:DD16" si="88">G40</f>
        <v>28470.729148941198</v>
      </c>
      <c r="DE12" s="87">
        <f>'EF peternakan'!$G$6</f>
        <v>0.34</v>
      </c>
      <c r="DF12" s="87">
        <f>'EF peternakan'!$H$6</f>
        <v>250</v>
      </c>
      <c r="DG12" s="91">
        <f t="shared" si="24"/>
        <v>31.025000000000002</v>
      </c>
      <c r="DH12" s="89">
        <f t="shared" si="25"/>
        <v>0.02</v>
      </c>
      <c r="DI12" s="83">
        <f t="shared" si="26"/>
        <v>17666.087436918016</v>
      </c>
      <c r="DJ12" s="88">
        <v>0.02</v>
      </c>
      <c r="DK12" s="85">
        <f t="shared" si="27"/>
        <v>555.2198908745662</v>
      </c>
      <c r="DS12" s="6"/>
      <c r="DT12" s="81" t="s">
        <v>71</v>
      </c>
      <c r="DU12" s="86">
        <f t="shared" ref="DU12:DU15" si="89">DI12</f>
        <v>17666.087436918016</v>
      </c>
      <c r="DV12" s="87">
        <f t="shared" si="28"/>
        <v>0.3</v>
      </c>
      <c r="DW12" s="300">
        <f t="shared" ref="DW12:DW16" si="90">DU12*DV12</f>
        <v>5299.8262310754044</v>
      </c>
      <c r="DX12" s="91">
        <f t="shared" si="29"/>
        <v>0.01</v>
      </c>
      <c r="DY12" s="98">
        <f t="shared" si="30"/>
        <v>83.282983631184919</v>
      </c>
      <c r="EB12" s="6"/>
      <c r="EC12" s="81" t="s">
        <v>71</v>
      </c>
      <c r="ED12" s="86">
        <f t="shared" ref="ED12:ED21" si="91">H40</f>
        <v>29951.779776572701</v>
      </c>
      <c r="EE12" s="87">
        <f>'EF peternakan'!$G$6</f>
        <v>0.34</v>
      </c>
      <c r="EF12" s="87">
        <f>'EF peternakan'!$H$6</f>
        <v>250</v>
      </c>
      <c r="EG12" s="91">
        <f t="shared" si="31"/>
        <v>31.025000000000002</v>
      </c>
      <c r="EH12" s="89">
        <f t="shared" si="32"/>
        <v>0.02</v>
      </c>
      <c r="EI12" s="83">
        <f t="shared" si="33"/>
        <v>18585.079351363362</v>
      </c>
      <c r="EJ12" s="88">
        <v>0.02</v>
      </c>
      <c r="EK12" s="85">
        <f t="shared" si="34"/>
        <v>584.10249389999137</v>
      </c>
      <c r="ES12" s="6"/>
      <c r="ET12" s="81" t="s">
        <v>71</v>
      </c>
      <c r="EU12" s="86">
        <f>EI12</f>
        <v>18585.079351363362</v>
      </c>
      <c r="EV12" s="87">
        <f t="shared" si="35"/>
        <v>0.3</v>
      </c>
      <c r="EW12" s="300">
        <f t="shared" ref="EW12:EW16" si="92">EU12*EV12</f>
        <v>5575.5238054090087</v>
      </c>
      <c r="EX12" s="91">
        <f t="shared" si="36"/>
        <v>0.01</v>
      </c>
      <c r="EY12" s="98">
        <f t="shared" si="37"/>
        <v>87.615374084998706</v>
      </c>
      <c r="FB12" s="6"/>
      <c r="FC12" s="81" t="s">
        <v>71</v>
      </c>
      <c r="FD12" s="86">
        <f t="shared" ref="FD12:FD21" si="93">I40</f>
        <v>31432.830404204298</v>
      </c>
      <c r="FE12" s="87">
        <f>'EF peternakan'!$G$6</f>
        <v>0.34</v>
      </c>
      <c r="FF12" s="87">
        <f>'EF peternakan'!$H$6</f>
        <v>250</v>
      </c>
      <c r="FG12" s="91">
        <f t="shared" si="38"/>
        <v>31.025000000000002</v>
      </c>
      <c r="FH12" s="89">
        <f t="shared" si="39"/>
        <v>0.02</v>
      </c>
      <c r="FI12" s="83">
        <f t="shared" si="40"/>
        <v>19504.071265808769</v>
      </c>
      <c r="FJ12" s="88">
        <v>0.02</v>
      </c>
      <c r="FK12" s="85">
        <f t="shared" si="41"/>
        <v>612.98509692541847</v>
      </c>
      <c r="FS12" s="6"/>
      <c r="FT12" s="81" t="s">
        <v>71</v>
      </c>
      <c r="FU12" s="86">
        <f t="shared" ref="FU12:FU21" si="94">FI12</f>
        <v>19504.071265808769</v>
      </c>
      <c r="FV12" s="87">
        <f t="shared" si="42"/>
        <v>0.3</v>
      </c>
      <c r="FW12" s="300">
        <f t="shared" ref="FW12:FW16" si="95">FU12*FV12</f>
        <v>5851.2213797426302</v>
      </c>
      <c r="FX12" s="91">
        <f t="shared" si="43"/>
        <v>0.01</v>
      </c>
      <c r="FY12" s="98">
        <f t="shared" ref="FY12:FY16" si="96">FW12*FX12*(44/28)</f>
        <v>91.947764538812763</v>
      </c>
      <c r="GB12" s="6"/>
      <c r="GC12" s="81" t="s">
        <v>71</v>
      </c>
      <c r="GD12" s="86">
        <f t="shared" ref="GD12:GD21" si="97">J40</f>
        <v>32913.881031835801</v>
      </c>
      <c r="GE12" s="87">
        <f>'EF peternakan'!$G$6</f>
        <v>0.34</v>
      </c>
      <c r="GF12" s="87">
        <f>'EF peternakan'!$H$6</f>
        <v>250</v>
      </c>
      <c r="GG12" s="91">
        <f t="shared" si="44"/>
        <v>31.025000000000002</v>
      </c>
      <c r="GH12" s="89">
        <f t="shared" si="45"/>
        <v>0.02</v>
      </c>
      <c r="GI12" s="83">
        <f t="shared" si="46"/>
        <v>20423.063180254117</v>
      </c>
      <c r="GJ12" s="88">
        <v>0.02</v>
      </c>
      <c r="GK12" s="85">
        <f t="shared" si="47"/>
        <v>641.86769995084376</v>
      </c>
      <c r="GS12" s="6"/>
      <c r="GT12" s="81" t="s">
        <v>71</v>
      </c>
      <c r="GU12" s="86">
        <f>GI12</f>
        <v>20423.063180254117</v>
      </c>
      <c r="GV12" s="87">
        <f t="shared" si="49"/>
        <v>0.3</v>
      </c>
      <c r="GW12" s="300">
        <f t="shared" ref="GW12:GW16" si="98">GU12*GV12</f>
        <v>6126.9189540762354</v>
      </c>
      <c r="GX12" s="91">
        <f t="shared" si="50"/>
        <v>0.01</v>
      </c>
      <c r="GY12" s="98">
        <f t="shared" si="51"/>
        <v>96.280154992626549</v>
      </c>
      <c r="HB12" s="6"/>
      <c r="HC12" s="81" t="s">
        <v>71</v>
      </c>
      <c r="HD12" s="86">
        <f t="shared" ref="HD12:HD21" si="99">K40</f>
        <v>34394.931659467402</v>
      </c>
      <c r="HE12" s="87">
        <f>'EF peternakan'!$G$6</f>
        <v>0.34</v>
      </c>
      <c r="HF12" s="87">
        <f>'EF peternakan'!$H$6</f>
        <v>250</v>
      </c>
      <c r="HG12" s="91">
        <f t="shared" si="52"/>
        <v>31.025000000000002</v>
      </c>
      <c r="HH12" s="89">
        <f t="shared" si="53"/>
        <v>0.02</v>
      </c>
      <c r="HI12" s="83">
        <f t="shared" si="54"/>
        <v>21342.055094699524</v>
      </c>
      <c r="HJ12" s="88">
        <v>0.02</v>
      </c>
      <c r="HK12" s="85">
        <f t="shared" si="55"/>
        <v>670.75030297627086</v>
      </c>
      <c r="HS12" s="6"/>
      <c r="HT12" s="81" t="s">
        <v>71</v>
      </c>
      <c r="HU12" s="86">
        <f t="shared" ref="HU12:HU21" si="100">HI12</f>
        <v>21342.055094699524</v>
      </c>
      <c r="HV12" s="87">
        <f t="shared" si="56"/>
        <v>0.3</v>
      </c>
      <c r="HW12" s="300">
        <f t="shared" ref="HW12:HW16" si="101">HU12*HV12</f>
        <v>6402.616528409857</v>
      </c>
      <c r="HX12" s="91">
        <f t="shared" si="57"/>
        <v>0.01</v>
      </c>
      <c r="HY12" s="98">
        <f t="shared" si="58"/>
        <v>100.61254544644061</v>
      </c>
      <c r="IB12" s="6"/>
      <c r="IC12" s="81" t="s">
        <v>71</v>
      </c>
      <c r="ID12" s="86">
        <f t="shared" ref="ID12:ID21" si="102">L40</f>
        <v>35875.982287099003</v>
      </c>
      <c r="IE12" s="87">
        <f>'EF peternakan'!$G$6</f>
        <v>0.34</v>
      </c>
      <c r="IF12" s="87">
        <f>'EF peternakan'!$H$6</f>
        <v>250</v>
      </c>
      <c r="IG12" s="91">
        <f t="shared" si="59"/>
        <v>31.025000000000002</v>
      </c>
      <c r="IH12" s="89">
        <f t="shared" si="60"/>
        <v>0.02</v>
      </c>
      <c r="II12" s="83">
        <f t="shared" si="61"/>
        <v>22261.047009144935</v>
      </c>
      <c r="IJ12" s="88">
        <v>0.02</v>
      </c>
      <c r="IK12" s="85">
        <f t="shared" si="62"/>
        <v>699.63290600169796</v>
      </c>
      <c r="IS12" s="6"/>
      <c r="IT12" s="81" t="s">
        <v>71</v>
      </c>
      <c r="IU12" s="86">
        <f t="shared" si="63"/>
        <v>22261.047009144935</v>
      </c>
      <c r="IV12" s="87">
        <f t="shared" si="64"/>
        <v>0.3</v>
      </c>
      <c r="IW12" s="300">
        <f t="shared" ref="IW12:IW16" si="103">IU12*IV12</f>
        <v>6678.3141027434804</v>
      </c>
      <c r="IX12" s="91">
        <f t="shared" si="65"/>
        <v>0.01</v>
      </c>
      <c r="IY12" s="98">
        <f t="shared" si="66"/>
        <v>104.94493590025469</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625</v>
      </c>
      <c r="E13" s="87">
        <f>'EF peternakan'!$G$17</f>
        <v>0.32</v>
      </c>
      <c r="F13" s="293">
        <f>'EF peternakan'!$H$17</f>
        <v>300</v>
      </c>
      <c r="G13" s="91">
        <f t="shared" ref="G13:G21" si="106">E13*(F13/10^3)*365</f>
        <v>35.04</v>
      </c>
      <c r="H13" s="89">
        <f t="shared" si="76"/>
        <v>0.02</v>
      </c>
      <c r="I13" s="83">
        <f t="shared" ref="I13:I20" si="107">D13*G13*H13</f>
        <v>438</v>
      </c>
      <c r="J13" s="88">
        <v>0.02</v>
      </c>
      <c r="K13" s="85">
        <f t="shared" si="0"/>
        <v>13.765714285714285</v>
      </c>
      <c r="S13" s="6"/>
      <c r="T13" s="81" t="s">
        <v>22</v>
      </c>
      <c r="U13" s="86">
        <f t="shared" si="1"/>
        <v>438</v>
      </c>
      <c r="V13" s="87">
        <f t="shared" si="77"/>
        <v>0</v>
      </c>
      <c r="W13" s="300">
        <f t="shared" si="78"/>
        <v>0</v>
      </c>
      <c r="X13" s="91">
        <f t="shared" si="2"/>
        <v>0.01</v>
      </c>
      <c r="Y13" s="98">
        <f t="shared" si="3"/>
        <v>0</v>
      </c>
      <c r="AB13" s="6"/>
      <c r="AC13" s="81" t="s">
        <v>22</v>
      </c>
      <c r="AD13" s="86">
        <f t="shared" si="79"/>
        <v>630</v>
      </c>
      <c r="AE13" s="87">
        <f>'EF peternakan'!$G$17</f>
        <v>0.32</v>
      </c>
      <c r="AF13" s="87">
        <f>'EF peternakan'!$H$17</f>
        <v>300</v>
      </c>
      <c r="AG13" s="91">
        <f t="shared" si="4"/>
        <v>35.04</v>
      </c>
      <c r="AH13" s="89">
        <f t="shared" si="5"/>
        <v>0.02</v>
      </c>
      <c r="AI13" s="83">
        <f t="shared" si="6"/>
        <v>441.50400000000002</v>
      </c>
      <c r="AJ13" s="88">
        <v>0.02</v>
      </c>
      <c r="AK13" s="85">
        <f t="shared" si="7"/>
        <v>13.87584</v>
      </c>
      <c r="AS13" s="6"/>
      <c r="AT13" s="81" t="s">
        <v>22</v>
      </c>
      <c r="AU13" s="86">
        <f t="shared" si="8"/>
        <v>441.50400000000002</v>
      </c>
      <c r="AV13" s="87">
        <f t="shared" si="9"/>
        <v>0</v>
      </c>
      <c r="AW13" s="300">
        <f t="shared" si="80"/>
        <v>0</v>
      </c>
      <c r="AX13" s="91">
        <f t="shared" si="10"/>
        <v>0.01</v>
      </c>
      <c r="AY13" s="98">
        <f t="shared" si="11"/>
        <v>0</v>
      </c>
      <c r="BB13" s="6"/>
      <c r="BC13" s="81" t="s">
        <v>22</v>
      </c>
      <c r="BD13" s="86">
        <f t="shared" si="81"/>
        <v>634</v>
      </c>
      <c r="BE13" s="87">
        <f>'EF peternakan'!$G$17</f>
        <v>0.32</v>
      </c>
      <c r="BF13" s="87">
        <f>'EF peternakan'!$H$17</f>
        <v>300</v>
      </c>
      <c r="BG13" s="91">
        <f t="shared" si="82"/>
        <v>35.04</v>
      </c>
      <c r="BH13" s="89">
        <f t="shared" si="12"/>
        <v>0.02</v>
      </c>
      <c r="BI13" s="83">
        <f t="shared" ref="BI13:BI21" si="108">BD13*BG13*BH13</f>
        <v>444.30720000000002</v>
      </c>
      <c r="BJ13" s="88">
        <v>0.02</v>
      </c>
      <c r="BK13" s="85">
        <f t="shared" si="13"/>
        <v>13.963940571428571</v>
      </c>
      <c r="BS13" s="6"/>
      <c r="BT13" s="81" t="s">
        <v>22</v>
      </c>
      <c r="BU13" s="86">
        <f t="shared" si="84"/>
        <v>444.30720000000002</v>
      </c>
      <c r="BV13" s="87">
        <f t="shared" si="14"/>
        <v>0</v>
      </c>
      <c r="BW13" s="300">
        <f t="shared" si="85"/>
        <v>0</v>
      </c>
      <c r="BX13" s="91">
        <f t="shared" si="15"/>
        <v>0.01</v>
      </c>
      <c r="BY13" s="98">
        <f t="shared" si="16"/>
        <v>0</v>
      </c>
      <c r="CB13" s="6"/>
      <c r="CC13" s="81" t="s">
        <v>22</v>
      </c>
      <c r="CD13" s="86">
        <f t="shared" si="86"/>
        <v>639</v>
      </c>
      <c r="CE13" s="87">
        <f>'EF peternakan'!$G$17</f>
        <v>0.32</v>
      </c>
      <c r="CF13" s="87">
        <f>'EF peternakan'!$H$17</f>
        <v>300</v>
      </c>
      <c r="CG13" s="91">
        <f t="shared" si="17"/>
        <v>35.04</v>
      </c>
      <c r="CH13" s="89">
        <f t="shared" si="18"/>
        <v>0.02</v>
      </c>
      <c r="CI13" s="83">
        <f t="shared" si="19"/>
        <v>447.81119999999999</v>
      </c>
      <c r="CJ13" s="88">
        <v>0.02</v>
      </c>
      <c r="CK13" s="85">
        <f t="shared" si="20"/>
        <v>14.074066285714286</v>
      </c>
      <c r="CS13" s="6"/>
      <c r="CT13" s="81" t="s">
        <v>22</v>
      </c>
      <c r="CU13" s="86">
        <f t="shared" ref="CU13:CU15" si="109">CI13</f>
        <v>447.81119999999999</v>
      </c>
      <c r="CV13" s="87">
        <f t="shared" si="21"/>
        <v>0</v>
      </c>
      <c r="CW13" s="300">
        <f t="shared" si="87"/>
        <v>0</v>
      </c>
      <c r="CX13" s="91">
        <f t="shared" si="22"/>
        <v>0.01</v>
      </c>
      <c r="CY13" s="98">
        <f t="shared" si="23"/>
        <v>0</v>
      </c>
      <c r="DB13" s="6"/>
      <c r="DC13" s="81" t="s">
        <v>22</v>
      </c>
      <c r="DD13" s="86">
        <f t="shared" si="88"/>
        <v>644</v>
      </c>
      <c r="DE13" s="87">
        <f>'EF peternakan'!$G$17</f>
        <v>0.32</v>
      </c>
      <c r="DF13" s="87">
        <f>'EF peternakan'!$H$17</f>
        <v>300</v>
      </c>
      <c r="DG13" s="91">
        <f t="shared" si="24"/>
        <v>35.04</v>
      </c>
      <c r="DH13" s="89">
        <f t="shared" si="25"/>
        <v>0.02</v>
      </c>
      <c r="DI13" s="83">
        <f t="shared" si="26"/>
        <v>451.3152</v>
      </c>
      <c r="DJ13" s="88">
        <v>0.02</v>
      </c>
      <c r="DK13" s="85">
        <f t="shared" si="27"/>
        <v>14.184191999999999</v>
      </c>
      <c r="DS13" s="6"/>
      <c r="DT13" s="81" t="s">
        <v>22</v>
      </c>
      <c r="DU13" s="86">
        <f t="shared" si="89"/>
        <v>451.3152</v>
      </c>
      <c r="DV13" s="87">
        <f t="shared" si="28"/>
        <v>0</v>
      </c>
      <c r="DW13" s="300">
        <f t="shared" si="90"/>
        <v>0</v>
      </c>
      <c r="DX13" s="91">
        <f t="shared" si="29"/>
        <v>0.01</v>
      </c>
      <c r="DY13" s="98">
        <f t="shared" si="30"/>
        <v>0</v>
      </c>
      <c r="EB13" s="6"/>
      <c r="EC13" s="81" t="s">
        <v>22</v>
      </c>
      <c r="ED13" s="86">
        <f t="shared" si="91"/>
        <v>650</v>
      </c>
      <c r="EE13" s="87">
        <f>'EF peternakan'!$G$17</f>
        <v>0.32</v>
      </c>
      <c r="EF13" s="87">
        <f>'EF peternakan'!$H$17</f>
        <v>300</v>
      </c>
      <c r="EG13" s="91">
        <f t="shared" si="31"/>
        <v>35.04</v>
      </c>
      <c r="EH13" s="89">
        <f t="shared" si="32"/>
        <v>0.02</v>
      </c>
      <c r="EI13" s="83">
        <f t="shared" si="33"/>
        <v>455.52</v>
      </c>
      <c r="EJ13" s="88">
        <v>0.02</v>
      </c>
      <c r="EK13" s="85">
        <f t="shared" si="34"/>
        <v>14.316342857142857</v>
      </c>
      <c r="ES13" s="6"/>
      <c r="ET13" s="81" t="s">
        <v>22</v>
      </c>
      <c r="EU13" s="86">
        <f>EI13</f>
        <v>455.52</v>
      </c>
      <c r="EV13" s="87">
        <f t="shared" si="35"/>
        <v>0</v>
      </c>
      <c r="EW13" s="300">
        <f t="shared" si="92"/>
        <v>0</v>
      </c>
      <c r="EX13" s="91">
        <f t="shared" si="36"/>
        <v>0.01</v>
      </c>
      <c r="EY13" s="98">
        <f t="shared" si="37"/>
        <v>0</v>
      </c>
      <c r="FB13" s="6"/>
      <c r="FC13" s="81" t="s">
        <v>22</v>
      </c>
      <c r="FD13" s="86">
        <f t="shared" si="93"/>
        <v>655</v>
      </c>
      <c r="FE13" s="87">
        <f>'EF peternakan'!$G$17</f>
        <v>0.32</v>
      </c>
      <c r="FF13" s="87">
        <f>'EF peternakan'!$H$17</f>
        <v>300</v>
      </c>
      <c r="FG13" s="91">
        <f t="shared" si="38"/>
        <v>35.04</v>
      </c>
      <c r="FH13" s="89">
        <f t="shared" si="39"/>
        <v>0.02</v>
      </c>
      <c r="FI13" s="83">
        <f t="shared" si="40"/>
        <v>459.024</v>
      </c>
      <c r="FJ13" s="88">
        <v>0.02</v>
      </c>
      <c r="FK13" s="85">
        <f t="shared" si="41"/>
        <v>14.426468571428574</v>
      </c>
      <c r="FS13" s="6"/>
      <c r="FT13" s="81" t="s">
        <v>22</v>
      </c>
      <c r="FU13" s="86">
        <f t="shared" si="94"/>
        <v>459.024</v>
      </c>
      <c r="FV13" s="87">
        <f t="shared" si="42"/>
        <v>0</v>
      </c>
      <c r="FW13" s="300">
        <f t="shared" si="95"/>
        <v>0</v>
      </c>
      <c r="FX13" s="91">
        <f t="shared" si="43"/>
        <v>0.01</v>
      </c>
      <c r="FY13" s="98">
        <f t="shared" si="96"/>
        <v>0</v>
      </c>
      <c r="GB13" s="6"/>
      <c r="GC13" s="81" t="s">
        <v>22</v>
      </c>
      <c r="GD13" s="86">
        <f t="shared" si="97"/>
        <v>659</v>
      </c>
      <c r="GE13" s="87">
        <f>'EF peternakan'!$G$17</f>
        <v>0.32</v>
      </c>
      <c r="GF13" s="87">
        <f>'EF peternakan'!$H$17</f>
        <v>300</v>
      </c>
      <c r="GG13" s="91">
        <f t="shared" si="44"/>
        <v>35.04</v>
      </c>
      <c r="GH13" s="89">
        <f t="shared" si="45"/>
        <v>0.02</v>
      </c>
      <c r="GI13" s="83">
        <f t="shared" si="46"/>
        <v>461.8272</v>
      </c>
      <c r="GJ13" s="88">
        <v>0.02</v>
      </c>
      <c r="GK13" s="85">
        <f t="shared" si="47"/>
        <v>14.514569142857143</v>
      </c>
      <c r="GS13" s="6"/>
      <c r="GT13" s="81" t="s">
        <v>22</v>
      </c>
      <c r="GU13" s="86">
        <f t="shared" si="48"/>
        <v>461.8272</v>
      </c>
      <c r="GV13" s="87">
        <f t="shared" si="49"/>
        <v>0</v>
      </c>
      <c r="GW13" s="300">
        <f t="shared" si="98"/>
        <v>0</v>
      </c>
      <c r="GX13" s="91">
        <f t="shared" si="50"/>
        <v>0.01</v>
      </c>
      <c r="GY13" s="98">
        <f t="shared" si="51"/>
        <v>0</v>
      </c>
      <c r="HB13" s="6"/>
      <c r="HC13" s="81" t="s">
        <v>22</v>
      </c>
      <c r="HD13" s="86">
        <f t="shared" si="99"/>
        <v>664</v>
      </c>
      <c r="HE13" s="87">
        <f>'EF peternakan'!$G$17</f>
        <v>0.32</v>
      </c>
      <c r="HF13" s="87">
        <f>'EF peternakan'!$H$17</f>
        <v>300</v>
      </c>
      <c r="HG13" s="91">
        <f t="shared" si="52"/>
        <v>35.04</v>
      </c>
      <c r="HH13" s="89">
        <f t="shared" si="53"/>
        <v>0.02</v>
      </c>
      <c r="HI13" s="83">
        <f t="shared" si="54"/>
        <v>465.33119999999997</v>
      </c>
      <c r="HJ13" s="88">
        <v>0.02</v>
      </c>
      <c r="HK13" s="85">
        <f t="shared" si="55"/>
        <v>14.624694857142856</v>
      </c>
      <c r="HS13" s="6"/>
      <c r="HT13" s="81" t="s">
        <v>22</v>
      </c>
      <c r="HU13" s="86">
        <f t="shared" si="100"/>
        <v>465.33119999999997</v>
      </c>
      <c r="HV13" s="87">
        <f t="shared" si="56"/>
        <v>0</v>
      </c>
      <c r="HW13" s="300">
        <f t="shared" si="101"/>
        <v>0</v>
      </c>
      <c r="HX13" s="91">
        <f t="shared" si="57"/>
        <v>0.01</v>
      </c>
      <c r="HY13" s="98">
        <f t="shared" si="58"/>
        <v>0</v>
      </c>
      <c r="IB13" s="6"/>
      <c r="IC13" s="81" t="s">
        <v>22</v>
      </c>
      <c r="ID13" s="86">
        <f t="shared" si="102"/>
        <v>669</v>
      </c>
      <c r="IE13" s="87">
        <f>'EF peternakan'!$G$17</f>
        <v>0.32</v>
      </c>
      <c r="IF13" s="87">
        <f>'EF peternakan'!$H$17</f>
        <v>300</v>
      </c>
      <c r="IG13" s="91">
        <f t="shared" si="59"/>
        <v>35.04</v>
      </c>
      <c r="IH13" s="89">
        <f t="shared" si="60"/>
        <v>0.02</v>
      </c>
      <c r="II13" s="83">
        <f t="shared" si="61"/>
        <v>468.83519999999999</v>
      </c>
      <c r="IJ13" s="88">
        <v>0.02</v>
      </c>
      <c r="IK13" s="85">
        <f t="shared" si="62"/>
        <v>14.734820571428571</v>
      </c>
      <c r="IS13" s="6"/>
      <c r="IT13" s="81" t="s">
        <v>22</v>
      </c>
      <c r="IU13" s="86">
        <f t="shared" si="63"/>
        <v>468.83519999999999</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4737</v>
      </c>
      <c r="E15" s="87">
        <f>'EF peternakan'!$G$15</f>
        <v>1.37</v>
      </c>
      <c r="F15" s="293">
        <f>'EF peternakan'!$H$15</f>
        <v>40</v>
      </c>
      <c r="G15" s="91">
        <f t="shared" si="106"/>
        <v>20.002000000000002</v>
      </c>
      <c r="H15" s="89">
        <f t="shared" si="76"/>
        <v>0.02</v>
      </c>
      <c r="I15" s="83">
        <f t="shared" si="107"/>
        <v>1894.9894800000004</v>
      </c>
      <c r="J15" s="88">
        <v>0.02</v>
      </c>
      <c r="K15" s="85">
        <f t="shared" si="0"/>
        <v>59.556812228571445</v>
      </c>
      <c r="S15" s="6"/>
      <c r="T15" s="291" t="s">
        <v>23</v>
      </c>
      <c r="U15" s="86">
        <f t="shared" si="1"/>
        <v>1894.9894800000004</v>
      </c>
      <c r="V15" s="87">
        <f t="shared" si="77"/>
        <v>0</v>
      </c>
      <c r="W15" s="300">
        <f t="shared" si="78"/>
        <v>0</v>
      </c>
      <c r="X15" s="91">
        <f t="shared" si="2"/>
        <v>0.01</v>
      </c>
      <c r="Y15" s="98">
        <f t="shared" si="3"/>
        <v>0</v>
      </c>
      <c r="AB15" s="6"/>
      <c r="AC15" s="291" t="s">
        <v>23</v>
      </c>
      <c r="AD15" s="86">
        <f t="shared" si="79"/>
        <v>4711</v>
      </c>
      <c r="AE15" s="87">
        <f>'EF peternakan'!$G$15</f>
        <v>1.37</v>
      </c>
      <c r="AF15" s="87">
        <f>'EF peternakan'!$H$15</f>
        <v>40</v>
      </c>
      <c r="AG15" s="91">
        <f t="shared" si="4"/>
        <v>20.002000000000002</v>
      </c>
      <c r="AH15" s="89">
        <f t="shared" si="5"/>
        <v>0.02</v>
      </c>
      <c r="AI15" s="83">
        <f t="shared" si="6"/>
        <v>1884.5884400000002</v>
      </c>
      <c r="AJ15" s="88">
        <v>0.02</v>
      </c>
      <c r="AK15" s="85">
        <f t="shared" si="7"/>
        <v>59.229922400000007</v>
      </c>
      <c r="AS15" s="6"/>
      <c r="AT15" s="291" t="s">
        <v>23</v>
      </c>
      <c r="AU15" s="86">
        <f t="shared" si="8"/>
        <v>1884.5884400000002</v>
      </c>
      <c r="AV15" s="87">
        <f t="shared" si="9"/>
        <v>0</v>
      </c>
      <c r="AW15" s="300">
        <f t="shared" si="80"/>
        <v>0</v>
      </c>
      <c r="AX15" s="91">
        <f t="shared" si="10"/>
        <v>0.01</v>
      </c>
      <c r="AY15" s="98">
        <f t="shared" si="11"/>
        <v>0</v>
      </c>
      <c r="BB15" s="6"/>
      <c r="BC15" s="291" t="s">
        <v>23</v>
      </c>
      <c r="BD15" s="86">
        <f t="shared" si="81"/>
        <v>4685</v>
      </c>
      <c r="BE15" s="87">
        <f>'EF peternakan'!$G$15</f>
        <v>1.37</v>
      </c>
      <c r="BF15" s="87">
        <f>'EF peternakan'!$H$15</f>
        <v>40</v>
      </c>
      <c r="BG15" s="91">
        <f t="shared" si="82"/>
        <v>20.002000000000002</v>
      </c>
      <c r="BH15" s="89">
        <f t="shared" si="12"/>
        <v>0.02</v>
      </c>
      <c r="BI15" s="83">
        <f t="shared" si="108"/>
        <v>1874.1874000000003</v>
      </c>
      <c r="BJ15" s="88">
        <v>0.02</v>
      </c>
      <c r="BK15" s="85">
        <f t="shared" si="13"/>
        <v>58.903032571428582</v>
      </c>
      <c r="BS15" s="6"/>
      <c r="BT15" s="291" t="s">
        <v>23</v>
      </c>
      <c r="BU15" s="86">
        <f t="shared" si="84"/>
        <v>1874.1874000000003</v>
      </c>
      <c r="BV15" s="87">
        <f t="shared" si="14"/>
        <v>0</v>
      </c>
      <c r="BW15" s="300">
        <f t="shared" si="85"/>
        <v>0</v>
      </c>
      <c r="BX15" s="91">
        <f t="shared" si="15"/>
        <v>0.01</v>
      </c>
      <c r="BY15" s="98">
        <f t="shared" si="16"/>
        <v>0</v>
      </c>
      <c r="CB15" s="6"/>
      <c r="CC15" s="291" t="s">
        <v>23</v>
      </c>
      <c r="CD15" s="86">
        <f t="shared" si="86"/>
        <v>4658</v>
      </c>
      <c r="CE15" s="87">
        <f>'EF peternakan'!$G$15</f>
        <v>1.37</v>
      </c>
      <c r="CF15" s="87">
        <f>'EF peternakan'!$H$15</f>
        <v>40</v>
      </c>
      <c r="CG15" s="91">
        <f t="shared" si="17"/>
        <v>20.002000000000002</v>
      </c>
      <c r="CH15" s="89">
        <f t="shared" si="18"/>
        <v>0.02</v>
      </c>
      <c r="CI15" s="83">
        <f t="shared" si="19"/>
        <v>1863.3863200000001</v>
      </c>
      <c r="CJ15" s="88">
        <v>0.02</v>
      </c>
      <c r="CK15" s="85">
        <f t="shared" si="20"/>
        <v>58.563570057142854</v>
      </c>
      <c r="CS15" s="6"/>
      <c r="CT15" s="291" t="s">
        <v>23</v>
      </c>
      <c r="CU15" s="86">
        <f t="shared" si="109"/>
        <v>1863.3863200000001</v>
      </c>
      <c r="CV15" s="87">
        <f t="shared" si="21"/>
        <v>0</v>
      </c>
      <c r="CW15" s="300">
        <f t="shared" si="87"/>
        <v>0</v>
      </c>
      <c r="CX15" s="91">
        <f t="shared" si="22"/>
        <v>0.01</v>
      </c>
      <c r="CY15" s="98">
        <f t="shared" si="23"/>
        <v>0</v>
      </c>
      <c r="DB15" s="6"/>
      <c r="DC15" s="291" t="s">
        <v>23</v>
      </c>
      <c r="DD15" s="86">
        <f t="shared" si="88"/>
        <v>4631</v>
      </c>
      <c r="DE15" s="87">
        <f>'EF peternakan'!$G$15</f>
        <v>1.37</v>
      </c>
      <c r="DF15" s="87">
        <f>'EF peternakan'!$H$15</f>
        <v>40</v>
      </c>
      <c r="DG15" s="91">
        <f t="shared" si="24"/>
        <v>20.002000000000002</v>
      </c>
      <c r="DH15" s="89">
        <f t="shared" si="25"/>
        <v>0.02</v>
      </c>
      <c r="DI15" s="83">
        <f t="shared" si="26"/>
        <v>1852.5852400000003</v>
      </c>
      <c r="DJ15" s="88">
        <v>0.02</v>
      </c>
      <c r="DK15" s="85">
        <f t="shared" si="27"/>
        <v>58.224107542857155</v>
      </c>
      <c r="DS15" s="6"/>
      <c r="DT15" s="291" t="s">
        <v>23</v>
      </c>
      <c r="DU15" s="86">
        <f t="shared" si="89"/>
        <v>1852.5852400000003</v>
      </c>
      <c r="DV15" s="87">
        <f t="shared" si="28"/>
        <v>0</v>
      </c>
      <c r="DW15" s="300">
        <f t="shared" si="90"/>
        <v>0</v>
      </c>
      <c r="DX15" s="91">
        <f t="shared" si="29"/>
        <v>0.01</v>
      </c>
      <c r="DY15" s="98">
        <f t="shared" si="30"/>
        <v>0</v>
      </c>
      <c r="EB15" s="6"/>
      <c r="EC15" s="291" t="s">
        <v>23</v>
      </c>
      <c r="ED15" s="86">
        <f t="shared" si="91"/>
        <v>4602</v>
      </c>
      <c r="EE15" s="87">
        <f>'EF peternakan'!$G$15</f>
        <v>1.37</v>
      </c>
      <c r="EF15" s="87">
        <f>'EF peternakan'!$H$15</f>
        <v>40</v>
      </c>
      <c r="EG15" s="91">
        <f t="shared" si="31"/>
        <v>20.002000000000002</v>
      </c>
      <c r="EH15" s="89">
        <f t="shared" si="32"/>
        <v>0.02</v>
      </c>
      <c r="EI15" s="83">
        <f t="shared" si="33"/>
        <v>1840.9840800000002</v>
      </c>
      <c r="EJ15" s="88">
        <v>0.02</v>
      </c>
      <c r="EK15" s="85">
        <f t="shared" si="34"/>
        <v>57.859499657142862</v>
      </c>
      <c r="ES15" s="6"/>
      <c r="ET15" s="291" t="s">
        <v>23</v>
      </c>
      <c r="EU15" s="86">
        <f t="shared" si="110"/>
        <v>1840.9840800000002</v>
      </c>
      <c r="EV15" s="87">
        <f t="shared" si="35"/>
        <v>0</v>
      </c>
      <c r="EW15" s="300">
        <f t="shared" si="92"/>
        <v>0</v>
      </c>
      <c r="EX15" s="91">
        <f t="shared" si="36"/>
        <v>0.01</v>
      </c>
      <c r="EY15" s="98">
        <f t="shared" si="37"/>
        <v>0</v>
      </c>
      <c r="FB15" s="6"/>
      <c r="FC15" s="291" t="s">
        <v>23</v>
      </c>
      <c r="FD15" s="86">
        <f t="shared" si="93"/>
        <v>4574</v>
      </c>
      <c r="FE15" s="87">
        <f>'EF peternakan'!$G$15</f>
        <v>1.37</v>
      </c>
      <c r="FF15" s="87">
        <f>'EF peternakan'!$H$15</f>
        <v>40</v>
      </c>
      <c r="FG15" s="91">
        <f t="shared" si="38"/>
        <v>20.002000000000002</v>
      </c>
      <c r="FH15" s="89">
        <f t="shared" si="39"/>
        <v>0.02</v>
      </c>
      <c r="FI15" s="83">
        <f t="shared" si="40"/>
        <v>1829.7829600000005</v>
      </c>
      <c r="FJ15" s="88">
        <v>0.02</v>
      </c>
      <c r="FK15" s="85">
        <f t="shared" si="41"/>
        <v>57.507464457142866</v>
      </c>
      <c r="FS15" s="6"/>
      <c r="FT15" s="291" t="s">
        <v>23</v>
      </c>
      <c r="FU15" s="86">
        <f t="shared" si="94"/>
        <v>1829.7829600000005</v>
      </c>
      <c r="FV15" s="87">
        <f t="shared" si="42"/>
        <v>0</v>
      </c>
      <c r="FW15" s="300">
        <f t="shared" si="95"/>
        <v>0</v>
      </c>
      <c r="FX15" s="91">
        <f t="shared" si="43"/>
        <v>0.01</v>
      </c>
      <c r="FY15" s="98">
        <f t="shared" si="96"/>
        <v>0</v>
      </c>
      <c r="GB15" s="6"/>
      <c r="GC15" s="291" t="s">
        <v>23</v>
      </c>
      <c r="GD15" s="86">
        <f t="shared" si="97"/>
        <v>4544</v>
      </c>
      <c r="GE15" s="87">
        <f>'EF peternakan'!$G$15</f>
        <v>1.37</v>
      </c>
      <c r="GF15" s="87">
        <f>'EF peternakan'!$H$15</f>
        <v>40</v>
      </c>
      <c r="GG15" s="91">
        <f t="shared" si="44"/>
        <v>20.002000000000002</v>
      </c>
      <c r="GH15" s="89">
        <f t="shared" si="45"/>
        <v>0.02</v>
      </c>
      <c r="GI15" s="83">
        <f t="shared" si="46"/>
        <v>1817.7817600000003</v>
      </c>
      <c r="GJ15" s="88">
        <v>0.02</v>
      </c>
      <c r="GK15" s="85">
        <f t="shared" si="47"/>
        <v>57.130283885714299</v>
      </c>
      <c r="GS15" s="6"/>
      <c r="GT15" s="291" t="s">
        <v>23</v>
      </c>
      <c r="GU15" s="86">
        <f t="shared" si="48"/>
        <v>1817.7817600000003</v>
      </c>
      <c r="GV15" s="87">
        <f t="shared" si="49"/>
        <v>0</v>
      </c>
      <c r="GW15" s="300">
        <f t="shared" si="98"/>
        <v>0</v>
      </c>
      <c r="GX15" s="91">
        <f t="shared" si="50"/>
        <v>0.01</v>
      </c>
      <c r="GY15" s="98">
        <f t="shared" si="51"/>
        <v>0</v>
      </c>
      <c r="HB15" s="6"/>
      <c r="HC15" s="291" t="s">
        <v>23</v>
      </c>
      <c r="HD15" s="86">
        <f t="shared" si="99"/>
        <v>4514</v>
      </c>
      <c r="HE15" s="87">
        <f>'EF peternakan'!$G$15</f>
        <v>1.37</v>
      </c>
      <c r="HF15" s="87">
        <f>'EF peternakan'!$H$15</f>
        <v>40</v>
      </c>
      <c r="HG15" s="91">
        <f t="shared" si="52"/>
        <v>20.002000000000002</v>
      </c>
      <c r="HH15" s="89">
        <f t="shared" si="53"/>
        <v>0.02</v>
      </c>
      <c r="HI15" s="83">
        <f t="shared" si="54"/>
        <v>1805.7805600000002</v>
      </c>
      <c r="HJ15" s="88">
        <v>0.02</v>
      </c>
      <c r="HK15" s="85">
        <f t="shared" si="55"/>
        <v>56.753103314285717</v>
      </c>
      <c r="HS15" s="6"/>
      <c r="HT15" s="291" t="s">
        <v>23</v>
      </c>
      <c r="HU15" s="86">
        <f t="shared" si="100"/>
        <v>1805.7805600000002</v>
      </c>
      <c r="HV15" s="87">
        <f t="shared" si="56"/>
        <v>0</v>
      </c>
      <c r="HW15" s="300">
        <f t="shared" si="101"/>
        <v>0</v>
      </c>
      <c r="HX15" s="91">
        <f t="shared" si="57"/>
        <v>0.01</v>
      </c>
      <c r="HY15" s="98">
        <f t="shared" si="58"/>
        <v>0</v>
      </c>
      <c r="IB15" s="6"/>
      <c r="IC15" s="291" t="s">
        <v>23</v>
      </c>
      <c r="ID15" s="86">
        <f t="shared" si="102"/>
        <v>4484</v>
      </c>
      <c r="IE15" s="87">
        <f>'EF peternakan'!$G$15</f>
        <v>1.37</v>
      </c>
      <c r="IF15" s="87">
        <f>'EF peternakan'!$H$15</f>
        <v>40</v>
      </c>
      <c r="IG15" s="91">
        <f t="shared" si="59"/>
        <v>20.002000000000002</v>
      </c>
      <c r="IH15" s="89">
        <f t="shared" si="60"/>
        <v>0.02</v>
      </c>
      <c r="II15" s="83">
        <f t="shared" si="61"/>
        <v>1793.7793600000002</v>
      </c>
      <c r="IJ15" s="88">
        <v>0.02</v>
      </c>
      <c r="IK15" s="85">
        <f t="shared" si="62"/>
        <v>56.375922742857149</v>
      </c>
      <c r="IS15" s="6"/>
      <c r="IT15" s="291" t="s">
        <v>23</v>
      </c>
      <c r="IU15" s="86">
        <f t="shared" si="63"/>
        <v>1793.7793600000002</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428381</v>
      </c>
      <c r="E17" s="87">
        <f>'EF peternakan'!$G$10</f>
        <v>0.82</v>
      </c>
      <c r="F17" s="293">
        <f>'EF peternakan'!$H$10</f>
        <v>2</v>
      </c>
      <c r="G17" s="9">
        <f t="shared" si="106"/>
        <v>0.59860000000000002</v>
      </c>
      <c r="H17" s="89">
        <f t="shared" si="76"/>
        <v>0.02</v>
      </c>
      <c r="I17" s="83">
        <f t="shared" si="107"/>
        <v>5128.5773319999998</v>
      </c>
      <c r="J17" s="306">
        <f>'EF peternakan'!$C$32</f>
        <v>0.01</v>
      </c>
      <c r="K17" s="85">
        <f t="shared" si="0"/>
        <v>80.591929502857141</v>
      </c>
      <c r="S17" s="6"/>
      <c r="T17" s="291" t="s">
        <v>72</v>
      </c>
      <c r="U17" s="86">
        <f t="shared" si="1"/>
        <v>5128.5773319999998</v>
      </c>
      <c r="V17" s="9"/>
      <c r="W17" s="9"/>
      <c r="X17" s="9"/>
      <c r="Y17" s="96"/>
      <c r="AB17" s="6"/>
      <c r="AC17" s="291" t="s">
        <v>72</v>
      </c>
      <c r="AD17" s="86">
        <f t="shared" si="79"/>
        <v>438662</v>
      </c>
      <c r="AE17" s="87">
        <f>'EF peternakan'!$G$10</f>
        <v>0.82</v>
      </c>
      <c r="AF17" s="87">
        <f>'EF peternakan'!$H$10</f>
        <v>2</v>
      </c>
      <c r="AG17" s="91">
        <f t="shared" si="4"/>
        <v>0.59860000000000002</v>
      </c>
      <c r="AH17" s="89">
        <f t="shared" si="5"/>
        <v>0.02</v>
      </c>
      <c r="AI17" s="83">
        <f t="shared" si="6"/>
        <v>5251.6614639999998</v>
      </c>
      <c r="AJ17" s="306">
        <f>'EF peternakan'!$C$32</f>
        <v>0.01</v>
      </c>
      <c r="AK17" s="85">
        <f t="shared" si="7"/>
        <v>82.526108719999996</v>
      </c>
      <c r="AS17" s="6"/>
      <c r="AT17" s="291" t="s">
        <v>72</v>
      </c>
      <c r="AU17" s="86">
        <f t="shared" ref="AU17:AU20" si="111">AI17</f>
        <v>5251.6614639999998</v>
      </c>
      <c r="AV17" s="9"/>
      <c r="AW17" s="9"/>
      <c r="AX17" s="9"/>
      <c r="AY17" s="96"/>
      <c r="BB17" s="6"/>
      <c r="BC17" s="291" t="s">
        <v>72</v>
      </c>
      <c r="BD17" s="44">
        <f>E45</f>
        <v>449190</v>
      </c>
      <c r="BE17" s="87">
        <f>'EF peternakan'!$G$10</f>
        <v>0.82</v>
      </c>
      <c r="BF17" s="87">
        <f>'EF peternakan'!$H$10</f>
        <v>2</v>
      </c>
      <c r="BG17" s="91">
        <f t="shared" ref="BG17:BG21" si="112">BE17*(BF17/10^3)*365</f>
        <v>0.59860000000000002</v>
      </c>
      <c r="BH17" s="89">
        <f t="shared" ref="BH17:BH21" si="113">BI$26/100</f>
        <v>0.02</v>
      </c>
      <c r="BI17" s="83">
        <f t="shared" si="108"/>
        <v>5377.7026800000003</v>
      </c>
      <c r="BJ17" s="306">
        <f>'EF peternakan'!$C$32</f>
        <v>0.01</v>
      </c>
      <c r="BK17" s="85">
        <f t="shared" si="13"/>
        <v>84.5067564</v>
      </c>
      <c r="BS17" s="6"/>
      <c r="BT17" s="291" t="s">
        <v>72</v>
      </c>
      <c r="BU17" s="86">
        <f t="shared" ref="BU17:BU21" si="114">BI17</f>
        <v>5377.7026800000003</v>
      </c>
      <c r="BV17" s="9"/>
      <c r="BW17" s="9"/>
      <c r="BX17" s="9"/>
      <c r="BY17" s="96"/>
      <c r="CB17" s="6"/>
      <c r="CC17" s="291" t="s">
        <v>72</v>
      </c>
      <c r="CD17" s="86">
        <f>F45</f>
        <v>459971</v>
      </c>
      <c r="CE17" s="87">
        <f>'EF peternakan'!$G$10</f>
        <v>0.82</v>
      </c>
      <c r="CF17" s="87">
        <f>'EF peternakan'!$H$10</f>
        <v>2</v>
      </c>
      <c r="CG17" s="91">
        <f t="shared" si="17"/>
        <v>0.59860000000000002</v>
      </c>
      <c r="CH17" s="89">
        <f t="shared" si="18"/>
        <v>0.02</v>
      </c>
      <c r="CI17" s="83">
        <f t="shared" ref="CI17:CI21" si="115">CD17*CG17*CH17</f>
        <v>5506.7728120000002</v>
      </c>
      <c r="CJ17" s="306">
        <f>'EF peternakan'!$C$32</f>
        <v>0.01</v>
      </c>
      <c r="CK17" s="85">
        <f t="shared" si="20"/>
        <v>86.535001331428575</v>
      </c>
      <c r="CS17" s="6"/>
      <c r="CT17" s="291" t="s">
        <v>72</v>
      </c>
      <c r="CU17" s="86">
        <f t="shared" ref="CU17:CU21" si="116">CI17</f>
        <v>5506.7728120000002</v>
      </c>
      <c r="CV17" s="9"/>
      <c r="CW17" s="9"/>
      <c r="CX17" s="9"/>
      <c r="CY17" s="96"/>
      <c r="DB17" s="6"/>
      <c r="DC17" s="291" t="s">
        <v>72</v>
      </c>
      <c r="DD17" s="44">
        <f>G45</f>
        <v>471010</v>
      </c>
      <c r="DE17" s="87">
        <f>'EF peternakan'!$G$10</f>
        <v>0.82</v>
      </c>
      <c r="DF17" s="87">
        <f>'EF peternakan'!$H$10</f>
        <v>2</v>
      </c>
      <c r="DG17" s="91">
        <f t="shared" si="24"/>
        <v>0.59860000000000002</v>
      </c>
      <c r="DH17" s="89">
        <f t="shared" si="25"/>
        <v>0.02</v>
      </c>
      <c r="DI17" s="83">
        <f>DD17*DG17*DH17</f>
        <v>5638.9317200000005</v>
      </c>
      <c r="DJ17" s="306">
        <f>'EF peternakan'!$C$32</f>
        <v>0.01</v>
      </c>
      <c r="DK17" s="85">
        <f t="shared" ref="DK17:DK21" si="117">DI17*DJ17*(44/28)</f>
        <v>88.611784171428582</v>
      </c>
      <c r="DS17" s="6"/>
      <c r="DT17" s="291" t="s">
        <v>72</v>
      </c>
      <c r="DU17" s="86">
        <f t="shared" ref="DU17:DU21" si="118">DI17</f>
        <v>5638.9317200000005</v>
      </c>
      <c r="DV17" s="9"/>
      <c r="DW17" s="9"/>
      <c r="DX17" s="9"/>
      <c r="DY17" s="96"/>
      <c r="EB17" s="6"/>
      <c r="EC17" s="291" t="s">
        <v>72</v>
      </c>
      <c r="ED17" s="86">
        <f t="shared" si="91"/>
        <v>482314</v>
      </c>
      <c r="EE17" s="87">
        <f>'EF peternakan'!$G$10</f>
        <v>0.82</v>
      </c>
      <c r="EF17" s="87">
        <f>'EF peternakan'!$H$10</f>
        <v>2</v>
      </c>
      <c r="EG17" s="91">
        <f t="shared" si="31"/>
        <v>0.59860000000000002</v>
      </c>
      <c r="EH17" s="89">
        <f t="shared" si="32"/>
        <v>0.02</v>
      </c>
      <c r="EI17" s="83">
        <f t="shared" si="33"/>
        <v>5774.2632080000003</v>
      </c>
      <c r="EJ17" s="306">
        <f>'EF peternakan'!$C$32</f>
        <v>0.01</v>
      </c>
      <c r="EK17" s="85">
        <f t="shared" si="34"/>
        <v>90.738421840000015</v>
      </c>
      <c r="ES17" s="6"/>
      <c r="ET17" s="291" t="s">
        <v>72</v>
      </c>
      <c r="EU17" s="86">
        <f t="shared" si="110"/>
        <v>5774.2632080000003</v>
      </c>
      <c r="EV17" s="9"/>
      <c r="EW17" s="9"/>
      <c r="EX17" s="9"/>
      <c r="EY17" s="96"/>
      <c r="FB17" s="6"/>
      <c r="FC17" s="291" t="s">
        <v>72</v>
      </c>
      <c r="FD17" s="86">
        <f t="shared" si="93"/>
        <v>493890</v>
      </c>
      <c r="FE17" s="87">
        <f>'EF peternakan'!$G$10</f>
        <v>0.82</v>
      </c>
      <c r="FF17" s="87">
        <f>'EF peternakan'!$H$10</f>
        <v>2</v>
      </c>
      <c r="FG17" s="91">
        <f t="shared" si="38"/>
        <v>0.59860000000000002</v>
      </c>
      <c r="FH17" s="89">
        <f t="shared" si="39"/>
        <v>0.02</v>
      </c>
      <c r="FI17" s="83">
        <f t="shared" ref="FI17:FI21" si="119">FD17*FG17*FH17</f>
        <v>5912.8510800000004</v>
      </c>
      <c r="FJ17" s="306">
        <f>'EF peternakan'!$C$32</f>
        <v>0.01</v>
      </c>
      <c r="FK17" s="85">
        <f t="shared" ref="FK17:FK21" si="120">FI17*FJ17*(44/28)</f>
        <v>92.916231257142869</v>
      </c>
      <c r="FS17" s="6"/>
      <c r="FT17" s="291" t="s">
        <v>72</v>
      </c>
      <c r="FU17" s="86">
        <f t="shared" si="94"/>
        <v>5912.8510800000004</v>
      </c>
      <c r="FV17" s="9"/>
      <c r="FW17" s="9"/>
      <c r="FX17" s="9"/>
      <c r="FY17" s="96"/>
      <c r="GB17" s="6"/>
      <c r="GC17" s="291" t="s">
        <v>72</v>
      </c>
      <c r="GD17" s="86">
        <f t="shared" si="97"/>
        <v>505743</v>
      </c>
      <c r="GE17" s="87">
        <f>'EF peternakan'!$G$10</f>
        <v>0.82</v>
      </c>
      <c r="GF17" s="87">
        <f>'EF peternakan'!$H$10</f>
        <v>2</v>
      </c>
      <c r="GG17" s="91">
        <f t="shared" si="44"/>
        <v>0.59860000000000002</v>
      </c>
      <c r="GH17" s="89">
        <f t="shared" si="45"/>
        <v>0.02</v>
      </c>
      <c r="GI17" s="83">
        <f t="shared" ref="GI17:GI21" si="121">GD17*GG17*GH17</f>
        <v>6054.7551960000001</v>
      </c>
      <c r="GJ17" s="306">
        <f>'EF peternakan'!$C$32</f>
        <v>0.01</v>
      </c>
      <c r="GK17" s="85">
        <f t="shared" ref="GK17:GK21" si="122">GI17*GJ17*(44/28)</f>
        <v>95.146153080000005</v>
      </c>
      <c r="GS17" s="6"/>
      <c r="GT17" s="291" t="s">
        <v>72</v>
      </c>
      <c r="GU17" s="86">
        <f t="shared" si="48"/>
        <v>6054.7551960000001</v>
      </c>
      <c r="GV17" s="9"/>
      <c r="GW17" s="9"/>
      <c r="GX17" s="9"/>
      <c r="GY17" s="96"/>
      <c r="HB17" s="6"/>
      <c r="HC17" s="291" t="s">
        <v>72</v>
      </c>
      <c r="HD17" s="86">
        <f t="shared" si="99"/>
        <v>517881</v>
      </c>
      <c r="HE17" s="87">
        <f>'EF peternakan'!$G$10</f>
        <v>0.82</v>
      </c>
      <c r="HF17" s="87">
        <f>'EF peternakan'!$H$10</f>
        <v>2</v>
      </c>
      <c r="HG17" s="91">
        <f t="shared" si="52"/>
        <v>0.59860000000000002</v>
      </c>
      <c r="HH17" s="89">
        <f t="shared" si="53"/>
        <v>0.02</v>
      </c>
      <c r="HI17" s="83">
        <f t="shared" si="54"/>
        <v>6200.0713320000004</v>
      </c>
      <c r="HJ17" s="306">
        <f>'EF peternakan'!$C$32</f>
        <v>0.01</v>
      </c>
      <c r="HK17" s="85">
        <f t="shared" si="55"/>
        <v>97.429692360000004</v>
      </c>
      <c r="HS17" s="6"/>
      <c r="HT17" s="291" t="s">
        <v>72</v>
      </c>
      <c r="HU17" s="86">
        <f t="shared" si="100"/>
        <v>6200.0713320000004</v>
      </c>
      <c r="HV17" s="9"/>
      <c r="HW17" s="9"/>
      <c r="HX17" s="9"/>
      <c r="HY17" s="96"/>
      <c r="IB17" s="6"/>
      <c r="IC17" s="291" t="s">
        <v>72</v>
      </c>
      <c r="ID17" s="86">
        <f t="shared" si="102"/>
        <v>530310</v>
      </c>
      <c r="IE17" s="87">
        <f>'EF peternakan'!$G$10</f>
        <v>0.82</v>
      </c>
      <c r="IF17" s="87">
        <f>'EF peternakan'!$H$10</f>
        <v>2</v>
      </c>
      <c r="IG17" s="91">
        <f t="shared" si="59"/>
        <v>0.59860000000000002</v>
      </c>
      <c r="IH17" s="89">
        <f t="shared" si="60"/>
        <v>0.02</v>
      </c>
      <c r="II17" s="83">
        <f t="shared" si="61"/>
        <v>6348.8713200000002</v>
      </c>
      <c r="IJ17" s="306">
        <f>'EF peternakan'!$C$32</f>
        <v>0.01</v>
      </c>
      <c r="IK17" s="85">
        <f t="shared" si="62"/>
        <v>99.767977885714288</v>
      </c>
      <c r="IS17" s="6"/>
      <c r="IT17" s="291" t="s">
        <v>72</v>
      </c>
      <c r="IU17" s="86">
        <f t="shared" si="63"/>
        <v>6348.8713200000002</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1659884</v>
      </c>
      <c r="E18" s="87">
        <f>'EF peternakan'!$G$11</f>
        <v>1.1000000000000001</v>
      </c>
      <c r="F18" s="293">
        <f>'EF peternakan'!$H$11</f>
        <v>2</v>
      </c>
      <c r="G18" s="9">
        <f t="shared" si="106"/>
        <v>0.80300000000000005</v>
      </c>
      <c r="H18" s="89">
        <f t="shared" si="76"/>
        <v>0.02</v>
      </c>
      <c r="I18" s="83">
        <f t="shared" si="107"/>
        <v>26657.737040000004</v>
      </c>
      <c r="J18" s="306">
        <f>'EF peternakan'!$C$32</f>
        <v>0.01</v>
      </c>
      <c r="K18" s="85">
        <f t="shared" si="0"/>
        <v>418.90729634285725</v>
      </c>
      <c r="S18" s="6"/>
      <c r="T18" s="291" t="s">
        <v>73</v>
      </c>
      <c r="U18" s="86">
        <f t="shared" si="1"/>
        <v>26657.737040000004</v>
      </c>
      <c r="V18" s="9"/>
      <c r="W18" s="9"/>
      <c r="X18" s="9"/>
      <c r="Y18" s="96"/>
      <c r="AB18" s="6"/>
      <c r="AC18" s="291" t="s">
        <v>73</v>
      </c>
      <c r="AD18" s="86">
        <f t="shared" si="79"/>
        <v>1607431</v>
      </c>
      <c r="AE18" s="87">
        <f>'EF peternakan'!$G$11</f>
        <v>1.1000000000000001</v>
      </c>
      <c r="AF18" s="87">
        <f>'EF peternakan'!$H$11</f>
        <v>2</v>
      </c>
      <c r="AG18" s="91">
        <f t="shared" si="4"/>
        <v>0.80300000000000005</v>
      </c>
      <c r="AH18" s="89">
        <f t="shared" si="5"/>
        <v>0.02</v>
      </c>
      <c r="AI18" s="83">
        <f t="shared" si="6"/>
        <v>25815.341860000004</v>
      </c>
      <c r="AJ18" s="306">
        <f>'EF peternakan'!$C$32</f>
        <v>0.01</v>
      </c>
      <c r="AK18" s="85">
        <f t="shared" si="7"/>
        <v>405.6696578000001</v>
      </c>
      <c r="AS18" s="6"/>
      <c r="AT18" s="291" t="s">
        <v>73</v>
      </c>
      <c r="AU18" s="86">
        <f t="shared" si="111"/>
        <v>25815.341860000004</v>
      </c>
      <c r="AV18" s="9"/>
      <c r="AW18" s="9"/>
      <c r="AX18" s="9"/>
      <c r="AY18" s="96"/>
      <c r="BB18" s="6"/>
      <c r="BC18" s="291" t="s">
        <v>73</v>
      </c>
      <c r="BD18" s="44">
        <f t="shared" ref="BD18:BD20" si="124">E46</f>
        <v>1556636</v>
      </c>
      <c r="BE18" s="87">
        <f>'EF peternakan'!$G$11</f>
        <v>1.1000000000000001</v>
      </c>
      <c r="BF18" s="87">
        <f>'EF peternakan'!$H$11</f>
        <v>2</v>
      </c>
      <c r="BG18" s="91">
        <f t="shared" si="112"/>
        <v>0.80300000000000005</v>
      </c>
      <c r="BH18" s="89">
        <f t="shared" si="113"/>
        <v>0.02</v>
      </c>
      <c r="BI18" s="83">
        <f t="shared" si="108"/>
        <v>24999.574160000004</v>
      </c>
      <c r="BJ18" s="306">
        <f>'EF peternakan'!$C$32</f>
        <v>0.01</v>
      </c>
      <c r="BK18" s="85">
        <f t="shared" si="13"/>
        <v>392.85045108571433</v>
      </c>
      <c r="BS18" s="6"/>
      <c r="BT18" s="291" t="s">
        <v>73</v>
      </c>
      <c r="BU18" s="86">
        <f t="shared" si="114"/>
        <v>24999.574160000004</v>
      </c>
      <c r="BV18" s="9"/>
      <c r="BW18" s="9"/>
      <c r="BX18" s="9"/>
      <c r="BY18" s="96"/>
      <c r="CB18" s="6"/>
      <c r="CC18" s="291" t="s">
        <v>73</v>
      </c>
      <c r="CD18" s="86">
        <f t="shared" ref="CD18:CD20" si="125">F46</f>
        <v>1507447</v>
      </c>
      <c r="CE18" s="87">
        <f>'EF peternakan'!$G$11</f>
        <v>1.1000000000000001</v>
      </c>
      <c r="CF18" s="87">
        <f>'EF peternakan'!$H$11</f>
        <v>2</v>
      </c>
      <c r="CG18" s="91">
        <f t="shared" si="17"/>
        <v>0.80300000000000005</v>
      </c>
      <c r="CH18" s="89">
        <f t="shared" si="18"/>
        <v>0.02</v>
      </c>
      <c r="CI18" s="83">
        <f t="shared" si="115"/>
        <v>24209.598820000003</v>
      </c>
      <c r="CJ18" s="306">
        <f>'EF peternakan'!$C$32</f>
        <v>0.01</v>
      </c>
      <c r="CK18" s="85">
        <f t="shared" si="20"/>
        <v>380.43655288571432</v>
      </c>
      <c r="CS18" s="6"/>
      <c r="CT18" s="291" t="s">
        <v>73</v>
      </c>
      <c r="CU18" s="86">
        <f t="shared" si="116"/>
        <v>24209.598820000003</v>
      </c>
      <c r="CV18" s="9"/>
      <c r="CW18" s="9"/>
      <c r="CX18" s="9"/>
      <c r="CY18" s="96"/>
      <c r="DB18" s="6"/>
      <c r="DC18" s="291" t="s">
        <v>73</v>
      </c>
      <c r="DD18" s="44">
        <f t="shared" ref="DD18:DD21" si="126">G46</f>
        <v>1444737</v>
      </c>
      <c r="DE18" s="87">
        <f>'EF peternakan'!$G$11</f>
        <v>1.1000000000000001</v>
      </c>
      <c r="DF18" s="87">
        <f>'EF peternakan'!$H$11</f>
        <v>2</v>
      </c>
      <c r="DG18" s="91">
        <f t="shared" si="24"/>
        <v>0.80300000000000005</v>
      </c>
      <c r="DH18" s="89">
        <f t="shared" si="25"/>
        <v>0.02</v>
      </c>
      <c r="DI18" s="83">
        <f t="shared" si="26"/>
        <v>23202.47622</v>
      </c>
      <c r="DJ18" s="306">
        <f>'EF peternakan'!$C$32</f>
        <v>0.01</v>
      </c>
      <c r="DK18" s="85">
        <f t="shared" si="117"/>
        <v>364.61034059999997</v>
      </c>
      <c r="DS18" s="6"/>
      <c r="DT18" s="291" t="s">
        <v>73</v>
      </c>
      <c r="DU18" s="86">
        <f t="shared" si="118"/>
        <v>23202.47622</v>
      </c>
      <c r="DV18" s="9"/>
      <c r="DW18" s="9"/>
      <c r="DX18" s="9"/>
      <c r="DY18" s="96"/>
      <c r="EB18" s="6"/>
      <c r="EC18" s="291" t="s">
        <v>73</v>
      </c>
      <c r="ED18" s="86">
        <f t="shared" si="91"/>
        <v>1673583</v>
      </c>
      <c r="EE18" s="87">
        <f>'EF peternakan'!$G$11</f>
        <v>1.1000000000000001</v>
      </c>
      <c r="EF18" s="87">
        <f>'EF peternakan'!$H$11</f>
        <v>2</v>
      </c>
      <c r="EG18" s="91">
        <f t="shared" si="31"/>
        <v>0.80300000000000005</v>
      </c>
      <c r="EH18" s="89">
        <f t="shared" si="32"/>
        <v>0.02</v>
      </c>
      <c r="EI18" s="83">
        <f>ED18*EG18*EH18</f>
        <v>26877.742979999999</v>
      </c>
      <c r="EJ18" s="306">
        <f>'EF peternakan'!$C$32</f>
        <v>0.01</v>
      </c>
      <c r="EK18" s="85">
        <f>EI18*EJ18*(44/28)</f>
        <v>422.36453254285715</v>
      </c>
      <c r="ES18" s="6"/>
      <c r="ET18" s="291" t="s">
        <v>73</v>
      </c>
      <c r="EU18" s="86">
        <f t="shared" si="110"/>
        <v>26877.742979999999</v>
      </c>
      <c r="EV18" s="9"/>
      <c r="EW18" s="9"/>
      <c r="EX18" s="9"/>
      <c r="EY18" s="96"/>
      <c r="FB18" s="6"/>
      <c r="FC18" s="291" t="s">
        <v>73</v>
      </c>
      <c r="FD18" s="86">
        <f t="shared" si="93"/>
        <v>1603962</v>
      </c>
      <c r="FE18" s="87">
        <f>'EF peternakan'!$G$11</f>
        <v>1.1000000000000001</v>
      </c>
      <c r="FF18" s="87">
        <f>'EF peternakan'!$H$11</f>
        <v>2</v>
      </c>
      <c r="FG18" s="91">
        <f t="shared" si="38"/>
        <v>0.80300000000000005</v>
      </c>
      <c r="FH18" s="89">
        <f t="shared" si="39"/>
        <v>0.02</v>
      </c>
      <c r="FI18" s="83">
        <f>FD18*FG18*FH18</f>
        <v>25759.629720000001</v>
      </c>
      <c r="FJ18" s="306">
        <f>'EF peternakan'!$C$32</f>
        <v>0.01</v>
      </c>
      <c r="FK18" s="85">
        <f>FI18*FJ18*(44/28)</f>
        <v>404.79418131428577</v>
      </c>
      <c r="FS18" s="6"/>
      <c r="FT18" s="291" t="s">
        <v>73</v>
      </c>
      <c r="FU18" s="86">
        <f t="shared" si="94"/>
        <v>25759.629720000001</v>
      </c>
      <c r="FV18" s="9"/>
      <c r="FW18" s="9"/>
      <c r="FX18" s="9"/>
      <c r="FY18" s="96"/>
      <c r="GB18" s="6"/>
      <c r="GC18" s="291" t="s">
        <v>73</v>
      </c>
      <c r="GD18" s="86">
        <f t="shared" si="97"/>
        <v>1713673</v>
      </c>
      <c r="GE18" s="87">
        <f>'EF peternakan'!$G$11</f>
        <v>1.1000000000000001</v>
      </c>
      <c r="GF18" s="87">
        <f>'EF peternakan'!$H$11</f>
        <v>2</v>
      </c>
      <c r="GG18" s="91">
        <f t="shared" si="44"/>
        <v>0.80300000000000005</v>
      </c>
      <c r="GH18" s="89">
        <f t="shared" si="45"/>
        <v>0.02</v>
      </c>
      <c r="GI18" s="83">
        <f t="shared" si="121"/>
        <v>27521.588380000001</v>
      </c>
      <c r="GJ18" s="306">
        <f>'EF peternakan'!$C$32</f>
        <v>0.01</v>
      </c>
      <c r="GK18" s="85">
        <f t="shared" si="122"/>
        <v>432.48210311428574</v>
      </c>
      <c r="GS18" s="6"/>
      <c r="GT18" s="291" t="s">
        <v>73</v>
      </c>
      <c r="GU18" s="86">
        <f t="shared" si="48"/>
        <v>27521.588380000001</v>
      </c>
      <c r="GV18" s="9"/>
      <c r="GW18" s="9"/>
      <c r="GX18" s="9"/>
      <c r="GY18" s="96"/>
      <c r="HB18" s="6"/>
      <c r="HC18" s="291" t="s">
        <v>73</v>
      </c>
      <c r="HD18" s="86">
        <f t="shared" si="99"/>
        <v>1659521</v>
      </c>
      <c r="HE18" s="87">
        <f>'EF peternakan'!$G$11</f>
        <v>1.1000000000000001</v>
      </c>
      <c r="HF18" s="87">
        <f>'EF peternakan'!$H$11</f>
        <v>2</v>
      </c>
      <c r="HG18" s="91">
        <f t="shared" si="52"/>
        <v>0.80300000000000005</v>
      </c>
      <c r="HH18" s="89">
        <f t="shared" si="53"/>
        <v>0.02</v>
      </c>
      <c r="HI18" s="83">
        <f t="shared" si="54"/>
        <v>26651.907260000004</v>
      </c>
      <c r="HJ18" s="306">
        <f>'EF peternakan'!$C$32</f>
        <v>0.01</v>
      </c>
      <c r="HK18" s="85">
        <f t="shared" si="55"/>
        <v>418.81568551428575</v>
      </c>
      <c r="HS18" s="6"/>
      <c r="HT18" s="291" t="s">
        <v>73</v>
      </c>
      <c r="HU18" s="86">
        <f t="shared" si="100"/>
        <v>26651.907260000004</v>
      </c>
      <c r="HV18" s="9"/>
      <c r="HW18" s="9"/>
      <c r="HX18" s="9"/>
      <c r="HY18" s="96"/>
      <c r="IB18" s="6"/>
      <c r="IC18" s="291" t="s">
        <v>73</v>
      </c>
      <c r="ID18" s="86">
        <f t="shared" si="102"/>
        <v>1607080</v>
      </c>
      <c r="IE18" s="87">
        <f>'EF peternakan'!$G$11</f>
        <v>1.1000000000000001</v>
      </c>
      <c r="IF18" s="87">
        <f>'EF peternakan'!$H$11</f>
        <v>2</v>
      </c>
      <c r="IG18" s="91">
        <f t="shared" si="59"/>
        <v>0.80300000000000005</v>
      </c>
      <c r="IH18" s="89">
        <f t="shared" si="60"/>
        <v>0.02</v>
      </c>
      <c r="II18" s="83">
        <f t="shared" si="61"/>
        <v>25809.7048</v>
      </c>
      <c r="IJ18" s="306">
        <f>'EF peternakan'!$C$32</f>
        <v>0.01</v>
      </c>
      <c r="IK18" s="85">
        <f t="shared" si="62"/>
        <v>405.58107542857135</v>
      </c>
      <c r="IS18" s="6"/>
      <c r="IT18" s="291" t="s">
        <v>73</v>
      </c>
      <c r="IU18" s="86">
        <f t="shared" si="63"/>
        <v>25809.7048</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100894</v>
      </c>
      <c r="E19" s="87">
        <f>'EF peternakan'!$G$10</f>
        <v>0.82</v>
      </c>
      <c r="F19" s="293">
        <f>'EF peternakan'!$H$10</f>
        <v>2</v>
      </c>
      <c r="G19" s="9">
        <f t="shared" si="106"/>
        <v>0.59860000000000002</v>
      </c>
      <c r="H19" s="89">
        <f t="shared" si="76"/>
        <v>0.02</v>
      </c>
      <c r="I19" s="83">
        <f t="shared" si="107"/>
        <v>1207.9029680000001</v>
      </c>
      <c r="J19" s="306">
        <f>'EF peternakan'!$C$32</f>
        <v>0.01</v>
      </c>
      <c r="K19" s="85">
        <f t="shared" si="0"/>
        <v>18.981332354285716</v>
      </c>
      <c r="S19" s="6"/>
      <c r="T19" s="291" t="s">
        <v>74</v>
      </c>
      <c r="U19" s="86">
        <f t="shared" si="1"/>
        <v>1207.9029680000001</v>
      </c>
      <c r="V19" s="9"/>
      <c r="W19" s="9"/>
      <c r="X19" s="9"/>
      <c r="Y19" s="96"/>
      <c r="AB19" s="6"/>
      <c r="AC19" s="291" t="s">
        <v>74</v>
      </c>
      <c r="AD19" s="86">
        <f t="shared" si="79"/>
        <v>101975</v>
      </c>
      <c r="AE19" s="87">
        <f>'EF peternakan'!$G$10</f>
        <v>0.82</v>
      </c>
      <c r="AF19" s="87">
        <f>'EF peternakan'!$H$10</f>
        <v>2</v>
      </c>
      <c r="AG19" s="91">
        <f t="shared" si="4"/>
        <v>0.59860000000000002</v>
      </c>
      <c r="AH19" s="89">
        <f t="shared" si="5"/>
        <v>0.02</v>
      </c>
      <c r="AI19" s="83">
        <f t="shared" si="6"/>
        <v>1220.8447000000001</v>
      </c>
      <c r="AJ19" s="306">
        <f>'EF peternakan'!$C$32</f>
        <v>0.01</v>
      </c>
      <c r="AK19" s="85">
        <f t="shared" si="7"/>
        <v>19.18470242857143</v>
      </c>
      <c r="AS19" s="6"/>
      <c r="AT19" s="291" t="s">
        <v>74</v>
      </c>
      <c r="AU19" s="86">
        <f t="shared" si="111"/>
        <v>1220.8447000000001</v>
      </c>
      <c r="AV19" s="9"/>
      <c r="AW19" s="9"/>
      <c r="AX19" s="9"/>
      <c r="AY19" s="96"/>
      <c r="BB19" s="6"/>
      <c r="BC19" s="291" t="s">
        <v>74</v>
      </c>
      <c r="BD19" s="44">
        <f t="shared" si="124"/>
        <v>102342</v>
      </c>
      <c r="BE19" s="87">
        <f>'EF peternakan'!$G$10</f>
        <v>0.82</v>
      </c>
      <c r="BF19" s="87">
        <f>'EF peternakan'!$H$10</f>
        <v>2</v>
      </c>
      <c r="BG19" s="91">
        <f t="shared" si="112"/>
        <v>0.59860000000000002</v>
      </c>
      <c r="BH19" s="89">
        <f t="shared" si="113"/>
        <v>0.02</v>
      </c>
      <c r="BI19" s="83">
        <f t="shared" si="108"/>
        <v>1225.2384240000001</v>
      </c>
      <c r="BJ19" s="306">
        <f>'EF peternakan'!$C$32</f>
        <v>0.01</v>
      </c>
      <c r="BK19" s="85">
        <f t="shared" si="13"/>
        <v>19.253746662857143</v>
      </c>
      <c r="BS19" s="6"/>
      <c r="BT19" s="291" t="s">
        <v>74</v>
      </c>
      <c r="BU19" s="86">
        <f t="shared" si="114"/>
        <v>1225.2384240000001</v>
      </c>
      <c r="BV19" s="9"/>
      <c r="BW19" s="9"/>
      <c r="BX19" s="9"/>
      <c r="BY19" s="96"/>
      <c r="CB19" s="6"/>
      <c r="CC19" s="291" t="s">
        <v>74</v>
      </c>
      <c r="CD19" s="86">
        <f t="shared" si="125"/>
        <v>102467</v>
      </c>
      <c r="CE19" s="87">
        <f>'EF peternakan'!$G$10</f>
        <v>0.82</v>
      </c>
      <c r="CF19" s="87">
        <f>'EF peternakan'!$H$10</f>
        <v>2</v>
      </c>
      <c r="CG19" s="91">
        <f t="shared" si="17"/>
        <v>0.59860000000000002</v>
      </c>
      <c r="CH19" s="89">
        <f t="shared" si="18"/>
        <v>0.02</v>
      </c>
      <c r="CI19" s="83">
        <f t="shared" si="115"/>
        <v>1226.7349240000001</v>
      </c>
      <c r="CJ19" s="306">
        <f>'EF peternakan'!$C$32</f>
        <v>0.01</v>
      </c>
      <c r="CK19" s="85">
        <f t="shared" si="20"/>
        <v>19.277263091428573</v>
      </c>
      <c r="CS19" s="6"/>
      <c r="CT19" s="291" t="s">
        <v>74</v>
      </c>
      <c r="CU19" s="86">
        <f t="shared" si="116"/>
        <v>1226.7349240000001</v>
      </c>
      <c r="CV19" s="9"/>
      <c r="CW19" s="9"/>
      <c r="CX19" s="9"/>
      <c r="CY19" s="96"/>
      <c r="DB19" s="6"/>
      <c r="DC19" s="291" t="s">
        <v>74</v>
      </c>
      <c r="DD19" s="44">
        <f t="shared" si="126"/>
        <v>102510</v>
      </c>
      <c r="DE19" s="87">
        <f>'EF peternakan'!$G$10</f>
        <v>0.82</v>
      </c>
      <c r="DF19" s="87">
        <f>'EF peternakan'!$H$10</f>
        <v>2</v>
      </c>
      <c r="DG19" s="91">
        <f t="shared" si="24"/>
        <v>0.59860000000000002</v>
      </c>
      <c r="DH19" s="89">
        <f t="shared" si="25"/>
        <v>0.02</v>
      </c>
      <c r="DI19" s="83">
        <f t="shared" si="26"/>
        <v>1227.24972</v>
      </c>
      <c r="DJ19" s="306">
        <f>'EF peternakan'!$C$32</f>
        <v>0.01</v>
      </c>
      <c r="DK19" s="85">
        <f t="shared" si="117"/>
        <v>19.285352742857143</v>
      </c>
      <c r="DS19" s="6"/>
      <c r="DT19" s="291" t="s">
        <v>74</v>
      </c>
      <c r="DU19" s="86">
        <f t="shared" si="118"/>
        <v>1227.24972</v>
      </c>
      <c r="DV19" s="9"/>
      <c r="DW19" s="9"/>
      <c r="DX19" s="9"/>
      <c r="DY19" s="96"/>
      <c r="EB19" s="6"/>
      <c r="EC19" s="291" t="s">
        <v>74</v>
      </c>
      <c r="ED19" s="86">
        <f t="shared" si="91"/>
        <v>102524</v>
      </c>
      <c r="EE19" s="87">
        <f>'EF peternakan'!$G$10</f>
        <v>0.82</v>
      </c>
      <c r="EF19" s="87">
        <f>'EF peternakan'!$H$10</f>
        <v>2</v>
      </c>
      <c r="EG19" s="91">
        <f t="shared" si="31"/>
        <v>0.59860000000000002</v>
      </c>
      <c r="EH19" s="89">
        <f t="shared" si="32"/>
        <v>0.02</v>
      </c>
      <c r="EI19" s="83">
        <f t="shared" si="33"/>
        <v>1227.417328</v>
      </c>
      <c r="EJ19" s="306">
        <f>'EF peternakan'!$C$32</f>
        <v>0.01</v>
      </c>
      <c r="EK19" s="85">
        <f t="shared" si="34"/>
        <v>19.28798658285714</v>
      </c>
      <c r="ES19" s="6"/>
      <c r="ET19" s="291" t="s">
        <v>74</v>
      </c>
      <c r="EU19" s="86">
        <f t="shared" si="110"/>
        <v>1227.417328</v>
      </c>
      <c r="EV19" s="9"/>
      <c r="EW19" s="9"/>
      <c r="EX19" s="9"/>
      <c r="EY19" s="96"/>
      <c r="FB19" s="6"/>
      <c r="FC19" s="291" t="s">
        <v>74</v>
      </c>
      <c r="FD19" s="86">
        <f t="shared" si="93"/>
        <v>102529</v>
      </c>
      <c r="FE19" s="87">
        <f>'EF peternakan'!$G$10</f>
        <v>0.82</v>
      </c>
      <c r="FF19" s="87">
        <f>'EF peternakan'!$H$10</f>
        <v>2</v>
      </c>
      <c r="FG19" s="91">
        <f t="shared" si="38"/>
        <v>0.59860000000000002</v>
      </c>
      <c r="FH19" s="89">
        <f t="shared" si="39"/>
        <v>0.02</v>
      </c>
      <c r="FI19" s="83">
        <f t="shared" si="119"/>
        <v>1227.4771880000001</v>
      </c>
      <c r="FJ19" s="306">
        <f>'EF peternakan'!$C$32</f>
        <v>0.01</v>
      </c>
      <c r="FK19" s="85">
        <f t="shared" si="120"/>
        <v>19.288927240000003</v>
      </c>
      <c r="FS19" s="6"/>
      <c r="FT19" s="291" t="s">
        <v>74</v>
      </c>
      <c r="FU19" s="86">
        <f t="shared" si="94"/>
        <v>1227.4771880000001</v>
      </c>
      <c r="FV19" s="9"/>
      <c r="FW19" s="9"/>
      <c r="FX19" s="9"/>
      <c r="FY19" s="96"/>
      <c r="GB19" s="6"/>
      <c r="GC19" s="291" t="s">
        <v>74</v>
      </c>
      <c r="GD19" s="86">
        <f t="shared" si="97"/>
        <v>102531</v>
      </c>
      <c r="GE19" s="87">
        <f>'EF peternakan'!$G$10</f>
        <v>0.82</v>
      </c>
      <c r="GF19" s="87">
        <f>'EF peternakan'!$H$10</f>
        <v>2</v>
      </c>
      <c r="GG19" s="91">
        <f t="shared" si="44"/>
        <v>0.59860000000000002</v>
      </c>
      <c r="GH19" s="89">
        <f t="shared" si="45"/>
        <v>0.02</v>
      </c>
      <c r="GI19" s="83">
        <f t="shared" si="121"/>
        <v>1227.5011320000001</v>
      </c>
      <c r="GJ19" s="306">
        <f>'EF peternakan'!$C$32</f>
        <v>0.01</v>
      </c>
      <c r="GK19" s="85">
        <f t="shared" si="122"/>
        <v>19.289303502857145</v>
      </c>
      <c r="GS19" s="6"/>
      <c r="GT19" s="291" t="s">
        <v>74</v>
      </c>
      <c r="GU19" s="86">
        <f t="shared" si="48"/>
        <v>1227.5011320000001</v>
      </c>
      <c r="GV19" s="9"/>
      <c r="GW19" s="9"/>
      <c r="GX19" s="9"/>
      <c r="GY19" s="96"/>
      <c r="HB19" s="6"/>
      <c r="HC19" s="291" t="s">
        <v>74</v>
      </c>
      <c r="HD19" s="86">
        <f t="shared" si="99"/>
        <v>102532</v>
      </c>
      <c r="HE19" s="87">
        <f>'EF peternakan'!$G$10</f>
        <v>0.82</v>
      </c>
      <c r="HF19" s="87">
        <f>'EF peternakan'!$H$10</f>
        <v>2</v>
      </c>
      <c r="HG19" s="91">
        <f t="shared" si="52"/>
        <v>0.59860000000000002</v>
      </c>
      <c r="HH19" s="89">
        <f t="shared" si="53"/>
        <v>0.02</v>
      </c>
      <c r="HI19" s="83">
        <f t="shared" si="54"/>
        <v>1227.5131040000001</v>
      </c>
      <c r="HJ19" s="306">
        <f>'EF peternakan'!$C$32</f>
        <v>0.01</v>
      </c>
      <c r="HK19" s="85">
        <f t="shared" si="55"/>
        <v>19.289491634285717</v>
      </c>
      <c r="HS19" s="6"/>
      <c r="HT19" s="291" t="s">
        <v>74</v>
      </c>
      <c r="HU19" s="86">
        <f t="shared" si="100"/>
        <v>1227.5131040000001</v>
      </c>
      <c r="HV19" s="9"/>
      <c r="HW19" s="9"/>
      <c r="HX19" s="9"/>
      <c r="HY19" s="96"/>
      <c r="IB19" s="6"/>
      <c r="IC19" s="291" t="s">
        <v>74</v>
      </c>
      <c r="ID19" s="86">
        <f t="shared" si="102"/>
        <v>102532</v>
      </c>
      <c r="IE19" s="87">
        <f>'EF peternakan'!$G$10</f>
        <v>0.82</v>
      </c>
      <c r="IF19" s="87">
        <f>'EF peternakan'!$H$10</f>
        <v>2</v>
      </c>
      <c r="IG19" s="91">
        <f t="shared" si="59"/>
        <v>0.59860000000000002</v>
      </c>
      <c r="IH19" s="89">
        <f t="shared" si="60"/>
        <v>0.02</v>
      </c>
      <c r="II19" s="83">
        <f t="shared" si="61"/>
        <v>1227.5131040000001</v>
      </c>
      <c r="IJ19" s="306">
        <f>'EF peternakan'!$C$32</f>
        <v>0.01</v>
      </c>
      <c r="IK19" s="85">
        <f t="shared" si="62"/>
        <v>19.289491634285717</v>
      </c>
      <c r="IS19" s="6"/>
      <c r="IT19" s="291" t="s">
        <v>74</v>
      </c>
      <c r="IU19" s="86">
        <f t="shared" si="63"/>
        <v>1227.5131040000001</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21748</v>
      </c>
      <c r="E20" s="87">
        <f>'EF peternakan'!$G$13</f>
        <v>0.83</v>
      </c>
      <c r="F20" s="293">
        <f>'EF peternakan'!$H$13</f>
        <v>2</v>
      </c>
      <c r="G20" s="9">
        <f t="shared" si="106"/>
        <v>0.60589999999999999</v>
      </c>
      <c r="H20" s="89">
        <f t="shared" si="76"/>
        <v>0.02</v>
      </c>
      <c r="I20" s="83">
        <f t="shared" si="107"/>
        <v>263.54226399999999</v>
      </c>
      <c r="J20" s="306">
        <f>'EF peternakan'!$C$32</f>
        <v>0.01</v>
      </c>
      <c r="K20" s="85">
        <f t="shared" si="0"/>
        <v>4.1413784342857136</v>
      </c>
      <c r="S20" s="290"/>
      <c r="T20" s="291" t="s">
        <v>75</v>
      </c>
      <c r="U20" s="86">
        <f t="shared" si="1"/>
        <v>263.54226399999999</v>
      </c>
      <c r="V20" s="9"/>
      <c r="W20" s="9"/>
      <c r="X20" s="9"/>
      <c r="Y20" s="96"/>
      <c r="AB20" s="290"/>
      <c r="AC20" s="291" t="s">
        <v>75</v>
      </c>
      <c r="AD20" s="86">
        <f t="shared" si="79"/>
        <v>22367</v>
      </c>
      <c r="AE20" s="87">
        <f>'EF peternakan'!$G$13</f>
        <v>0.83</v>
      </c>
      <c r="AF20" s="87">
        <f>'EF peternakan'!$H$13</f>
        <v>2</v>
      </c>
      <c r="AG20" s="91">
        <f t="shared" si="4"/>
        <v>0.60589999999999999</v>
      </c>
      <c r="AH20" s="89">
        <f t="shared" si="5"/>
        <v>0.02</v>
      </c>
      <c r="AI20" s="83">
        <f t="shared" si="6"/>
        <v>271.04330600000003</v>
      </c>
      <c r="AJ20" s="306">
        <f>'EF peternakan'!$C$32</f>
        <v>0.01</v>
      </c>
      <c r="AK20" s="85">
        <f t="shared" si="7"/>
        <v>4.2592519514285714</v>
      </c>
      <c r="AS20" s="290"/>
      <c r="AT20" s="291" t="s">
        <v>75</v>
      </c>
      <c r="AU20" s="86">
        <f t="shared" si="111"/>
        <v>271.04330600000003</v>
      </c>
      <c r="AV20" s="9"/>
      <c r="AW20" s="9"/>
      <c r="AX20" s="9"/>
      <c r="AY20" s="96"/>
      <c r="BB20" s="290"/>
      <c r="BC20" s="291" t="s">
        <v>75</v>
      </c>
      <c r="BD20" s="44">
        <f t="shared" si="124"/>
        <v>23005</v>
      </c>
      <c r="BE20" s="87">
        <f>'EF peternakan'!$G$13</f>
        <v>0.83</v>
      </c>
      <c r="BF20" s="87">
        <f>'EF peternakan'!$H$13</f>
        <v>2</v>
      </c>
      <c r="BG20" s="91">
        <f t="shared" si="112"/>
        <v>0.60589999999999999</v>
      </c>
      <c r="BH20" s="89">
        <f t="shared" si="113"/>
        <v>0.02</v>
      </c>
      <c r="BI20" s="83">
        <f t="shared" si="108"/>
        <v>278.77458999999999</v>
      </c>
      <c r="BJ20" s="306">
        <f>'EF peternakan'!$C$32</f>
        <v>0.01</v>
      </c>
      <c r="BK20" s="85">
        <f t="shared" si="13"/>
        <v>4.380743557142857</v>
      </c>
      <c r="BS20" s="290"/>
      <c r="BT20" s="291" t="s">
        <v>75</v>
      </c>
      <c r="BU20" s="86">
        <f t="shared" si="114"/>
        <v>278.77458999999999</v>
      </c>
      <c r="BV20" s="9"/>
      <c r="BW20" s="9"/>
      <c r="BX20" s="9"/>
      <c r="BY20" s="96"/>
      <c r="CB20" s="290"/>
      <c r="CC20" s="291" t="s">
        <v>75</v>
      </c>
      <c r="CD20" s="86">
        <f t="shared" si="125"/>
        <v>23661</v>
      </c>
      <c r="CE20" s="87">
        <f>'EF peternakan'!$G$13</f>
        <v>0.83</v>
      </c>
      <c r="CF20" s="87">
        <f>'EF peternakan'!$H$13</f>
        <v>2</v>
      </c>
      <c r="CG20" s="91">
        <f t="shared" si="17"/>
        <v>0.60589999999999999</v>
      </c>
      <c r="CH20" s="89">
        <f t="shared" si="18"/>
        <v>0.02</v>
      </c>
      <c r="CI20" s="83">
        <f t="shared" si="115"/>
        <v>286.72399799999999</v>
      </c>
      <c r="CJ20" s="306">
        <f>'EF peternakan'!$C$32</f>
        <v>0.01</v>
      </c>
      <c r="CK20" s="85">
        <f t="shared" si="20"/>
        <v>4.5056628257142854</v>
      </c>
      <c r="CS20" s="290"/>
      <c r="CT20" s="291" t="s">
        <v>75</v>
      </c>
      <c r="CU20" s="86">
        <f t="shared" si="116"/>
        <v>286.72399799999999</v>
      </c>
      <c r="CV20" s="9"/>
      <c r="CW20" s="9"/>
      <c r="CX20" s="9"/>
      <c r="CY20" s="96"/>
      <c r="DB20" s="290"/>
      <c r="DC20" s="291" t="s">
        <v>75</v>
      </c>
      <c r="DD20" s="44">
        <f t="shared" si="126"/>
        <v>22679</v>
      </c>
      <c r="DE20" s="87">
        <f>'EF peternakan'!$G$13</f>
        <v>0.83</v>
      </c>
      <c r="DF20" s="87">
        <f>'EF peternakan'!$H$13</f>
        <v>2</v>
      </c>
      <c r="DG20" s="91">
        <f t="shared" si="24"/>
        <v>0.60589999999999999</v>
      </c>
      <c r="DH20" s="89">
        <f t="shared" si="25"/>
        <v>0.02</v>
      </c>
      <c r="DI20" s="83">
        <f t="shared" si="26"/>
        <v>274.82412199999999</v>
      </c>
      <c r="DJ20" s="306">
        <f>'EF peternakan'!$C$32</f>
        <v>0.01</v>
      </c>
      <c r="DK20" s="85">
        <f t="shared" si="117"/>
        <v>4.3186647742857147</v>
      </c>
      <c r="DS20" s="290"/>
      <c r="DT20" s="291" t="s">
        <v>75</v>
      </c>
      <c r="DU20" s="86">
        <f t="shared" si="118"/>
        <v>274.82412199999999</v>
      </c>
      <c r="DV20" s="9"/>
      <c r="DW20" s="9"/>
      <c r="DX20" s="9"/>
      <c r="DY20" s="96"/>
      <c r="EB20" s="290"/>
      <c r="EC20" s="291" t="s">
        <v>75</v>
      </c>
      <c r="ED20" s="86">
        <f t="shared" si="91"/>
        <v>23325</v>
      </c>
      <c r="EE20" s="87">
        <f>'EF peternakan'!$G$13</f>
        <v>0.83</v>
      </c>
      <c r="EF20" s="87">
        <f>'EF peternakan'!$H$13</f>
        <v>2</v>
      </c>
      <c r="EG20" s="91">
        <f t="shared" si="31"/>
        <v>0.60589999999999999</v>
      </c>
      <c r="EH20" s="89">
        <f t="shared" si="32"/>
        <v>0.02</v>
      </c>
      <c r="EI20" s="83">
        <f t="shared" si="33"/>
        <v>282.65235000000001</v>
      </c>
      <c r="EJ20" s="306">
        <f>'EF peternakan'!$C$32</f>
        <v>0.01</v>
      </c>
      <c r="EK20" s="85">
        <f t="shared" si="34"/>
        <v>4.4416797857142853</v>
      </c>
      <c r="ES20" s="290"/>
      <c r="ET20" s="291" t="s">
        <v>75</v>
      </c>
      <c r="EU20" s="86">
        <f t="shared" si="110"/>
        <v>282.65235000000001</v>
      </c>
      <c r="EV20" s="9"/>
      <c r="EW20" s="9"/>
      <c r="EX20" s="9"/>
      <c r="EY20" s="96"/>
      <c r="FB20" s="290"/>
      <c r="FC20" s="291" t="s">
        <v>75</v>
      </c>
      <c r="FD20" s="86">
        <f t="shared" si="93"/>
        <v>23990</v>
      </c>
      <c r="FE20" s="87">
        <f>'EF peternakan'!$G$13</f>
        <v>0.83</v>
      </c>
      <c r="FF20" s="87">
        <f>'EF peternakan'!$H$13</f>
        <v>2</v>
      </c>
      <c r="FG20" s="91">
        <f t="shared" si="38"/>
        <v>0.60589999999999999</v>
      </c>
      <c r="FH20" s="89">
        <f t="shared" si="39"/>
        <v>0.02</v>
      </c>
      <c r="FI20" s="83">
        <f t="shared" si="119"/>
        <v>290.71082000000001</v>
      </c>
      <c r="FJ20" s="306">
        <f>'EF peternakan'!$C$32</f>
        <v>0.01</v>
      </c>
      <c r="FK20" s="85">
        <f t="shared" si="120"/>
        <v>4.5683128857142856</v>
      </c>
      <c r="FS20" s="290"/>
      <c r="FT20" s="291" t="s">
        <v>75</v>
      </c>
      <c r="FU20" s="86">
        <f t="shared" si="94"/>
        <v>290.71082000000001</v>
      </c>
      <c r="FV20" s="9"/>
      <c r="FW20" s="9"/>
      <c r="FX20" s="9"/>
      <c r="FY20" s="96"/>
      <c r="GB20" s="290"/>
      <c r="GC20" s="291" t="s">
        <v>75</v>
      </c>
      <c r="GD20" s="86">
        <f t="shared" si="97"/>
        <v>24674</v>
      </c>
      <c r="GE20" s="87">
        <f>'EF peternakan'!$G$13</f>
        <v>0.83</v>
      </c>
      <c r="GF20" s="87">
        <f>'EF peternakan'!$H$13</f>
        <v>2</v>
      </c>
      <c r="GG20" s="91">
        <f t="shared" si="44"/>
        <v>0.60589999999999999</v>
      </c>
      <c r="GH20" s="89">
        <f t="shared" si="45"/>
        <v>0.02</v>
      </c>
      <c r="GI20" s="83">
        <f t="shared" si="121"/>
        <v>298.99953199999999</v>
      </c>
      <c r="GJ20" s="306">
        <f>'EF peternakan'!$C$32</f>
        <v>0.01</v>
      </c>
      <c r="GK20" s="85">
        <f t="shared" si="122"/>
        <v>4.6985640742857138</v>
      </c>
      <c r="GS20" s="290"/>
      <c r="GT20" s="291" t="s">
        <v>75</v>
      </c>
      <c r="GU20" s="86">
        <f t="shared" si="48"/>
        <v>298.99953199999999</v>
      </c>
      <c r="GV20" s="9"/>
      <c r="GW20" s="9"/>
      <c r="GX20" s="9"/>
      <c r="GY20" s="96"/>
      <c r="HB20" s="290"/>
      <c r="HC20" s="291" t="s">
        <v>75</v>
      </c>
      <c r="HD20" s="86">
        <f t="shared" si="99"/>
        <v>25377</v>
      </c>
      <c r="HE20" s="87">
        <f>'EF peternakan'!$G$13</f>
        <v>0.83</v>
      </c>
      <c r="HF20" s="87">
        <f>'EF peternakan'!$H$13</f>
        <v>2</v>
      </c>
      <c r="HG20" s="91">
        <f t="shared" si="52"/>
        <v>0.60589999999999999</v>
      </c>
      <c r="HH20" s="89">
        <f t="shared" si="53"/>
        <v>0.02</v>
      </c>
      <c r="HI20" s="83">
        <f t="shared" si="54"/>
        <v>307.518486</v>
      </c>
      <c r="HJ20" s="306">
        <f>'EF peternakan'!$C$32</f>
        <v>0.01</v>
      </c>
      <c r="HK20" s="85">
        <f t="shared" si="55"/>
        <v>4.8324333514285716</v>
      </c>
      <c r="HS20" s="290"/>
      <c r="HT20" s="291" t="s">
        <v>75</v>
      </c>
      <c r="HU20" s="86">
        <f t="shared" si="100"/>
        <v>307.518486</v>
      </c>
      <c r="HV20" s="9"/>
      <c r="HW20" s="9"/>
      <c r="HX20" s="9"/>
      <c r="HY20" s="96"/>
      <c r="IB20" s="290"/>
      <c r="IC20" s="291" t="s">
        <v>75</v>
      </c>
      <c r="ID20" s="86">
        <f t="shared" si="102"/>
        <v>26100</v>
      </c>
      <c r="IE20" s="87">
        <f>'EF peternakan'!$G$13</f>
        <v>0.83</v>
      </c>
      <c r="IF20" s="87">
        <f>'EF peternakan'!$H$13</f>
        <v>2</v>
      </c>
      <c r="IG20" s="91">
        <f t="shared" si="59"/>
        <v>0.60589999999999999</v>
      </c>
      <c r="IH20" s="89">
        <f t="shared" si="60"/>
        <v>0.02</v>
      </c>
      <c r="II20" s="83">
        <f t="shared" si="61"/>
        <v>316.27980000000002</v>
      </c>
      <c r="IJ20" s="306">
        <f>'EF peternakan'!$C$32</f>
        <v>0.01</v>
      </c>
      <c r="IK20" s="85">
        <f t="shared" si="62"/>
        <v>4.9701111428571432</v>
      </c>
      <c r="IS20" s="290"/>
      <c r="IT20" s="291" t="s">
        <v>75</v>
      </c>
      <c r="IU20" s="86">
        <f t="shared" si="63"/>
        <v>316.27980000000002</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2235</v>
      </c>
      <c r="E21" s="87">
        <f>'EF peternakan'!$G$7</f>
        <v>0.5</v>
      </c>
      <c r="F21" s="293">
        <f>'EF peternakan'!$H$7</f>
        <v>100</v>
      </c>
      <c r="G21" s="9">
        <f t="shared" si="106"/>
        <v>18.25</v>
      </c>
      <c r="H21" s="89">
        <f t="shared" si="76"/>
        <v>0.02</v>
      </c>
      <c r="I21" s="83">
        <f>D21*G21*H21</f>
        <v>815.77499999999998</v>
      </c>
      <c r="J21" s="88">
        <v>0.02</v>
      </c>
      <c r="K21" s="85">
        <f t="shared" si="0"/>
        <v>25.638642857142855</v>
      </c>
      <c r="S21" s="290"/>
      <c r="T21" s="270" t="s">
        <v>66</v>
      </c>
      <c r="U21" s="86">
        <f t="shared" si="1"/>
        <v>815.77499999999998</v>
      </c>
      <c r="V21" s="9"/>
      <c r="W21" s="9"/>
      <c r="X21" s="9"/>
      <c r="Y21" s="96"/>
      <c r="AB21" s="290"/>
      <c r="AC21" s="270" t="s">
        <v>66</v>
      </c>
      <c r="AD21" s="86">
        <f>D49</f>
        <v>2566</v>
      </c>
      <c r="AE21" s="87">
        <f>'EF peternakan'!$G$7</f>
        <v>0.5</v>
      </c>
      <c r="AF21" s="87">
        <f>'EF peternakan'!$H$7</f>
        <v>100</v>
      </c>
      <c r="AG21" s="91">
        <f t="shared" si="4"/>
        <v>18.25</v>
      </c>
      <c r="AH21" s="89">
        <f t="shared" si="5"/>
        <v>0.02</v>
      </c>
      <c r="AI21" s="83">
        <f>AD21*AG21*AH21</f>
        <v>936.59</v>
      </c>
      <c r="AJ21" s="88">
        <v>0.02</v>
      </c>
      <c r="AK21" s="85">
        <f t="shared" si="7"/>
        <v>29.435685714285714</v>
      </c>
      <c r="AS21" s="290"/>
      <c r="AT21" s="270" t="s">
        <v>66</v>
      </c>
      <c r="AU21" s="86">
        <f>AI21</f>
        <v>936.59</v>
      </c>
      <c r="AV21" s="9"/>
      <c r="AW21" s="9"/>
      <c r="AX21" s="9"/>
      <c r="AY21" s="96"/>
      <c r="BB21" s="290"/>
      <c r="BC21" s="270" t="s">
        <v>66</v>
      </c>
      <c r="BD21" s="44">
        <f>E49</f>
        <v>2947</v>
      </c>
      <c r="BE21" s="87">
        <f>'EF peternakan'!$G$7</f>
        <v>0.5</v>
      </c>
      <c r="BF21" s="87">
        <f>'EF peternakan'!$H$7</f>
        <v>100</v>
      </c>
      <c r="BG21" s="91">
        <f t="shared" si="112"/>
        <v>18.25</v>
      </c>
      <c r="BH21" s="89">
        <f t="shared" si="113"/>
        <v>0.02</v>
      </c>
      <c r="BI21" s="83">
        <f t="shared" si="108"/>
        <v>1075.655</v>
      </c>
      <c r="BJ21" s="88">
        <v>0.02</v>
      </c>
      <c r="BK21" s="85">
        <f t="shared" si="13"/>
        <v>33.8063</v>
      </c>
      <c r="BS21" s="290"/>
      <c r="BT21" s="270" t="s">
        <v>66</v>
      </c>
      <c r="BU21" s="86">
        <f t="shared" si="114"/>
        <v>1075.655</v>
      </c>
      <c r="BV21" s="9"/>
      <c r="BW21" s="9"/>
      <c r="BX21" s="9"/>
      <c r="BY21" s="96"/>
      <c r="CB21" s="290"/>
      <c r="CC21" s="270" t="s">
        <v>66</v>
      </c>
      <c r="CD21" s="86">
        <f>F49</f>
        <v>3883</v>
      </c>
      <c r="CE21" s="87">
        <f>'EF peternakan'!$G$7</f>
        <v>0.5</v>
      </c>
      <c r="CF21" s="87">
        <f>'EF peternakan'!$H$7</f>
        <v>100</v>
      </c>
      <c r="CG21" s="91">
        <f t="shared" si="17"/>
        <v>18.25</v>
      </c>
      <c r="CH21" s="89">
        <f t="shared" si="18"/>
        <v>0.02</v>
      </c>
      <c r="CI21" s="83">
        <f t="shared" si="115"/>
        <v>1417.2950000000001</v>
      </c>
      <c r="CJ21" s="88">
        <v>0.02</v>
      </c>
      <c r="CK21" s="85">
        <f t="shared" si="20"/>
        <v>44.543557142857139</v>
      </c>
      <c r="CS21" s="290"/>
      <c r="CT21" s="270" t="s">
        <v>66</v>
      </c>
      <c r="CU21" s="86">
        <f t="shared" si="116"/>
        <v>1417.2950000000001</v>
      </c>
      <c r="CV21" s="9"/>
      <c r="CW21" s="9"/>
      <c r="CX21" s="9"/>
      <c r="CY21" s="96"/>
      <c r="DB21" s="290"/>
      <c r="DC21" s="270" t="s">
        <v>66</v>
      </c>
      <c r="DD21" s="44">
        <f t="shared" si="126"/>
        <v>3885</v>
      </c>
      <c r="DE21" s="87">
        <f>'EF peternakan'!$G$7</f>
        <v>0.5</v>
      </c>
      <c r="DF21" s="87">
        <f>'EF peternakan'!$H$7</f>
        <v>100</v>
      </c>
      <c r="DG21" s="91">
        <f t="shared" si="24"/>
        <v>18.25</v>
      </c>
      <c r="DH21" s="89">
        <f t="shared" si="25"/>
        <v>0.02</v>
      </c>
      <c r="DI21" s="83">
        <f t="shared" si="26"/>
        <v>1418.0250000000001</v>
      </c>
      <c r="DJ21" s="88">
        <v>0.02</v>
      </c>
      <c r="DK21" s="85">
        <f t="shared" si="117"/>
        <v>44.566500000000005</v>
      </c>
      <c r="DS21" s="290"/>
      <c r="DT21" s="270" t="s">
        <v>66</v>
      </c>
      <c r="DU21" s="86">
        <f t="shared" si="118"/>
        <v>1418.0250000000001</v>
      </c>
      <c r="DV21" s="9"/>
      <c r="DW21" s="9"/>
      <c r="DX21" s="9"/>
      <c r="DY21" s="96"/>
      <c r="EB21" s="290"/>
      <c r="EC21" s="270" t="s">
        <v>66</v>
      </c>
      <c r="ED21" s="86">
        <f t="shared" si="91"/>
        <v>4461</v>
      </c>
      <c r="EE21" s="87">
        <f>'EF peternakan'!$G$7</f>
        <v>0.5</v>
      </c>
      <c r="EF21" s="87">
        <f>'EF peternakan'!$H$7</f>
        <v>100</v>
      </c>
      <c r="EG21" s="91">
        <f t="shared" si="31"/>
        <v>18.25</v>
      </c>
      <c r="EH21" s="89">
        <f t="shared" si="32"/>
        <v>0.02</v>
      </c>
      <c r="EI21" s="83">
        <f t="shared" si="33"/>
        <v>1628.2650000000001</v>
      </c>
      <c r="EJ21" s="88">
        <v>0.02</v>
      </c>
      <c r="EK21" s="85">
        <f t="shared" si="34"/>
        <v>51.174042857142858</v>
      </c>
      <c r="ES21" s="290"/>
      <c r="ET21" s="270" t="s">
        <v>66</v>
      </c>
      <c r="EU21" s="86">
        <f t="shared" si="110"/>
        <v>1628.2650000000001</v>
      </c>
      <c r="EV21" s="9"/>
      <c r="EW21" s="9"/>
      <c r="EX21" s="9"/>
      <c r="EY21" s="96"/>
      <c r="FB21" s="290"/>
      <c r="FC21" s="270" t="s">
        <v>66</v>
      </c>
      <c r="FD21" s="86">
        <f t="shared" si="93"/>
        <v>5122</v>
      </c>
      <c r="FE21" s="87">
        <f>'EF peternakan'!$G$7</f>
        <v>0.5</v>
      </c>
      <c r="FF21" s="87">
        <f>'EF peternakan'!$H$7</f>
        <v>100</v>
      </c>
      <c r="FG21" s="91">
        <f t="shared" si="38"/>
        <v>18.25</v>
      </c>
      <c r="FH21" s="89">
        <f t="shared" si="39"/>
        <v>0.02</v>
      </c>
      <c r="FI21" s="83">
        <f t="shared" si="119"/>
        <v>1869.53</v>
      </c>
      <c r="FJ21" s="88">
        <v>0.02</v>
      </c>
      <c r="FK21" s="85">
        <f t="shared" si="120"/>
        <v>58.756657142857144</v>
      </c>
      <c r="FS21" s="290"/>
      <c r="FT21" s="270" t="s">
        <v>66</v>
      </c>
      <c r="FU21" s="86">
        <f t="shared" si="94"/>
        <v>1869.53</v>
      </c>
      <c r="FV21" s="9"/>
      <c r="FW21" s="9"/>
      <c r="FX21" s="9"/>
      <c r="FY21" s="96"/>
      <c r="GB21" s="290"/>
      <c r="GC21" s="270" t="s">
        <v>66</v>
      </c>
      <c r="GD21" s="86">
        <f t="shared" si="97"/>
        <v>5881</v>
      </c>
      <c r="GE21" s="87">
        <f>'EF peternakan'!$G$7</f>
        <v>0.5</v>
      </c>
      <c r="GF21" s="87">
        <f>'EF peternakan'!$H$7</f>
        <v>100</v>
      </c>
      <c r="GG21" s="91">
        <f t="shared" si="44"/>
        <v>18.25</v>
      </c>
      <c r="GH21" s="89">
        <f t="shared" si="45"/>
        <v>0.02</v>
      </c>
      <c r="GI21" s="83">
        <f t="shared" si="121"/>
        <v>2146.5650000000001</v>
      </c>
      <c r="GJ21" s="88">
        <v>0.02</v>
      </c>
      <c r="GK21" s="85">
        <f t="shared" si="122"/>
        <v>67.463471428571424</v>
      </c>
      <c r="GS21" s="290"/>
      <c r="GT21" s="270" t="s">
        <v>66</v>
      </c>
      <c r="GU21" s="86">
        <f t="shared" si="48"/>
        <v>2146.5650000000001</v>
      </c>
      <c r="GV21" s="9"/>
      <c r="GW21" s="9"/>
      <c r="GX21" s="9"/>
      <c r="GY21" s="96"/>
      <c r="HB21" s="290"/>
      <c r="HC21" s="270" t="s">
        <v>66</v>
      </c>
      <c r="HD21" s="86">
        <f t="shared" si="99"/>
        <v>6752</v>
      </c>
      <c r="HE21" s="87">
        <f>'EF peternakan'!$G$7</f>
        <v>0.5</v>
      </c>
      <c r="HF21" s="87">
        <f>'EF peternakan'!$H$7</f>
        <v>100</v>
      </c>
      <c r="HG21" s="91">
        <f t="shared" si="52"/>
        <v>18.25</v>
      </c>
      <c r="HH21" s="89">
        <f t="shared" si="53"/>
        <v>0.02</v>
      </c>
      <c r="HI21" s="83">
        <f t="shared" si="54"/>
        <v>2464.48</v>
      </c>
      <c r="HJ21" s="88">
        <v>0.02</v>
      </c>
      <c r="HK21" s="85">
        <f t="shared" si="55"/>
        <v>77.455085714285715</v>
      </c>
      <c r="HS21" s="290"/>
      <c r="HT21" s="270" t="s">
        <v>66</v>
      </c>
      <c r="HU21" s="86">
        <f t="shared" si="100"/>
        <v>2464.48</v>
      </c>
      <c r="HV21" s="9"/>
      <c r="HW21" s="9"/>
      <c r="HX21" s="9"/>
      <c r="HY21" s="96"/>
      <c r="IB21" s="290"/>
      <c r="IC21" s="270" t="s">
        <v>66</v>
      </c>
      <c r="ID21" s="86">
        <f t="shared" si="102"/>
        <v>7753</v>
      </c>
      <c r="IE21" s="87">
        <f>'EF peternakan'!$G$7</f>
        <v>0.5</v>
      </c>
      <c r="IF21" s="87">
        <f>'EF peternakan'!$H$7</f>
        <v>100</v>
      </c>
      <c r="IG21" s="91">
        <f t="shared" si="59"/>
        <v>18.25</v>
      </c>
      <c r="IH21" s="89">
        <f t="shared" si="60"/>
        <v>0.02</v>
      </c>
      <c r="II21" s="83">
        <f t="shared" si="61"/>
        <v>2829.8450000000003</v>
      </c>
      <c r="IJ21" s="88">
        <v>0.02</v>
      </c>
      <c r="IK21" s="85">
        <f t="shared" si="62"/>
        <v>88.937985714285716</v>
      </c>
      <c r="IS21" s="290"/>
      <c r="IT21" s="270" t="s">
        <v>66</v>
      </c>
      <c r="IU21" s="86">
        <f t="shared" si="63"/>
        <v>2829.8450000000003</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21" t="s">
        <v>76</v>
      </c>
      <c r="C23" s="422"/>
      <c r="D23" s="295">
        <f>SUM(D11:D21)</f>
        <v>2241072.5266384147</v>
      </c>
      <c r="E23" s="296"/>
      <c r="F23" s="295">
        <f>SUM(F11:F21)</f>
        <v>1593</v>
      </c>
      <c r="G23" s="295">
        <f>SUM(G11:G21)</f>
        <v>269.95035000000007</v>
      </c>
      <c r="H23" s="297"/>
      <c r="I23" s="298">
        <f>SUM(I11:I21)</f>
        <v>50419.2884631364</v>
      </c>
      <c r="J23" s="297"/>
      <c r="K23" s="299">
        <f>SUM(K11:K21)</f>
        <v>1061.9842722071439</v>
      </c>
      <c r="S23" s="421" t="s">
        <v>76</v>
      </c>
      <c r="T23" s="423"/>
      <c r="U23" s="45">
        <f>SUM(U11:U21)</f>
        <v>50419.2884631364</v>
      </c>
      <c r="V23" s="101"/>
      <c r="W23" s="45">
        <f>SUM(W11:W21)</f>
        <v>4197.0359337409154</v>
      </c>
      <c r="X23" s="101"/>
      <c r="Y23" s="97">
        <f>SUM(Y11:Y22)</f>
        <v>65.953421815928678</v>
      </c>
      <c r="AB23" s="421" t="s">
        <v>76</v>
      </c>
      <c r="AC23" s="422"/>
      <c r="AD23" s="45">
        <f>SUM(AD11:AD21)</f>
        <v>2202393.5772660463</v>
      </c>
      <c r="AE23" s="50"/>
      <c r="AF23" s="295">
        <f>SUM(AF11:AF21)</f>
        <v>1593</v>
      </c>
      <c r="AG23" s="295">
        <f>SUM(AG11:AG21)</f>
        <v>269.95035000000007</v>
      </c>
      <c r="AH23" s="297"/>
      <c r="AI23" s="298">
        <f>SUM(AI11:AI21)</f>
        <v>50755.388663581798</v>
      </c>
      <c r="AJ23" s="297"/>
      <c r="AK23" s="299">
        <f>SUM(AK11:AK21)</f>
        <v>1083.5296370982849</v>
      </c>
      <c r="AS23" s="421" t="s">
        <v>76</v>
      </c>
      <c r="AT23" s="423"/>
      <c r="AU23" s="45">
        <f>SUM(AU11:AU21)</f>
        <v>50755.388663581798</v>
      </c>
      <c r="AV23" s="101"/>
      <c r="AW23" s="45">
        <f>SUM(AW11:AW21)</f>
        <v>4472.733508074537</v>
      </c>
      <c r="AX23" s="101"/>
      <c r="AY23" s="97">
        <f>SUM(AY11:AY22)</f>
        <v>70.285812269742721</v>
      </c>
      <c r="BB23" s="421" t="s">
        <v>76</v>
      </c>
      <c r="BC23" s="422"/>
      <c r="BD23" s="45">
        <f>SUM(BD11:BD21)</f>
        <v>2164972.6278936779</v>
      </c>
      <c r="BE23" s="50"/>
      <c r="BF23" s="99">
        <f>SUM(BF11:BF21)</f>
        <v>1593</v>
      </c>
      <c r="BG23" s="301">
        <f>SUM(BG11:BG21)</f>
        <v>269.95035000000007</v>
      </c>
      <c r="BH23" s="100"/>
      <c r="BI23" s="52">
        <f>SUM(BI11:BI21)</f>
        <v>51129.275562027207</v>
      </c>
      <c r="BJ23" s="100"/>
      <c r="BK23" s="53">
        <f>SUM(BK11:BK21)</f>
        <v>1105.928391386569</v>
      </c>
      <c r="BS23" s="421" t="s">
        <v>76</v>
      </c>
      <c r="BT23" s="423"/>
      <c r="BU23" s="45">
        <f>SUM(BU11:BU21)</f>
        <v>51129.275562027207</v>
      </c>
      <c r="BV23" s="101"/>
      <c r="BW23" s="45">
        <f>SUM(BW11:BW21)</f>
        <v>4748.4310824081604</v>
      </c>
      <c r="BX23" s="101"/>
      <c r="BY23" s="97">
        <f>SUM(BY11:BY22)</f>
        <v>74.618202723556806</v>
      </c>
      <c r="CB23" s="421" t="s">
        <v>76</v>
      </c>
      <c r="CC23" s="422"/>
      <c r="CD23" s="45">
        <f>SUM(CD11:CD21)</f>
        <v>2129741.6785213095</v>
      </c>
      <c r="CE23" s="50"/>
      <c r="CF23" s="99">
        <f>SUM(CF11:CF21)</f>
        <v>1593</v>
      </c>
      <c r="CG23" s="301">
        <f>SUM(CG11:CG21)</f>
        <v>269.95035000000007</v>
      </c>
      <c r="CH23" s="100"/>
      <c r="CI23" s="52">
        <f>SUM(CI11:CI21)</f>
        <v>51732.180396472548</v>
      </c>
      <c r="CJ23" s="100"/>
      <c r="CK23" s="53">
        <f>SUM(CK11:CK21)</f>
        <v>1135.1140466119946</v>
      </c>
      <c r="CS23" s="421" t="s">
        <v>76</v>
      </c>
      <c r="CT23" s="423"/>
      <c r="CU23" s="45">
        <f>SUM(CU11:CU21)</f>
        <v>51732.180396472548</v>
      </c>
      <c r="CV23" s="101"/>
      <c r="CW23" s="45">
        <f>SUM(CW11:CW21)</f>
        <v>5024.1286567417637</v>
      </c>
      <c r="CX23" s="101"/>
      <c r="CY23" s="97">
        <f>SUM(CY11:CY22)</f>
        <v>78.950593177370578</v>
      </c>
      <c r="DB23" s="421" t="s">
        <v>76</v>
      </c>
      <c r="DC23" s="422"/>
      <c r="DD23" s="45">
        <f>SUM(DD11:DD21)</f>
        <v>2078594.7291489411</v>
      </c>
      <c r="DE23" s="50"/>
      <c r="DF23" s="99">
        <f>SUM(DF11:DF21)</f>
        <v>1593</v>
      </c>
      <c r="DG23" s="301">
        <f>SUM(DG11:DG21)</f>
        <v>269.95035000000007</v>
      </c>
      <c r="DH23" s="100"/>
      <c r="DI23" s="52">
        <f>SUM(DI11:DI21)</f>
        <v>51760.315058918022</v>
      </c>
      <c r="DJ23" s="100"/>
      <c r="DK23" s="53">
        <f>SUM(DK11:DK21)</f>
        <v>1149.9266167059948</v>
      </c>
      <c r="DS23" s="421" t="s">
        <v>76</v>
      </c>
      <c r="DT23" s="423"/>
      <c r="DU23" s="45">
        <f>SUM(DU11:DU21)</f>
        <v>51760.315058918022</v>
      </c>
      <c r="DV23" s="101"/>
      <c r="DW23" s="45">
        <f>SUM(DW11:DW21)</f>
        <v>5299.8262310754044</v>
      </c>
      <c r="DX23" s="101"/>
      <c r="DY23" s="97">
        <f>SUM(DY11:DY22)</f>
        <v>83.282983631184919</v>
      </c>
      <c r="EB23" s="421" t="s">
        <v>76</v>
      </c>
      <c r="EC23" s="422"/>
      <c r="ED23" s="45">
        <f>SUM(ED11:ED21)</f>
        <v>2321439.7797765727</v>
      </c>
      <c r="EE23" s="50"/>
      <c r="EF23" s="99">
        <f>SUM(EF11:EF21)</f>
        <v>1593</v>
      </c>
      <c r="EG23" s="301">
        <f>SUM(EG11:EG21)</f>
        <v>269.95035000000007</v>
      </c>
      <c r="EH23" s="100"/>
      <c r="EI23" s="52">
        <f>SUM(EI11:EI21)</f>
        <v>56701.773997363358</v>
      </c>
      <c r="EJ23" s="100"/>
      <c r="EK23" s="53">
        <f>SUM(EK11:EK21)</f>
        <v>1245.2231334514202</v>
      </c>
      <c r="ES23" s="421" t="s">
        <v>76</v>
      </c>
      <c r="ET23" s="423"/>
      <c r="EU23" s="45">
        <f>SUM(EU11:EU21)</f>
        <v>56701.773997363358</v>
      </c>
      <c r="EV23" s="101"/>
      <c r="EW23" s="45">
        <f>SUM(EW11:EW21)</f>
        <v>5575.5238054090087</v>
      </c>
      <c r="EX23" s="101"/>
      <c r="EY23" s="97">
        <f>SUM(EY11:EY22)</f>
        <v>87.615374084998706</v>
      </c>
      <c r="FB23" s="421" t="s">
        <v>76</v>
      </c>
      <c r="FC23" s="422"/>
      <c r="FD23" s="45">
        <f>SUM(FD11:FD21)</f>
        <v>2266185.8304042043</v>
      </c>
      <c r="FE23" s="50"/>
      <c r="FF23" s="99">
        <f>SUM(FF11:FF21)</f>
        <v>1593</v>
      </c>
      <c r="FG23" s="301">
        <f>SUM(FG11:FG21)</f>
        <v>269.95035000000007</v>
      </c>
      <c r="FH23" s="100"/>
      <c r="FI23" s="298">
        <f>SUM(FI11:FI21)</f>
        <v>56884.985333808771</v>
      </c>
      <c r="FJ23" s="100"/>
      <c r="FK23" s="299">
        <f>SUM(FK11:FK21)</f>
        <v>1266.2461720797044</v>
      </c>
      <c r="FS23" s="421" t="s">
        <v>76</v>
      </c>
      <c r="FT23" s="423"/>
      <c r="FU23" s="45">
        <f>SUM(FU11:FU21)</f>
        <v>56884.985333808771</v>
      </c>
      <c r="FV23" s="101"/>
      <c r="FW23" s="45">
        <f>SUM(FW11:FW21)</f>
        <v>5851.2213797426302</v>
      </c>
      <c r="FX23" s="101"/>
      <c r="FY23" s="97">
        <f>SUM(FY11:FY22)</f>
        <v>91.947764538812763</v>
      </c>
      <c r="GB23" s="421" t="s">
        <v>76</v>
      </c>
      <c r="GC23" s="422"/>
      <c r="GD23" s="45">
        <f>SUM(GD11:GD21)</f>
        <v>2390651.8810318359</v>
      </c>
      <c r="GE23" s="50"/>
      <c r="GF23" s="99">
        <f>SUM(GF11:GF21)</f>
        <v>1593</v>
      </c>
      <c r="GG23" s="301">
        <f>SUM(GG11:GG21)</f>
        <v>269.95035000000007</v>
      </c>
      <c r="GH23" s="100"/>
      <c r="GI23" s="52">
        <f>SUM(GI11:GI21)</f>
        <v>59986.048280254123</v>
      </c>
      <c r="GJ23" s="100"/>
      <c r="GK23" s="53">
        <f>SUM(GK11:GK21)</f>
        <v>1333.6596793222723</v>
      </c>
      <c r="GS23" s="421" t="s">
        <v>76</v>
      </c>
      <c r="GT23" s="423"/>
      <c r="GU23" s="45">
        <f>SUM(GU11:GU21)</f>
        <v>59986.048280254123</v>
      </c>
      <c r="GV23" s="101"/>
      <c r="GW23" s="45">
        <f>SUM(GW11:GW21)</f>
        <v>6126.9189540762354</v>
      </c>
      <c r="GX23" s="101"/>
      <c r="GY23" s="97">
        <f>SUM(GY11:GY22)</f>
        <v>96.280154992626549</v>
      </c>
      <c r="HB23" s="421" t="s">
        <v>76</v>
      </c>
      <c r="HC23" s="422"/>
      <c r="HD23" s="45">
        <f>SUM(HD11:HD21)</f>
        <v>2351670.9316594675</v>
      </c>
      <c r="HE23" s="50"/>
      <c r="HF23" s="99">
        <f>SUM(HF11:HF21)</f>
        <v>1593</v>
      </c>
      <c r="HG23" s="301">
        <f>SUM(HG11:HG21)</f>
        <v>269.95035000000007</v>
      </c>
      <c r="HH23" s="100"/>
      <c r="HI23" s="52">
        <f>SUM(HI11:HI21)</f>
        <v>60500.682536699525</v>
      </c>
      <c r="HJ23" s="100"/>
      <c r="HK23" s="53">
        <f>SUM(HK11:HK21)</f>
        <v>1361.0827197219853</v>
      </c>
      <c r="HS23" s="421" t="s">
        <v>76</v>
      </c>
      <c r="HT23" s="423"/>
      <c r="HU23" s="45">
        <f>SUM(HU11:HU21)</f>
        <v>60500.682536699525</v>
      </c>
      <c r="HV23" s="101"/>
      <c r="HW23" s="45">
        <f>SUM(HW11:HW21)</f>
        <v>6402.616528409857</v>
      </c>
      <c r="HX23" s="101"/>
      <c r="HY23" s="97">
        <f>SUM(HY11:HY22)</f>
        <v>100.61254544644061</v>
      </c>
      <c r="IB23" s="421" t="s">
        <v>76</v>
      </c>
      <c r="IC23" s="422"/>
      <c r="ID23" s="45">
        <f>SUM(ID11:ID21)</f>
        <v>2314839.9822870991</v>
      </c>
      <c r="IE23" s="50"/>
      <c r="IF23" s="99">
        <f>SUM(IF11:IF21)</f>
        <v>1593</v>
      </c>
      <c r="IG23" s="301">
        <f>SUM(IG11:IG21)</f>
        <v>269.95035000000007</v>
      </c>
      <c r="IH23" s="100"/>
      <c r="II23" s="52">
        <f>SUM(II11:II21)</f>
        <v>61092.930393144932</v>
      </c>
      <c r="IJ23" s="100"/>
      <c r="IK23" s="53">
        <f>SUM(IK11:IK21)</f>
        <v>1390.4548705502693</v>
      </c>
      <c r="IS23" s="421" t="s">
        <v>76</v>
      </c>
      <c r="IT23" s="423"/>
      <c r="IU23" s="45">
        <f>SUM(IU11:IU21)</f>
        <v>61092.930393144932</v>
      </c>
      <c r="IV23" s="101"/>
      <c r="IW23" s="45">
        <f>SUM(IW11:IW21)</f>
        <v>6678.3141027434804</v>
      </c>
      <c r="IX23" s="101"/>
      <c r="IY23" s="97">
        <f>SUM(IY11:IY22)</f>
        <v>104.94493590025469</v>
      </c>
      <c r="JB23" s="421" t="s">
        <v>76</v>
      </c>
      <c r="JC23" s="422"/>
      <c r="JD23" s="45">
        <f>SUM(JD11:JD21)</f>
        <v>0</v>
      </c>
      <c r="JE23" s="50"/>
      <c r="JF23" s="99">
        <f>SUM(JF11:JF21)</f>
        <v>1593</v>
      </c>
      <c r="JG23" s="301">
        <f>SUM(JG11:JG21)</f>
        <v>269.95035000000007</v>
      </c>
      <c r="JH23" s="100"/>
      <c r="JI23" s="52">
        <f>SUM(JI11:JI21)</f>
        <v>0</v>
      </c>
      <c r="JJ23" s="100"/>
      <c r="JK23" s="53">
        <f>SUM(JK11:JK21)</f>
        <v>0</v>
      </c>
      <c r="JS23" s="421" t="s">
        <v>76</v>
      </c>
      <c r="JT23" s="423"/>
      <c r="JU23" s="45">
        <f>SUM(JU11:JU21)</f>
        <v>0</v>
      </c>
      <c r="JV23" s="101"/>
      <c r="JW23" s="45">
        <f>SUM(JW11:JW21)</f>
        <v>0</v>
      </c>
      <c r="JX23" s="101"/>
      <c r="JY23" s="97">
        <f>SUM(JY11:JY22)</f>
        <v>0</v>
      </c>
    </row>
    <row r="25" spans="2:286" ht="16.5" customHeight="1" x14ac:dyDescent="0.35">
      <c r="B25" s="40"/>
      <c r="C25" s="33"/>
      <c r="D25" s="33"/>
      <c r="E25" s="199"/>
      <c r="F25" s="199"/>
      <c r="G25" s="199"/>
      <c r="H25" s="199"/>
      <c r="I25" s="424" t="s">
        <v>113</v>
      </c>
      <c r="J25" s="424"/>
      <c r="K25" t="s">
        <v>463</v>
      </c>
      <c r="S25" s="40"/>
      <c r="T25" s="33"/>
      <c r="U25" s="33"/>
      <c r="V25" s="54" t="s">
        <v>134</v>
      </c>
      <c r="W25" s="54" t="s">
        <v>136</v>
      </c>
      <c r="AB25" s="40"/>
      <c r="AC25" s="33"/>
      <c r="AD25" s="33"/>
      <c r="AE25" s="199"/>
      <c r="AF25" s="199"/>
      <c r="AG25" s="199"/>
      <c r="AH25" s="199"/>
      <c r="AI25" s="424" t="s">
        <v>113</v>
      </c>
      <c r="AJ25" s="424"/>
      <c r="AK25" t="s">
        <v>115</v>
      </c>
      <c r="AS25" s="40"/>
      <c r="AT25" s="33"/>
      <c r="AU25" s="33"/>
      <c r="AV25" s="199" t="s">
        <v>134</v>
      </c>
      <c r="AW25" s="199" t="s">
        <v>136</v>
      </c>
      <c r="BB25" s="40"/>
      <c r="BC25" s="33"/>
      <c r="BD25" s="33"/>
      <c r="BE25" s="199"/>
      <c r="BF25" s="199"/>
      <c r="BG25" s="199"/>
      <c r="BH25" s="199"/>
      <c r="BI25" s="424" t="s">
        <v>113</v>
      </c>
      <c r="BJ25" s="424"/>
      <c r="BK25" t="s">
        <v>115</v>
      </c>
      <c r="BS25" s="40"/>
      <c r="BT25" s="33"/>
      <c r="BU25" s="33"/>
      <c r="BV25" s="199" t="s">
        <v>134</v>
      </c>
      <c r="BW25" s="199" t="s">
        <v>136</v>
      </c>
      <c r="CB25" s="40"/>
      <c r="CC25" s="33"/>
      <c r="CD25" s="33"/>
      <c r="CE25" s="199"/>
      <c r="CF25" s="199"/>
      <c r="CG25" s="199"/>
      <c r="CH25" s="199"/>
      <c r="CI25" s="424" t="s">
        <v>113</v>
      </c>
      <c r="CJ25" s="424"/>
      <c r="CK25" t="s">
        <v>115</v>
      </c>
      <c r="CS25" s="40"/>
      <c r="CT25" s="33"/>
      <c r="CU25" s="33"/>
      <c r="CV25" s="199" t="s">
        <v>134</v>
      </c>
      <c r="CW25" s="199" t="s">
        <v>136</v>
      </c>
      <c r="DB25" s="40"/>
      <c r="DC25" s="33"/>
      <c r="DD25" s="33"/>
      <c r="DE25" s="199"/>
      <c r="DF25" s="199"/>
      <c r="DG25" s="199"/>
      <c r="DH25" s="199"/>
      <c r="DI25" s="424" t="s">
        <v>113</v>
      </c>
      <c r="DJ25" s="424"/>
      <c r="DK25" t="s">
        <v>115</v>
      </c>
      <c r="DS25" s="40"/>
      <c r="DT25" s="33"/>
      <c r="DU25" s="33"/>
      <c r="DV25" s="199" t="s">
        <v>134</v>
      </c>
      <c r="DW25" s="199" t="s">
        <v>136</v>
      </c>
      <c r="EB25" s="40"/>
      <c r="EC25" s="33"/>
      <c r="ED25" s="33"/>
      <c r="EE25" s="199"/>
      <c r="EF25" s="199"/>
      <c r="EG25" s="199"/>
      <c r="EH25" s="199"/>
      <c r="EI25" s="424" t="s">
        <v>113</v>
      </c>
      <c r="EJ25" s="424"/>
      <c r="EK25" t="s">
        <v>115</v>
      </c>
      <c r="ES25" s="40"/>
      <c r="ET25" s="33"/>
      <c r="EU25" s="33"/>
      <c r="EV25" s="199" t="s">
        <v>134</v>
      </c>
      <c r="EW25" s="199" t="s">
        <v>136</v>
      </c>
      <c r="FB25" s="40"/>
      <c r="FC25" s="33"/>
      <c r="FD25" s="33"/>
      <c r="FE25" s="199"/>
      <c r="FF25" s="199"/>
      <c r="FG25" s="199"/>
      <c r="FH25" s="199"/>
      <c r="FI25" s="424" t="s">
        <v>113</v>
      </c>
      <c r="FJ25" s="424"/>
      <c r="FK25" t="s">
        <v>115</v>
      </c>
      <c r="FS25" s="40"/>
      <c r="FT25" s="33"/>
      <c r="FU25" s="33"/>
      <c r="FV25" s="199" t="s">
        <v>134</v>
      </c>
      <c r="FW25" s="199" t="s">
        <v>136</v>
      </c>
      <c r="GB25" s="40"/>
      <c r="GC25" s="33"/>
      <c r="GD25" s="33"/>
      <c r="GE25" s="199"/>
      <c r="GF25" s="199"/>
      <c r="GG25" s="199"/>
      <c r="GH25" s="199"/>
      <c r="GI25" s="424" t="s">
        <v>113</v>
      </c>
      <c r="GJ25" s="424"/>
      <c r="GK25" t="s">
        <v>115</v>
      </c>
      <c r="GS25" s="40"/>
      <c r="GT25" s="33"/>
      <c r="GU25" s="33"/>
      <c r="GV25" s="199" t="s">
        <v>134</v>
      </c>
      <c r="GW25" s="199" t="s">
        <v>136</v>
      </c>
      <c r="HB25" s="40"/>
      <c r="HC25" s="33"/>
      <c r="HD25" s="33"/>
      <c r="HE25" s="199"/>
      <c r="HF25" s="199"/>
      <c r="HG25" s="199"/>
      <c r="HH25" s="199"/>
      <c r="HI25" s="424" t="s">
        <v>113</v>
      </c>
      <c r="HJ25" s="424"/>
      <c r="HK25" t="s">
        <v>115</v>
      </c>
      <c r="HS25" s="40"/>
      <c r="HT25" s="33"/>
      <c r="HU25" s="33"/>
      <c r="HV25" s="199" t="s">
        <v>134</v>
      </c>
      <c r="HW25" s="199" t="s">
        <v>136</v>
      </c>
      <c r="IB25" s="40"/>
      <c r="IC25" s="33"/>
      <c r="ID25" s="33"/>
      <c r="IE25" s="199"/>
      <c r="IF25" s="199"/>
      <c r="IG25" s="199"/>
      <c r="IH25" s="199"/>
      <c r="II25" s="424" t="s">
        <v>113</v>
      </c>
      <c r="IJ25" s="424"/>
      <c r="IK25" t="s">
        <v>115</v>
      </c>
      <c r="IS25" s="40"/>
      <c r="IT25" s="33"/>
      <c r="IU25" s="33"/>
      <c r="IV25" s="199" t="s">
        <v>134</v>
      </c>
      <c r="IW25" s="199" t="s">
        <v>136</v>
      </c>
      <c r="JB25" s="40"/>
      <c r="JC25" s="33"/>
      <c r="JD25" s="33"/>
      <c r="JE25" s="199"/>
      <c r="JF25" s="199"/>
      <c r="JG25" s="199"/>
      <c r="JH25" s="199"/>
      <c r="JI25" s="424" t="s">
        <v>113</v>
      </c>
      <c r="JJ25" s="424"/>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3" t="s">
        <v>518</v>
      </c>
      <c r="D37" s="414"/>
      <c r="E37" s="414"/>
      <c r="F37" s="414"/>
      <c r="G37" s="414"/>
      <c r="H37" s="414"/>
      <c r="I37" s="414"/>
      <c r="J37" s="414"/>
      <c r="K37" s="414"/>
      <c r="L37" s="414"/>
      <c r="M37" s="415"/>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22</v>
      </c>
      <c r="D39" s="230">
        <f>'Peternakan-CH4'!D27</f>
        <v>24</v>
      </c>
      <c r="E39" s="230">
        <f>'Peternakan-CH4'!E27</f>
        <v>25</v>
      </c>
      <c r="F39" s="230">
        <f>'Peternakan-CH4'!F27</f>
        <v>26</v>
      </c>
      <c r="G39" s="230">
        <f>'Peternakan-CH4'!G27</f>
        <v>28</v>
      </c>
      <c r="H39" s="230">
        <f>'Peternakan-CH4'!H27</f>
        <v>29</v>
      </c>
      <c r="I39" s="230">
        <f>'Peternakan-CH4'!I27</f>
        <v>31</v>
      </c>
      <c r="J39" s="230">
        <f>'Peternakan-CH4'!J27</f>
        <v>33</v>
      </c>
      <c r="K39" s="230">
        <f>'Peternakan-CH4'!K27</f>
        <v>35</v>
      </c>
      <c r="L39" s="230">
        <f>'Peternakan-CH4'!L27</f>
        <v>36</v>
      </c>
      <c r="M39" s="226"/>
    </row>
    <row r="40" spans="2:284" x14ac:dyDescent="0.25">
      <c r="B40" s="56" t="s">
        <v>71</v>
      </c>
      <c r="C40" s="230">
        <f>'Peternakan-CH4'!C28</f>
        <v>22546.526638414802</v>
      </c>
      <c r="D40" s="230">
        <f>'Peternakan-CH4'!D28</f>
        <v>24027.577266046399</v>
      </c>
      <c r="E40" s="230">
        <f>'Peternakan-CH4'!E28</f>
        <v>25508.627893678</v>
      </c>
      <c r="F40" s="230">
        <f>'Peternakan-CH4'!F28</f>
        <v>26989.678521309499</v>
      </c>
      <c r="G40" s="230">
        <f>'Peternakan-CH4'!G28</f>
        <v>28470.729148941198</v>
      </c>
      <c r="H40" s="230">
        <f>'Peternakan-CH4'!H28</f>
        <v>29951.779776572701</v>
      </c>
      <c r="I40" s="230">
        <f>'Peternakan-CH4'!I28</f>
        <v>31432.830404204298</v>
      </c>
      <c r="J40" s="230">
        <f>'Peternakan-CH4'!J28</f>
        <v>32913.881031835801</v>
      </c>
      <c r="K40" s="230">
        <f>'Peternakan-CH4'!K28</f>
        <v>34394.931659467402</v>
      </c>
      <c r="L40" s="230">
        <f>'Peternakan-CH4'!L28</f>
        <v>35875.982287099003</v>
      </c>
      <c r="M40" s="226"/>
    </row>
    <row r="41" spans="2:284" x14ac:dyDescent="0.25">
      <c r="B41" s="56" t="s">
        <v>22</v>
      </c>
      <c r="C41" s="230">
        <f>'Peternakan-CH4'!C29</f>
        <v>625</v>
      </c>
      <c r="D41" s="230">
        <f>'Peternakan-CH4'!D29</f>
        <v>630</v>
      </c>
      <c r="E41" s="230">
        <f>'Peternakan-CH4'!E29</f>
        <v>634</v>
      </c>
      <c r="F41" s="230">
        <f>'Peternakan-CH4'!F29</f>
        <v>639</v>
      </c>
      <c r="G41" s="230">
        <f>'Peternakan-CH4'!G29</f>
        <v>644</v>
      </c>
      <c r="H41" s="230">
        <f>'Peternakan-CH4'!H29</f>
        <v>650</v>
      </c>
      <c r="I41" s="230">
        <f>'Peternakan-CH4'!I29</f>
        <v>655</v>
      </c>
      <c r="J41" s="230">
        <f>'Peternakan-CH4'!J29</f>
        <v>659</v>
      </c>
      <c r="K41" s="230">
        <f>'Peternakan-CH4'!K29</f>
        <v>664</v>
      </c>
      <c r="L41" s="230">
        <f>'Peternakan-CH4'!L29</f>
        <v>669</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4737</v>
      </c>
      <c r="D43" s="230">
        <f>'Peternakan-CH4'!D31</f>
        <v>4711</v>
      </c>
      <c r="E43" s="230">
        <f>'Peternakan-CH4'!E31</f>
        <v>4685</v>
      </c>
      <c r="F43" s="230">
        <f>'Peternakan-CH4'!F31</f>
        <v>4658</v>
      </c>
      <c r="G43" s="230">
        <f>'Peternakan-CH4'!G31</f>
        <v>4631</v>
      </c>
      <c r="H43" s="230">
        <f>'Peternakan-CH4'!H31</f>
        <v>4602</v>
      </c>
      <c r="I43" s="230">
        <f>'Peternakan-CH4'!I31</f>
        <v>4574</v>
      </c>
      <c r="J43" s="230">
        <f>'Peternakan-CH4'!J31</f>
        <v>4544</v>
      </c>
      <c r="K43" s="230">
        <f>'Peternakan-CH4'!K31</f>
        <v>4514</v>
      </c>
      <c r="L43" s="230">
        <f>'Peternakan-CH4'!L31</f>
        <v>4484</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428381</v>
      </c>
      <c r="D45" s="230">
        <f>'Peternakan-CH4'!D33</f>
        <v>438662</v>
      </c>
      <c r="E45" s="230">
        <f>'Peternakan-CH4'!E33</f>
        <v>449190</v>
      </c>
      <c r="F45" s="230">
        <f>'Peternakan-CH4'!F33</f>
        <v>459971</v>
      </c>
      <c r="G45" s="230">
        <f>'Peternakan-CH4'!G33</f>
        <v>471010</v>
      </c>
      <c r="H45" s="230">
        <f>'Peternakan-CH4'!H33</f>
        <v>482314</v>
      </c>
      <c r="I45" s="230">
        <f>'Peternakan-CH4'!I33</f>
        <v>493890</v>
      </c>
      <c r="J45" s="230">
        <f>'Peternakan-CH4'!J33</f>
        <v>505743</v>
      </c>
      <c r="K45" s="230">
        <f>'Peternakan-CH4'!K33</f>
        <v>517881</v>
      </c>
      <c r="L45" s="230">
        <f>'Peternakan-CH4'!L33</f>
        <v>530310</v>
      </c>
      <c r="M45" s="226"/>
    </row>
    <row r="46" spans="2:284" x14ac:dyDescent="0.25">
      <c r="B46" s="56" t="s">
        <v>73</v>
      </c>
      <c r="C46" s="230">
        <f>'Peternakan-CH4'!C34</f>
        <v>1659884</v>
      </c>
      <c r="D46" s="230">
        <f>'Peternakan-CH4'!D34</f>
        <v>1607431</v>
      </c>
      <c r="E46" s="230">
        <f>'Peternakan-CH4'!E34</f>
        <v>1556636</v>
      </c>
      <c r="F46" s="230">
        <f>'Peternakan-CH4'!F34</f>
        <v>1507447</v>
      </c>
      <c r="G46" s="230">
        <f>'Peternakan-CH4'!G34</f>
        <v>1444737</v>
      </c>
      <c r="H46" s="230">
        <f>'Peternakan-CH4'!H34</f>
        <v>1673583</v>
      </c>
      <c r="I46" s="230">
        <f>'Peternakan-CH4'!I34</f>
        <v>1603962</v>
      </c>
      <c r="J46" s="230">
        <f>'Peternakan-CH4'!J34</f>
        <v>1713673</v>
      </c>
      <c r="K46" s="230">
        <f>'Peternakan-CH4'!K34</f>
        <v>1659521</v>
      </c>
      <c r="L46" s="230">
        <f>'Peternakan-CH4'!L34</f>
        <v>1607080</v>
      </c>
      <c r="M46" s="226"/>
    </row>
    <row r="47" spans="2:284" x14ac:dyDescent="0.25">
      <c r="B47" s="56" t="s">
        <v>74</v>
      </c>
      <c r="C47" s="230">
        <f>'Peternakan-CH4'!C35</f>
        <v>100894</v>
      </c>
      <c r="D47" s="230">
        <f>'Peternakan-CH4'!D35</f>
        <v>101975</v>
      </c>
      <c r="E47" s="230">
        <f>'Peternakan-CH4'!E35</f>
        <v>102342</v>
      </c>
      <c r="F47" s="230">
        <f>'Peternakan-CH4'!F35</f>
        <v>102467</v>
      </c>
      <c r="G47" s="230">
        <f>'Peternakan-CH4'!G35</f>
        <v>102510</v>
      </c>
      <c r="H47" s="230">
        <f>'Peternakan-CH4'!H35</f>
        <v>102524</v>
      </c>
      <c r="I47" s="230">
        <f>'Peternakan-CH4'!I35</f>
        <v>102529</v>
      </c>
      <c r="J47" s="230">
        <f>'Peternakan-CH4'!J35</f>
        <v>102531</v>
      </c>
      <c r="K47" s="230">
        <f>'Peternakan-CH4'!K35</f>
        <v>102532</v>
      </c>
      <c r="L47" s="230">
        <f>'Peternakan-CH4'!L35</f>
        <v>102532</v>
      </c>
      <c r="M47" s="289"/>
    </row>
    <row r="48" spans="2:284" x14ac:dyDescent="0.25">
      <c r="B48" s="56" t="s">
        <v>75</v>
      </c>
      <c r="C48" s="230">
        <f>'Peternakan-CH4'!C36</f>
        <v>21748</v>
      </c>
      <c r="D48" s="230">
        <f>'Peternakan-CH4'!D36</f>
        <v>22367</v>
      </c>
      <c r="E48" s="230">
        <f>'Peternakan-CH4'!E36</f>
        <v>23005</v>
      </c>
      <c r="F48" s="230">
        <f>'Peternakan-CH4'!F36</f>
        <v>23661</v>
      </c>
      <c r="G48" s="230">
        <f>'Peternakan-CH4'!G36</f>
        <v>22679</v>
      </c>
      <c r="H48" s="230">
        <f>'Peternakan-CH4'!H36</f>
        <v>23325</v>
      </c>
      <c r="I48" s="230">
        <f>'Peternakan-CH4'!I36</f>
        <v>23990</v>
      </c>
      <c r="J48" s="230">
        <f>'Peternakan-CH4'!J36</f>
        <v>24674</v>
      </c>
      <c r="K48" s="230">
        <f>'Peternakan-CH4'!K36</f>
        <v>25377</v>
      </c>
      <c r="L48" s="230">
        <f>'Peternakan-CH4'!L36</f>
        <v>26100</v>
      </c>
      <c r="M48" s="289"/>
    </row>
    <row r="49" spans="2:12" x14ac:dyDescent="0.25">
      <c r="B49" s="271" t="s">
        <v>66</v>
      </c>
      <c r="C49" s="233">
        <f>'Peternakan-CH4'!C37</f>
        <v>2235</v>
      </c>
      <c r="D49" s="233">
        <f>'Peternakan-CH4'!D37</f>
        <v>2566</v>
      </c>
      <c r="E49" s="233">
        <f>'Peternakan-CH4'!E37</f>
        <v>2947</v>
      </c>
      <c r="F49" s="233">
        <f>'Peternakan-CH4'!F37</f>
        <v>3883</v>
      </c>
      <c r="G49" s="233">
        <f>'Peternakan-CH4'!G37</f>
        <v>3885</v>
      </c>
      <c r="H49" s="233">
        <f>'Peternakan-CH4'!H37</f>
        <v>4461</v>
      </c>
      <c r="I49" s="233">
        <f>'Peternakan-CH4'!I37</f>
        <v>5122</v>
      </c>
      <c r="J49" s="233">
        <f>'Peternakan-CH4'!J37</f>
        <v>5881</v>
      </c>
      <c r="K49" s="233">
        <f>'Peternakan-CH4'!K37</f>
        <v>6752</v>
      </c>
      <c r="L49" s="233">
        <f>'Peternakan-CH4'!L37</f>
        <v>7753</v>
      </c>
    </row>
  </sheetData>
  <mergeCells count="144">
    <mergeCell ref="B23:C23"/>
    <mergeCell ref="S5:S8"/>
    <mergeCell ref="I25:J25"/>
    <mergeCell ref="S23:T23"/>
    <mergeCell ref="C37:M37"/>
    <mergeCell ref="H6:H7"/>
    <mergeCell ref="V5:W5"/>
    <mergeCell ref="X5:Y5"/>
    <mergeCell ref="E5:G5"/>
    <mergeCell ref="H5:K5"/>
    <mergeCell ref="B5:B8"/>
    <mergeCell ref="V6:V7"/>
    <mergeCell ref="T6:T7"/>
    <mergeCell ref="C6:C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39" t="s">
        <v>181</v>
      </c>
      <c r="D3" s="440"/>
      <c r="E3" s="440"/>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41" t="s">
        <v>174</v>
      </c>
      <c r="D4" s="442"/>
      <c r="E4" s="442"/>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44" t="s">
        <v>171</v>
      </c>
      <c r="C5" s="445" t="s">
        <v>43</v>
      </c>
      <c r="D5" s="446" t="s">
        <v>175</v>
      </c>
      <c r="E5" s="447"/>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44"/>
      <c r="C6" s="444"/>
      <c r="D6" s="435" t="s">
        <v>176</v>
      </c>
      <c r="E6" s="187" t="s">
        <v>152</v>
      </c>
      <c r="F6" s="112" t="s">
        <v>153</v>
      </c>
      <c r="G6" s="450">
        <v>0.46</v>
      </c>
      <c r="H6" s="111"/>
      <c r="I6" s="433" t="s">
        <v>200</v>
      </c>
      <c r="K6" s="132">
        <v>3</v>
      </c>
      <c r="L6" s="132" t="s">
        <v>217</v>
      </c>
      <c r="M6" s="133">
        <v>273.60000000000002</v>
      </c>
      <c r="N6" s="134">
        <f>M6/M10</f>
        <v>1.3525055863402704</v>
      </c>
      <c r="P6" s="136">
        <v>3</v>
      </c>
      <c r="Q6" s="136" t="s">
        <v>218</v>
      </c>
      <c r="R6" s="137">
        <v>235.2</v>
      </c>
      <c r="S6" s="138">
        <v>1</v>
      </c>
    </row>
    <row r="7" spans="2:19" ht="16.5" customHeight="1" x14ac:dyDescent="0.25">
      <c r="B7" s="444"/>
      <c r="C7" s="444"/>
      <c r="D7" s="436"/>
      <c r="E7" s="113" t="s">
        <v>154</v>
      </c>
      <c r="F7" s="112" t="s">
        <v>155</v>
      </c>
      <c r="G7" s="443"/>
      <c r="H7" s="111"/>
      <c r="I7" s="443"/>
      <c r="K7" s="132">
        <v>4</v>
      </c>
      <c r="L7" s="132" t="s">
        <v>219</v>
      </c>
      <c r="M7" s="133">
        <v>244.16499999999999</v>
      </c>
      <c r="N7" s="134">
        <f>M7/M10</f>
        <v>1.2069975383361553</v>
      </c>
      <c r="P7" s="132">
        <v>4</v>
      </c>
      <c r="Q7" s="132" t="s">
        <v>220</v>
      </c>
      <c r="R7" s="133">
        <v>152.56</v>
      </c>
      <c r="S7" s="134">
        <f>R7/R6</f>
        <v>0.64863945578231297</v>
      </c>
    </row>
    <row r="8" spans="2:19" x14ac:dyDescent="0.25">
      <c r="B8" s="444"/>
      <c r="C8" s="448" t="s">
        <v>44</v>
      </c>
      <c r="D8" s="435" t="s">
        <v>177</v>
      </c>
      <c r="E8" s="436"/>
      <c r="F8" s="112" t="s">
        <v>156</v>
      </c>
      <c r="G8" s="433">
        <v>0.49</v>
      </c>
      <c r="H8" s="111"/>
      <c r="I8" s="433" t="s">
        <v>201</v>
      </c>
      <c r="K8" s="132">
        <v>5</v>
      </c>
      <c r="L8" s="132" t="s">
        <v>221</v>
      </c>
      <c r="M8" s="133">
        <v>223.2</v>
      </c>
      <c r="N8" s="134">
        <f>M8/M10</f>
        <v>1.1033598204354835</v>
      </c>
      <c r="P8" s="132">
        <v>5</v>
      </c>
      <c r="Q8" s="132" t="s">
        <v>222</v>
      </c>
      <c r="R8" s="139">
        <v>144.22</v>
      </c>
      <c r="S8" s="134">
        <f>R8/R6</f>
        <v>0.61318027210884352</v>
      </c>
    </row>
    <row r="9" spans="2:19" x14ac:dyDescent="0.25">
      <c r="B9" s="444"/>
      <c r="C9" s="449"/>
      <c r="D9" s="435" t="s">
        <v>178</v>
      </c>
      <c r="E9" s="436"/>
      <c r="F9" s="112" t="s">
        <v>157</v>
      </c>
      <c r="G9" s="434"/>
      <c r="H9" s="111"/>
      <c r="I9" s="434"/>
      <c r="K9" s="132">
        <v>6</v>
      </c>
      <c r="L9" s="132" t="s">
        <v>223</v>
      </c>
      <c r="M9" s="133">
        <v>204.64</v>
      </c>
      <c r="N9" s="134">
        <f>M9/M10</f>
        <v>1.0116109034673717</v>
      </c>
      <c r="P9" s="132">
        <v>6</v>
      </c>
      <c r="Q9" s="132" t="s">
        <v>224</v>
      </c>
      <c r="R9" s="133">
        <v>141.12</v>
      </c>
      <c r="S9" s="134">
        <f>R9/R6</f>
        <v>0.60000000000000009</v>
      </c>
    </row>
    <row r="10" spans="2:19" x14ac:dyDescent="0.25">
      <c r="B10" s="444"/>
      <c r="C10" s="448" t="s">
        <v>173</v>
      </c>
      <c r="D10" s="435" t="s">
        <v>179</v>
      </c>
      <c r="E10" s="436"/>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44"/>
      <c r="C11" s="448"/>
      <c r="D11" s="435" t="s">
        <v>180</v>
      </c>
      <c r="E11" s="436"/>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37" t="s">
        <v>172</v>
      </c>
      <c r="C12" s="114" t="s">
        <v>160</v>
      </c>
      <c r="D12" s="432"/>
      <c r="E12" s="432"/>
      <c r="F12" s="56"/>
      <c r="G12" s="111"/>
      <c r="H12" s="115">
        <v>1.1200000000000001</v>
      </c>
      <c r="I12" s="111" t="s">
        <v>185</v>
      </c>
      <c r="K12" s="132">
        <v>9</v>
      </c>
      <c r="L12" s="132" t="s">
        <v>229</v>
      </c>
      <c r="M12" s="133">
        <v>186.655</v>
      </c>
      <c r="N12" s="134">
        <f>M12/M10</f>
        <v>0.92270442331265767</v>
      </c>
    </row>
    <row r="13" spans="2:19" x14ac:dyDescent="0.25">
      <c r="B13" s="437"/>
      <c r="C13" s="197" t="s">
        <v>354</v>
      </c>
      <c r="D13" s="432"/>
      <c r="E13" s="432"/>
      <c r="F13" s="56"/>
      <c r="G13" s="111"/>
      <c r="H13" s="115">
        <v>0.28999999999999998</v>
      </c>
      <c r="I13" s="111" t="s">
        <v>186</v>
      </c>
      <c r="K13" s="132">
        <v>10</v>
      </c>
      <c r="L13" s="132" t="s">
        <v>230</v>
      </c>
      <c r="M13" s="133">
        <v>157.77000000000001</v>
      </c>
      <c r="N13" s="134">
        <f>M13/M10</f>
        <v>0.77991522791266243</v>
      </c>
    </row>
    <row r="14" spans="2:19" x14ac:dyDescent="0.25">
      <c r="B14" s="437"/>
      <c r="C14" s="114" t="s">
        <v>161</v>
      </c>
      <c r="D14" s="432"/>
      <c r="E14" s="432"/>
      <c r="F14" s="56"/>
      <c r="G14" s="111"/>
      <c r="H14" s="115">
        <v>1.02</v>
      </c>
      <c r="I14" s="111" t="s">
        <v>187</v>
      </c>
      <c r="K14" s="132">
        <v>11</v>
      </c>
      <c r="L14" s="132" t="s">
        <v>231</v>
      </c>
      <c r="M14" s="133">
        <v>153.5</v>
      </c>
      <c r="N14" s="134">
        <f>M14/M10</f>
        <v>0.75880704496795126</v>
      </c>
    </row>
    <row r="15" spans="2:19" x14ac:dyDescent="0.25">
      <c r="B15" s="437"/>
      <c r="C15" s="116" t="s">
        <v>162</v>
      </c>
      <c r="D15" s="438"/>
      <c r="E15" s="438"/>
      <c r="F15" s="56"/>
      <c r="G15" s="111"/>
      <c r="H15" s="117">
        <v>1.02</v>
      </c>
      <c r="I15" s="117" t="s">
        <v>188</v>
      </c>
      <c r="K15" s="132">
        <v>12</v>
      </c>
      <c r="L15" s="132" t="s">
        <v>232</v>
      </c>
      <c r="M15" s="133">
        <v>147.54</v>
      </c>
      <c r="N15" s="134">
        <f>M15/M10</f>
        <v>0.72934456947603599</v>
      </c>
    </row>
    <row r="16" spans="2:19" x14ac:dyDescent="0.25">
      <c r="B16" s="437"/>
      <c r="C16" s="116" t="s">
        <v>163</v>
      </c>
      <c r="D16" s="432"/>
      <c r="E16" s="432"/>
      <c r="F16" s="56"/>
      <c r="G16" s="111"/>
      <c r="H16" s="117">
        <v>0.84</v>
      </c>
      <c r="I16" s="117" t="s">
        <v>189</v>
      </c>
      <c r="K16" s="132">
        <v>13</v>
      </c>
      <c r="L16" s="132" t="s">
        <v>233</v>
      </c>
      <c r="M16" s="133">
        <v>146.18671875000001</v>
      </c>
      <c r="N16" s="134">
        <f>M16/M10</f>
        <v>0.72265480174754726</v>
      </c>
    </row>
    <row r="17" spans="2:26" x14ac:dyDescent="0.25">
      <c r="B17" s="437"/>
      <c r="C17" s="116" t="s">
        <v>164</v>
      </c>
      <c r="D17" s="432"/>
      <c r="E17" s="432"/>
      <c r="F17" s="56"/>
      <c r="G17" s="56"/>
      <c r="H17" s="111">
        <v>2.39</v>
      </c>
      <c r="I17" s="111" t="s">
        <v>190</v>
      </c>
      <c r="K17" s="132">
        <v>14</v>
      </c>
      <c r="L17" s="132" t="s">
        <v>234</v>
      </c>
      <c r="M17" s="141">
        <v>145.63885714285715</v>
      </c>
      <c r="N17" s="134">
        <f>M17/M10</f>
        <v>0.71994652000704262</v>
      </c>
      <c r="Y17" s="186"/>
      <c r="Z17" s="186"/>
    </row>
    <row r="18" spans="2:26" x14ac:dyDescent="0.25">
      <c r="B18" s="437"/>
      <c r="C18" s="116" t="s">
        <v>165</v>
      </c>
      <c r="D18" s="432"/>
      <c r="E18" s="432"/>
      <c r="F18" s="56"/>
      <c r="G18" s="56"/>
      <c r="H18" s="115" t="s">
        <v>83</v>
      </c>
      <c r="I18" s="115" t="s">
        <v>83</v>
      </c>
      <c r="K18" s="132">
        <v>15</v>
      </c>
      <c r="L18" s="132" t="s">
        <v>235</v>
      </c>
      <c r="M18" s="133">
        <v>145.53861111111109</v>
      </c>
      <c r="N18" s="134">
        <f>M18/M10</f>
        <v>0.71945096694437816</v>
      </c>
      <c r="Y18" s="186"/>
      <c r="Z18" s="186"/>
    </row>
    <row r="19" spans="2:26" x14ac:dyDescent="0.25">
      <c r="B19" s="437"/>
      <c r="C19" s="116" t="s">
        <v>166</v>
      </c>
      <c r="D19" s="432"/>
      <c r="E19" s="432"/>
      <c r="F19" s="56"/>
      <c r="G19" s="56"/>
      <c r="H19" s="111" t="s">
        <v>167</v>
      </c>
      <c r="I19" s="111" t="s">
        <v>167</v>
      </c>
      <c r="K19" s="132">
        <v>16</v>
      </c>
      <c r="L19" s="132" t="s">
        <v>236</v>
      </c>
      <c r="M19" s="133">
        <v>127</v>
      </c>
      <c r="N19" s="134">
        <f>M19/M10</f>
        <v>0.62780778313309327</v>
      </c>
      <c r="Y19" s="186"/>
      <c r="Z19" s="186"/>
    </row>
    <row r="20" spans="2:26" x14ac:dyDescent="0.25">
      <c r="B20" s="437"/>
      <c r="C20" s="116" t="s">
        <v>168</v>
      </c>
      <c r="D20" s="432"/>
      <c r="E20" s="432"/>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29" t="s">
        <v>256</v>
      </c>
      <c r="C36" s="428" t="s">
        <v>257</v>
      </c>
      <c r="D36" s="428"/>
      <c r="E36" s="428" t="s">
        <v>259</v>
      </c>
      <c r="F36" s="428"/>
      <c r="K36" s="132">
        <v>33</v>
      </c>
      <c r="L36" s="132" t="s">
        <v>251</v>
      </c>
      <c r="M36" s="144">
        <v>323.44704032083536</v>
      </c>
      <c r="N36" s="134">
        <f t="shared" si="0"/>
        <v>1.5989178688565659</v>
      </c>
    </row>
    <row r="37" spans="2:14" ht="15" customHeight="1" x14ac:dyDescent="0.25">
      <c r="B37" s="429"/>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30" t="s">
        <v>263</v>
      </c>
      <c r="D38" s="431">
        <v>1.4</v>
      </c>
      <c r="E38" s="111">
        <v>1</v>
      </c>
      <c r="F38" s="111" t="s">
        <v>264</v>
      </c>
      <c r="K38" s="132">
        <v>35</v>
      </c>
      <c r="L38" s="132" t="s">
        <v>253</v>
      </c>
      <c r="M38" s="144">
        <v>270.79611936186569</v>
      </c>
      <c r="N38" s="134">
        <f t="shared" si="0"/>
        <v>1.3386449714773025</v>
      </c>
    </row>
    <row r="39" spans="2:14" ht="15" customHeight="1" x14ac:dyDescent="0.25">
      <c r="B39" s="148" t="s">
        <v>260</v>
      </c>
      <c r="C39" s="430"/>
      <c r="D39" s="431"/>
      <c r="E39" s="111">
        <v>0.68</v>
      </c>
      <c r="F39" s="111" t="s">
        <v>265</v>
      </c>
      <c r="K39" s="132">
        <v>36</v>
      </c>
      <c r="L39" s="132" t="s">
        <v>254</v>
      </c>
      <c r="M39" s="144">
        <v>271.88698926542628</v>
      </c>
      <c r="N39" s="134">
        <f t="shared" si="0"/>
        <v>1.344037543255578</v>
      </c>
    </row>
    <row r="40" spans="2:14" ht="15" customHeight="1" x14ac:dyDescent="0.25">
      <c r="B40" s="148" t="s">
        <v>262</v>
      </c>
      <c r="C40" s="430"/>
      <c r="D40" s="431"/>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E3"/>
    <mergeCell ref="C4:E4"/>
    <mergeCell ref="I6:I7"/>
    <mergeCell ref="I8:I9"/>
    <mergeCell ref="B5:B11"/>
    <mergeCell ref="C5:C7"/>
    <mergeCell ref="D5:E5"/>
    <mergeCell ref="D6:D7"/>
    <mergeCell ref="C8:C9"/>
    <mergeCell ref="D8:E8"/>
    <mergeCell ref="C10:C11"/>
    <mergeCell ref="D10:E10"/>
    <mergeCell ref="D11:E11"/>
    <mergeCell ref="G6:G7"/>
    <mergeCell ref="D14:E14"/>
    <mergeCell ref="G8:G9"/>
    <mergeCell ref="D9:E9"/>
    <mergeCell ref="D17:E17"/>
    <mergeCell ref="B12:B20"/>
    <mergeCell ref="D12:E12"/>
    <mergeCell ref="D13:E13"/>
    <mergeCell ref="D15:E15"/>
    <mergeCell ref="D16:E16"/>
    <mergeCell ref="D18:E18"/>
    <mergeCell ref="D19:E19"/>
    <mergeCell ref="D20:E20"/>
    <mergeCell ref="C36:D36"/>
    <mergeCell ref="E36:F36"/>
    <mergeCell ref="B36:B37"/>
    <mergeCell ref="C38:C40"/>
    <mergeCell ref="D38:D40"/>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Q59" zoomScale="85" zoomScaleNormal="85" workbookViewId="0">
      <selection activeCell="U68" sqref="U6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1" t="s">
        <v>27</v>
      </c>
      <c r="E5" s="452"/>
      <c r="F5" s="451" t="s">
        <v>29</v>
      </c>
      <c r="G5" s="453"/>
      <c r="H5" s="171"/>
      <c r="I5" s="451" t="s">
        <v>29</v>
      </c>
      <c r="J5" s="452"/>
      <c r="K5" s="80" t="s">
        <v>27</v>
      </c>
    </row>
    <row r="6" spans="2:11" s="20" customFormat="1" ht="90.75" customHeight="1" x14ac:dyDescent="0.25">
      <c r="B6" s="454" t="s">
        <v>396</v>
      </c>
      <c r="C6" s="417" t="s">
        <v>192</v>
      </c>
      <c r="D6" s="24" t="s">
        <v>28</v>
      </c>
      <c r="E6" s="25" t="s">
        <v>398</v>
      </c>
      <c r="F6" s="24" t="s">
        <v>30</v>
      </c>
      <c r="G6" s="24" t="s">
        <v>31</v>
      </c>
      <c r="H6" s="24" t="s">
        <v>350</v>
      </c>
      <c r="I6" s="24" t="s">
        <v>352</v>
      </c>
      <c r="J6" s="25" t="s">
        <v>32</v>
      </c>
      <c r="K6" s="21" t="s">
        <v>33</v>
      </c>
    </row>
    <row r="7" spans="2:11" x14ac:dyDescent="0.25">
      <c r="B7" s="454"/>
      <c r="C7" s="417"/>
      <c r="D7" s="11" t="s">
        <v>34</v>
      </c>
      <c r="E7" s="8"/>
      <c r="F7" s="11" t="s">
        <v>399</v>
      </c>
      <c r="G7" s="11"/>
      <c r="H7" s="8"/>
      <c r="I7" s="11"/>
      <c r="J7" s="8" t="s">
        <v>401</v>
      </c>
      <c r="K7" s="1" t="s">
        <v>10</v>
      </c>
    </row>
    <row r="8" spans="2:11" s="19" customFormat="1" ht="28.5" customHeight="1" x14ac:dyDescent="0.25">
      <c r="B8" s="454"/>
      <c r="C8" s="417"/>
      <c r="D8" s="26"/>
      <c r="E8" s="27"/>
      <c r="F8" s="26"/>
      <c r="G8" s="26"/>
      <c r="H8" s="26"/>
      <c r="I8" s="26"/>
      <c r="J8" s="27" t="s">
        <v>41</v>
      </c>
      <c r="K8" s="28" t="s">
        <v>40</v>
      </c>
    </row>
    <row r="9" spans="2:11" ht="15.75" thickBot="1" x14ac:dyDescent="0.3">
      <c r="B9" s="455"/>
      <c r="C9" s="456"/>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6618.5039999999999</v>
      </c>
      <c r="E11" s="220">
        <v>1.3</v>
      </c>
      <c r="F11" s="88">
        <v>160.9</v>
      </c>
      <c r="G11" s="266">
        <v>1</v>
      </c>
      <c r="H11" s="43">
        <f>'EF&amp;SF lahan sawah'!$H$13</f>
        <v>0.28999999999999998</v>
      </c>
      <c r="I11" s="89">
        <f>'EF&amp;SF lahan sawah'!$N$22</f>
        <v>0.56746289219990131</v>
      </c>
      <c r="J11" s="150">
        <f>F11*G11*H11*I11*$I$28</f>
        <v>30.629886766402873</v>
      </c>
      <c r="K11" s="42">
        <f>D11*E11*J11*10^-6</f>
        <v>0.26354123650787986</v>
      </c>
    </row>
    <row r="12" spans="2:11" x14ac:dyDescent="0.25">
      <c r="B12" s="308">
        <v>2022</v>
      </c>
      <c r="C12" s="6"/>
      <c r="D12" s="260">
        <f>'Direct N2O'!B37*60%</f>
        <v>6487.3799999999992</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0.25832002925381464</v>
      </c>
    </row>
    <row r="13" spans="2:11" x14ac:dyDescent="0.25">
      <c r="B13" s="308">
        <v>2023</v>
      </c>
      <c r="C13" s="6"/>
      <c r="D13" s="260">
        <f>'Direct N2O'!B38*60%</f>
        <v>6356.2560000000003</v>
      </c>
      <c r="E13" s="220">
        <v>1.3</v>
      </c>
      <c r="F13" s="88">
        <v>160.9</v>
      </c>
      <c r="G13" s="266">
        <v>1</v>
      </c>
      <c r="H13" s="43">
        <f>'EF&amp;SF lahan sawah'!$H$13</f>
        <v>0.28999999999999998</v>
      </c>
      <c r="I13" s="89">
        <f>'EF&amp;SF lahan sawah'!$N$22</f>
        <v>0.56746289219990131</v>
      </c>
      <c r="J13" s="150">
        <f t="shared" si="0"/>
        <v>30.629886766402873</v>
      </c>
      <c r="K13" s="42">
        <f t="shared" si="1"/>
        <v>0.25309882199974953</v>
      </c>
    </row>
    <row r="14" spans="2:11" x14ac:dyDescent="0.25">
      <c r="B14" s="308">
        <v>2024</v>
      </c>
      <c r="C14" s="6"/>
      <c r="D14" s="260">
        <f>'Direct N2O'!B39*60%</f>
        <v>6225.1319999999996</v>
      </c>
      <c r="E14" s="220">
        <v>1.3</v>
      </c>
      <c r="F14" s="88">
        <v>160.9</v>
      </c>
      <c r="G14" s="266">
        <v>1</v>
      </c>
      <c r="H14" s="43">
        <f>'EF&amp;SF lahan sawah'!$H$13</f>
        <v>0.28999999999999998</v>
      </c>
      <c r="I14" s="89">
        <f>'EF&amp;SF lahan sawah'!$N$22</f>
        <v>0.56746289219990131</v>
      </c>
      <c r="J14" s="150">
        <f t="shared" si="0"/>
        <v>30.629886766402873</v>
      </c>
      <c r="K14" s="42">
        <f t="shared" si="1"/>
        <v>0.24787761474568434</v>
      </c>
    </row>
    <row r="15" spans="2:11" x14ac:dyDescent="0.25">
      <c r="B15" s="308">
        <v>2025</v>
      </c>
      <c r="C15" s="6"/>
      <c r="D15" s="260">
        <f>'Direct N2O'!B40*60%</f>
        <v>6094.0079999999998</v>
      </c>
      <c r="E15" s="220">
        <v>1.3</v>
      </c>
      <c r="F15" s="88">
        <v>160.9</v>
      </c>
      <c r="G15" s="266">
        <v>1</v>
      </c>
      <c r="H15" s="43">
        <f>'EF&amp;SF lahan sawah'!$H$13</f>
        <v>0.28999999999999998</v>
      </c>
      <c r="I15" s="89">
        <f>'EF&amp;SF lahan sawah'!$N$22</f>
        <v>0.56746289219990131</v>
      </c>
      <c r="J15" s="150">
        <f t="shared" si="0"/>
        <v>30.629886766402873</v>
      </c>
      <c r="K15" s="42">
        <f t="shared" si="1"/>
        <v>0.24265640749161918</v>
      </c>
    </row>
    <row r="16" spans="2:11" x14ac:dyDescent="0.25">
      <c r="B16" s="308">
        <v>2026</v>
      </c>
      <c r="C16" s="6"/>
      <c r="D16" s="260">
        <f>'Direct N2O'!B41*60%</f>
        <v>5962.8839999999991</v>
      </c>
      <c r="E16" s="220">
        <v>1.3</v>
      </c>
      <c r="F16" s="88">
        <v>160.9</v>
      </c>
      <c r="G16" s="266">
        <v>1</v>
      </c>
      <c r="H16" s="43">
        <f>'EF&amp;SF lahan sawah'!$H$13</f>
        <v>0.28999999999999998</v>
      </c>
      <c r="I16" s="89">
        <f>'EF&amp;SF lahan sawah'!$N$22</f>
        <v>0.56746289219990131</v>
      </c>
      <c r="J16" s="150">
        <f t="shared" si="0"/>
        <v>30.629886766402873</v>
      </c>
      <c r="K16" s="42">
        <f t="shared" si="1"/>
        <v>0.23743520023755402</v>
      </c>
    </row>
    <row r="17" spans="2:11" x14ac:dyDescent="0.25">
      <c r="B17" s="308">
        <v>2027</v>
      </c>
      <c r="C17" s="6"/>
      <c r="D17" s="260">
        <f>'Direct N2O'!B42*60%</f>
        <v>5831.76</v>
      </c>
      <c r="E17" s="220">
        <v>1.3</v>
      </c>
      <c r="F17" s="88">
        <v>160.9</v>
      </c>
      <c r="G17" s="266">
        <v>1</v>
      </c>
      <c r="H17" s="43">
        <f>'EF&amp;SF lahan sawah'!$H$13</f>
        <v>0.28999999999999998</v>
      </c>
      <c r="I17" s="89">
        <f>'EF&amp;SF lahan sawah'!$N$22</f>
        <v>0.56746289219990131</v>
      </c>
      <c r="J17" s="150">
        <f t="shared" si="0"/>
        <v>30.629886766402873</v>
      </c>
      <c r="K17" s="42">
        <f t="shared" si="1"/>
        <v>0.23221399298348891</v>
      </c>
    </row>
    <row r="18" spans="2:11" x14ac:dyDescent="0.25">
      <c r="B18" s="308">
        <v>2028</v>
      </c>
      <c r="C18" s="6"/>
      <c r="D18" s="260">
        <f>'Direct N2O'!B43*60%</f>
        <v>5700.6359999999995</v>
      </c>
      <c r="E18" s="220">
        <v>1.3</v>
      </c>
      <c r="F18" s="88">
        <v>160.9</v>
      </c>
      <c r="G18" s="266">
        <v>1</v>
      </c>
      <c r="H18" s="43">
        <f>'EF&amp;SF lahan sawah'!$H$13</f>
        <v>0.28999999999999998</v>
      </c>
      <c r="I18" s="89">
        <f>'EF&amp;SF lahan sawah'!$N$22</f>
        <v>0.56746289219990131</v>
      </c>
      <c r="J18" s="150">
        <f t="shared" si="0"/>
        <v>30.629886766402873</v>
      </c>
      <c r="K18" s="42">
        <f t="shared" si="1"/>
        <v>0.22699278572942375</v>
      </c>
    </row>
    <row r="19" spans="2:11" x14ac:dyDescent="0.25">
      <c r="B19" s="308">
        <v>2029</v>
      </c>
      <c r="C19" s="6"/>
      <c r="D19" s="260">
        <f>'Direct N2O'!B44*60%</f>
        <v>5569.5119999999997</v>
      </c>
      <c r="E19" s="220">
        <v>1.3</v>
      </c>
      <c r="F19" s="88">
        <v>160.9</v>
      </c>
      <c r="G19" s="266">
        <v>1</v>
      </c>
      <c r="H19" s="43">
        <f>'EF&amp;SF lahan sawah'!$H$13</f>
        <v>0.28999999999999998</v>
      </c>
      <c r="I19" s="89">
        <f>'EF&amp;SF lahan sawah'!$N$22</f>
        <v>0.56746289219990131</v>
      </c>
      <c r="J19" s="150">
        <f t="shared" si="0"/>
        <v>30.629886766402873</v>
      </c>
      <c r="K19" s="42">
        <f t="shared" si="1"/>
        <v>0.22177157847535858</v>
      </c>
    </row>
    <row r="20" spans="2:11" x14ac:dyDescent="0.25">
      <c r="B20" s="308">
        <v>2030</v>
      </c>
      <c r="C20" s="6"/>
      <c r="D20" s="260">
        <f>'Direct N2O'!B45*60%</f>
        <v>5438.3879999999999</v>
      </c>
      <c r="E20" s="220">
        <v>1.3</v>
      </c>
      <c r="F20" s="88">
        <v>160.9</v>
      </c>
      <c r="G20" s="266">
        <v>1</v>
      </c>
      <c r="H20" s="43">
        <f>'EF&amp;SF lahan sawah'!$H$13</f>
        <v>0.28999999999999998</v>
      </c>
      <c r="I20" s="89">
        <f>'EF&amp;SF lahan sawah'!$N$22</f>
        <v>0.56746289219990131</v>
      </c>
      <c r="J20" s="150">
        <f t="shared" si="0"/>
        <v>30.629886766402873</v>
      </c>
      <c r="K20" s="42">
        <f t="shared" si="1"/>
        <v>0.21655037122129345</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60284.46</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1" t="s">
        <v>27</v>
      </c>
      <c r="E37" s="452"/>
      <c r="F37" s="451" t="s">
        <v>29</v>
      </c>
      <c r="G37" s="453"/>
      <c r="H37" s="258"/>
      <c r="I37" s="451" t="s">
        <v>29</v>
      </c>
      <c r="J37" s="452"/>
      <c r="K37" s="259" t="s">
        <v>27</v>
      </c>
    </row>
    <row r="38" spans="2:11" ht="75" x14ac:dyDescent="0.25">
      <c r="B38" s="454" t="s">
        <v>396</v>
      </c>
      <c r="C38" s="417" t="s">
        <v>192</v>
      </c>
      <c r="D38" s="24" t="s">
        <v>28</v>
      </c>
      <c r="E38" s="25" t="s">
        <v>398</v>
      </c>
      <c r="F38" s="24" t="s">
        <v>30</v>
      </c>
      <c r="G38" s="24" t="s">
        <v>31</v>
      </c>
      <c r="H38" s="24" t="s">
        <v>350</v>
      </c>
      <c r="I38" s="24" t="s">
        <v>352</v>
      </c>
      <c r="J38" s="25" t="s">
        <v>32</v>
      </c>
      <c r="K38" s="21" t="s">
        <v>33</v>
      </c>
    </row>
    <row r="39" spans="2:11" x14ac:dyDescent="0.25">
      <c r="B39" s="454"/>
      <c r="C39" s="417"/>
      <c r="D39" s="11" t="s">
        <v>34</v>
      </c>
      <c r="E39" s="8"/>
      <c r="F39" s="11" t="s">
        <v>399</v>
      </c>
      <c r="G39" s="11"/>
      <c r="H39" s="8"/>
      <c r="I39" s="11"/>
      <c r="J39" s="8" t="s">
        <v>401</v>
      </c>
      <c r="K39" s="1" t="s">
        <v>10</v>
      </c>
    </row>
    <row r="40" spans="2:11" ht="30" x14ac:dyDescent="0.25">
      <c r="B40" s="454"/>
      <c r="C40" s="417"/>
      <c r="D40" s="26"/>
      <c r="E40" s="27"/>
      <c r="F40" s="26"/>
      <c r="G40" s="26"/>
      <c r="H40" s="26"/>
      <c r="I40" s="26"/>
      <c r="J40" s="27" t="s">
        <v>41</v>
      </c>
      <c r="K40" s="28" t="s">
        <v>40</v>
      </c>
    </row>
    <row r="41" spans="2:11" ht="15.75" thickBot="1" x14ac:dyDescent="0.3">
      <c r="B41" s="455"/>
      <c r="C41" s="456"/>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3309.252</v>
      </c>
      <c r="E43" s="220">
        <v>1.3</v>
      </c>
      <c r="F43" s="88">
        <v>160.9</v>
      </c>
      <c r="G43" s="266">
        <v>1</v>
      </c>
      <c r="H43" s="43">
        <f>'EF&amp;SF lahan sawah'!$H$13</f>
        <v>0.28999999999999998</v>
      </c>
      <c r="I43" s="89">
        <f>'EF&amp;SF lahan sawah'!$N$27</f>
        <v>1.1568871577513371</v>
      </c>
      <c r="J43" s="150">
        <f>F43*G43*H43*I43*$I$28</f>
        <v>62.445180346605362</v>
      </c>
      <c r="K43" s="42">
        <f>D43*E43*J43*10^-6</f>
        <v>0.26864088933807384</v>
      </c>
    </row>
    <row r="44" spans="2:11" x14ac:dyDescent="0.25">
      <c r="B44" s="308">
        <f t="shared" ref="B44:B53" si="2">B12</f>
        <v>2022</v>
      </c>
      <c r="C44" s="6"/>
      <c r="D44" s="260">
        <f>'Direct N2O'!B37*30%</f>
        <v>3243.6899999999996</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0.2633186491500244</v>
      </c>
    </row>
    <row r="45" spans="2:11" x14ac:dyDescent="0.25">
      <c r="B45" s="308">
        <f t="shared" si="2"/>
        <v>2023</v>
      </c>
      <c r="C45" s="6"/>
      <c r="D45" s="260">
        <f>'Direct N2O'!B38*30%</f>
        <v>3178.1280000000002</v>
      </c>
      <c r="E45" s="220">
        <v>1.3</v>
      </c>
      <c r="F45" s="88">
        <v>160.9</v>
      </c>
      <c r="G45" s="266">
        <v>1</v>
      </c>
      <c r="H45" s="43">
        <f>'EF&amp;SF lahan sawah'!$H$13</f>
        <v>0.28999999999999998</v>
      </c>
      <c r="I45" s="89">
        <f>'EF&amp;SF lahan sawah'!$N$27</f>
        <v>1.1568871577513371</v>
      </c>
      <c r="J45" s="150">
        <f t="shared" si="3"/>
        <v>62.445180346605362</v>
      </c>
      <c r="K45" s="42">
        <f t="shared" si="4"/>
        <v>0.25799640896197507</v>
      </c>
    </row>
    <row r="46" spans="2:11" x14ac:dyDescent="0.25">
      <c r="B46" s="308">
        <f t="shared" si="2"/>
        <v>2024</v>
      </c>
      <c r="C46" s="6"/>
      <c r="D46" s="260">
        <f>'Direct N2O'!B39*30%</f>
        <v>3112.5659999999998</v>
      </c>
      <c r="E46" s="220">
        <v>1.3</v>
      </c>
      <c r="F46" s="88">
        <v>160.9</v>
      </c>
      <c r="G46" s="266">
        <v>1</v>
      </c>
      <c r="H46" s="43">
        <f>'EF&amp;SF lahan sawah'!$H$13</f>
        <v>0.28999999999999998</v>
      </c>
      <c r="I46" s="89">
        <f>'EF&amp;SF lahan sawah'!$N$27</f>
        <v>1.1568871577513371</v>
      </c>
      <c r="J46" s="150">
        <f t="shared" si="3"/>
        <v>62.445180346605362</v>
      </c>
      <c r="K46" s="42">
        <f t="shared" si="4"/>
        <v>0.25267416877392562</v>
      </c>
    </row>
    <row r="47" spans="2:11" x14ac:dyDescent="0.25">
      <c r="B47" s="308">
        <f t="shared" si="2"/>
        <v>2025</v>
      </c>
      <c r="C47" s="6"/>
      <c r="D47" s="260">
        <f>'Direct N2O'!B40*30%</f>
        <v>3047.0039999999999</v>
      </c>
      <c r="E47" s="220">
        <v>1.3</v>
      </c>
      <c r="F47" s="88">
        <v>160.9</v>
      </c>
      <c r="G47" s="266">
        <v>1</v>
      </c>
      <c r="H47" s="43">
        <f>'EF&amp;SF lahan sawah'!$H$13</f>
        <v>0.28999999999999998</v>
      </c>
      <c r="I47" s="89">
        <f>'EF&amp;SF lahan sawah'!$N$27</f>
        <v>1.1568871577513371</v>
      </c>
      <c r="J47" s="150">
        <f t="shared" si="3"/>
        <v>62.445180346605362</v>
      </c>
      <c r="K47" s="42">
        <f t="shared" si="4"/>
        <v>0.24735192858587629</v>
      </c>
    </row>
    <row r="48" spans="2:11" x14ac:dyDescent="0.25">
      <c r="B48" s="308">
        <f t="shared" si="2"/>
        <v>2026</v>
      </c>
      <c r="C48" s="6"/>
      <c r="D48" s="260">
        <f>'Direct N2O'!B41*30%</f>
        <v>2981.4419999999996</v>
      </c>
      <c r="E48" s="220">
        <v>1.3</v>
      </c>
      <c r="F48" s="88">
        <v>160.9</v>
      </c>
      <c r="G48" s="266">
        <v>1</v>
      </c>
      <c r="H48" s="43">
        <f>'EF&amp;SF lahan sawah'!$H$13</f>
        <v>0.28999999999999998</v>
      </c>
      <c r="I48" s="89">
        <f>'EF&amp;SF lahan sawah'!$N$27</f>
        <v>1.1568871577513371</v>
      </c>
      <c r="J48" s="150">
        <f t="shared" si="3"/>
        <v>62.445180346605362</v>
      </c>
      <c r="K48" s="42">
        <f t="shared" si="4"/>
        <v>0.24202968839782688</v>
      </c>
    </row>
    <row r="49" spans="2:11" x14ac:dyDescent="0.25">
      <c r="B49" s="308">
        <f t="shared" si="2"/>
        <v>2027</v>
      </c>
      <c r="C49" s="6"/>
      <c r="D49" s="260">
        <f>'Direct N2O'!B42*30%</f>
        <v>2915.88</v>
      </c>
      <c r="E49" s="220">
        <v>1.3</v>
      </c>
      <c r="F49" s="88">
        <v>160.9</v>
      </c>
      <c r="G49" s="266">
        <v>1</v>
      </c>
      <c r="H49" s="43">
        <f>'EF&amp;SF lahan sawah'!$H$13</f>
        <v>0.28999999999999998</v>
      </c>
      <c r="I49" s="89">
        <f>'EF&amp;SF lahan sawah'!$N$27</f>
        <v>1.1568871577513371</v>
      </c>
      <c r="J49" s="150">
        <f t="shared" si="3"/>
        <v>62.445180346605362</v>
      </c>
      <c r="K49" s="42">
        <f t="shared" si="4"/>
        <v>0.23670744820977754</v>
      </c>
    </row>
    <row r="50" spans="2:11" x14ac:dyDescent="0.25">
      <c r="B50" s="308">
        <f t="shared" si="2"/>
        <v>2028</v>
      </c>
      <c r="C50" s="6"/>
      <c r="D50" s="260">
        <f>'Direct N2O'!B43*30%</f>
        <v>2850.3179999999998</v>
      </c>
      <c r="E50" s="220">
        <v>1.3</v>
      </c>
      <c r="F50" s="88">
        <v>160.9</v>
      </c>
      <c r="G50" s="266">
        <v>1</v>
      </c>
      <c r="H50" s="43">
        <f>'EF&amp;SF lahan sawah'!$H$13</f>
        <v>0.28999999999999998</v>
      </c>
      <c r="I50" s="89">
        <f>'EF&amp;SF lahan sawah'!$N$27</f>
        <v>1.1568871577513371</v>
      </c>
      <c r="J50" s="150">
        <f t="shared" si="3"/>
        <v>62.445180346605362</v>
      </c>
      <c r="K50" s="42">
        <f t="shared" si="4"/>
        <v>0.23138520802172813</v>
      </c>
    </row>
    <row r="51" spans="2:11" x14ac:dyDescent="0.25">
      <c r="B51" s="308">
        <f t="shared" si="2"/>
        <v>2029</v>
      </c>
      <c r="C51" s="6"/>
      <c r="D51" s="260">
        <f>'Direct N2O'!B44*30%</f>
        <v>2784.7559999999999</v>
      </c>
      <c r="E51" s="220">
        <v>1.3</v>
      </c>
      <c r="F51" s="88">
        <v>160.9</v>
      </c>
      <c r="G51" s="266">
        <v>1</v>
      </c>
      <c r="H51" s="43">
        <f>'EF&amp;SF lahan sawah'!$H$13</f>
        <v>0.28999999999999998</v>
      </c>
      <c r="I51" s="89">
        <f>'EF&amp;SF lahan sawah'!$N$27</f>
        <v>1.1568871577513371</v>
      </c>
      <c r="J51" s="150">
        <f t="shared" si="3"/>
        <v>62.445180346605362</v>
      </c>
      <c r="K51" s="42">
        <f t="shared" si="4"/>
        <v>0.22606296783367874</v>
      </c>
    </row>
    <row r="52" spans="2:11" x14ac:dyDescent="0.25">
      <c r="B52" s="308">
        <f t="shared" si="2"/>
        <v>2030</v>
      </c>
      <c r="C52" s="6"/>
      <c r="D52" s="260">
        <f>'Direct N2O'!B45*30%</f>
        <v>2719.194</v>
      </c>
      <c r="E52" s="220">
        <v>1.3</v>
      </c>
      <c r="F52" s="88">
        <v>160.9</v>
      </c>
      <c r="G52" s="266">
        <v>1</v>
      </c>
      <c r="H52" s="43">
        <f>'EF&amp;SF lahan sawah'!$H$13</f>
        <v>0.28999999999999998</v>
      </c>
      <c r="I52" s="89">
        <f>'EF&amp;SF lahan sawah'!$N$27</f>
        <v>1.1568871577513371</v>
      </c>
      <c r="J52" s="150">
        <f t="shared" si="3"/>
        <v>62.445180346605362</v>
      </c>
      <c r="K52" s="42">
        <f t="shared" si="4"/>
        <v>0.22074072764562941</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30142.23</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1" t="s">
        <v>27</v>
      </c>
      <c r="E62" s="452"/>
      <c r="F62" s="451" t="s">
        <v>29</v>
      </c>
      <c r="G62" s="453"/>
      <c r="H62" s="258"/>
      <c r="I62" s="451" t="s">
        <v>29</v>
      </c>
      <c r="J62" s="452"/>
      <c r="K62" s="259" t="s">
        <v>27</v>
      </c>
    </row>
    <row r="63" spans="2:11" ht="75" x14ac:dyDescent="0.25">
      <c r="B63" s="454" t="s">
        <v>396</v>
      </c>
      <c r="C63" s="417" t="s">
        <v>192</v>
      </c>
      <c r="D63" s="24" t="s">
        <v>28</v>
      </c>
      <c r="E63" s="25" t="s">
        <v>398</v>
      </c>
      <c r="F63" s="24" t="s">
        <v>30</v>
      </c>
      <c r="G63" s="24" t="s">
        <v>31</v>
      </c>
      <c r="H63" s="24" t="s">
        <v>350</v>
      </c>
      <c r="I63" s="24" t="s">
        <v>352</v>
      </c>
      <c r="J63" s="25" t="s">
        <v>32</v>
      </c>
      <c r="K63" s="21" t="s">
        <v>33</v>
      </c>
    </row>
    <row r="64" spans="2:11" x14ac:dyDescent="0.25">
      <c r="B64" s="454"/>
      <c r="C64" s="417"/>
      <c r="D64" s="11" t="s">
        <v>34</v>
      </c>
      <c r="E64" s="8"/>
      <c r="F64" s="11" t="s">
        <v>399</v>
      </c>
      <c r="G64" s="11"/>
      <c r="H64" s="8"/>
      <c r="I64" s="11"/>
      <c r="J64" s="8" t="s">
        <v>401</v>
      </c>
      <c r="K64" s="1" t="s">
        <v>10</v>
      </c>
    </row>
    <row r="65" spans="2:11" ht="30" x14ac:dyDescent="0.25">
      <c r="B65" s="454"/>
      <c r="C65" s="417"/>
      <c r="D65" s="26"/>
      <c r="E65" s="27"/>
      <c r="F65" s="26"/>
      <c r="G65" s="26"/>
      <c r="H65" s="26"/>
      <c r="I65" s="26"/>
      <c r="J65" s="27" t="s">
        <v>41</v>
      </c>
      <c r="K65" s="28" t="s">
        <v>40</v>
      </c>
    </row>
    <row r="66" spans="2:11" ht="15.75" thickBot="1" x14ac:dyDescent="0.3">
      <c r="B66" s="455"/>
      <c r="C66" s="456"/>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1103.0840000000001</v>
      </c>
      <c r="E68" s="220">
        <v>1.3</v>
      </c>
      <c r="F68" s="88">
        <v>160.9</v>
      </c>
      <c r="G68" s="201">
        <v>1</v>
      </c>
      <c r="H68" s="43">
        <f>'EF&amp;SF lahan sawah'!$H$13</f>
        <v>0.28999999999999998</v>
      </c>
      <c r="I68" s="89">
        <f>'EF&amp;SF lahan sawah'!$N$38</f>
        <v>1.3386449714773025</v>
      </c>
      <c r="J68" s="150">
        <f>F68*G68*H68*I68*$I$28</f>
        <v>72.255903355739306</v>
      </c>
      <c r="K68" s="42">
        <f>D68*E68*J68*10^-6</f>
        <v>0.10361563016644106</v>
      </c>
    </row>
    <row r="69" spans="2:11" x14ac:dyDescent="0.25">
      <c r="B69" s="308">
        <f t="shared" ref="B69:B78" si="5">B12</f>
        <v>2022</v>
      </c>
      <c r="C69" s="6"/>
      <c r="D69" s="260">
        <f>'Direct N2O'!B37*10%</f>
        <v>1081.23</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0.10156282550092381</v>
      </c>
    </row>
    <row r="70" spans="2:11" x14ac:dyDescent="0.25">
      <c r="B70" s="308">
        <f t="shared" si="5"/>
        <v>2023</v>
      </c>
      <c r="C70" s="6"/>
      <c r="D70" s="260">
        <f>'Direct N2O'!B38*10%</f>
        <v>1059.376</v>
      </c>
      <c r="E70" s="220">
        <v>1.3</v>
      </c>
      <c r="F70" s="88">
        <v>160.9</v>
      </c>
      <c r="G70" s="201">
        <v>1</v>
      </c>
      <c r="H70" s="43">
        <f>'EF&amp;SF lahan sawah'!$H$13</f>
        <v>0.28999999999999998</v>
      </c>
      <c r="I70" s="89">
        <f>'EF&amp;SF lahan sawah'!$N$38</f>
        <v>1.3386449714773025</v>
      </c>
      <c r="J70" s="150">
        <f t="shared" si="6"/>
        <v>72.255903355739306</v>
      </c>
      <c r="K70" s="42">
        <f t="shared" si="7"/>
        <v>9.9510020835406596E-2</v>
      </c>
    </row>
    <row r="71" spans="2:11" x14ac:dyDescent="0.25">
      <c r="B71" s="308">
        <f t="shared" si="5"/>
        <v>2024</v>
      </c>
      <c r="C71" s="6"/>
      <c r="D71" s="260">
        <f>'Direct N2O'!B39*10%</f>
        <v>1037.5219999999999</v>
      </c>
      <c r="E71" s="220">
        <v>1.3</v>
      </c>
      <c r="F71" s="88">
        <v>160.9</v>
      </c>
      <c r="G71" s="201">
        <v>1</v>
      </c>
      <c r="H71" s="43">
        <f>'EF&amp;SF lahan sawah'!$H$13</f>
        <v>0.28999999999999998</v>
      </c>
      <c r="I71" s="89">
        <f>'EF&amp;SF lahan sawah'!$N$38</f>
        <v>1.3386449714773025</v>
      </c>
      <c r="J71" s="150">
        <f t="shared" si="6"/>
        <v>72.255903355739306</v>
      </c>
      <c r="K71" s="42">
        <f t="shared" si="7"/>
        <v>9.7457216169889352E-2</v>
      </c>
    </row>
    <row r="72" spans="2:11" x14ac:dyDescent="0.25">
      <c r="B72" s="308">
        <f t="shared" si="5"/>
        <v>2025</v>
      </c>
      <c r="C72" s="6"/>
      <c r="D72" s="260">
        <f>'Direct N2O'!B40*10%</f>
        <v>1015.6680000000001</v>
      </c>
      <c r="E72" s="220">
        <v>1.3</v>
      </c>
      <c r="F72" s="88">
        <v>160.9</v>
      </c>
      <c r="G72" s="201">
        <v>1</v>
      </c>
      <c r="H72" s="43">
        <f>'EF&amp;SF lahan sawah'!$H$13</f>
        <v>0.28999999999999998</v>
      </c>
      <c r="I72" s="89">
        <f>'EF&amp;SF lahan sawah'!$N$38</f>
        <v>1.3386449714773025</v>
      </c>
      <c r="J72" s="150">
        <f t="shared" si="6"/>
        <v>72.255903355739306</v>
      </c>
      <c r="K72" s="42">
        <f t="shared" si="7"/>
        <v>9.540441150437215E-2</v>
      </c>
    </row>
    <row r="73" spans="2:11" x14ac:dyDescent="0.25">
      <c r="B73" s="308">
        <f t="shared" si="5"/>
        <v>2026</v>
      </c>
      <c r="C73" s="6"/>
      <c r="D73" s="260">
        <f>'Direct N2O'!B41*10%</f>
        <v>993.81399999999996</v>
      </c>
      <c r="E73" s="220">
        <v>1.3</v>
      </c>
      <c r="F73" s="88">
        <v>160.9</v>
      </c>
      <c r="G73" s="201">
        <v>1</v>
      </c>
      <c r="H73" s="43">
        <f>'EF&amp;SF lahan sawah'!$H$13</f>
        <v>0.28999999999999998</v>
      </c>
      <c r="I73" s="89">
        <f>'EF&amp;SF lahan sawah'!$N$38</f>
        <v>1.3386449714773025</v>
      </c>
      <c r="J73" s="150">
        <f t="shared" si="6"/>
        <v>72.255903355739306</v>
      </c>
      <c r="K73" s="42">
        <f t="shared" si="7"/>
        <v>9.335160683885492E-2</v>
      </c>
    </row>
    <row r="74" spans="2:11" x14ac:dyDescent="0.25">
      <c r="B74" s="308">
        <f t="shared" si="5"/>
        <v>2027</v>
      </c>
      <c r="C74" s="6"/>
      <c r="D74" s="260">
        <f>'Direct N2O'!B42*10%</f>
        <v>971.96</v>
      </c>
      <c r="E74" s="220">
        <v>1.3</v>
      </c>
      <c r="F74" s="88">
        <v>160.9</v>
      </c>
      <c r="G74" s="201">
        <v>1</v>
      </c>
      <c r="H74" s="43">
        <f>'EF&amp;SF lahan sawah'!$H$13</f>
        <v>0.28999999999999998</v>
      </c>
      <c r="I74" s="89">
        <f>'EF&amp;SF lahan sawah'!$N$38</f>
        <v>1.3386449714773025</v>
      </c>
      <c r="J74" s="150">
        <f t="shared" si="6"/>
        <v>72.255903355739306</v>
      </c>
      <c r="K74" s="42">
        <f t="shared" si="7"/>
        <v>9.129880217333769E-2</v>
      </c>
    </row>
    <row r="75" spans="2:11" x14ac:dyDescent="0.25">
      <c r="B75" s="308">
        <f t="shared" si="5"/>
        <v>2028</v>
      </c>
      <c r="C75" s="6"/>
      <c r="D75" s="260">
        <f>'Direct N2O'!B43*10%</f>
        <v>950.10599999999999</v>
      </c>
      <c r="E75" s="220">
        <v>1.3</v>
      </c>
      <c r="F75" s="88">
        <v>160.9</v>
      </c>
      <c r="G75" s="201">
        <v>1</v>
      </c>
      <c r="H75" s="43">
        <f>'EF&amp;SF lahan sawah'!$H$13</f>
        <v>0.28999999999999998</v>
      </c>
      <c r="I75" s="89">
        <f>'EF&amp;SF lahan sawah'!$N$38</f>
        <v>1.3386449714773025</v>
      </c>
      <c r="J75" s="150">
        <f t="shared" si="6"/>
        <v>72.255903355739306</v>
      </c>
      <c r="K75" s="42">
        <f t="shared" si="7"/>
        <v>8.924599750782046E-2</v>
      </c>
    </row>
    <row r="76" spans="2:11" x14ac:dyDescent="0.25">
      <c r="B76" s="308">
        <f t="shared" si="5"/>
        <v>2029</v>
      </c>
      <c r="C76" s="6"/>
      <c r="D76" s="260">
        <f>'Direct N2O'!B44*10%</f>
        <v>928.25200000000007</v>
      </c>
      <c r="E76" s="220">
        <v>1.3</v>
      </c>
      <c r="F76" s="88">
        <v>160.9</v>
      </c>
      <c r="G76" s="201">
        <v>1</v>
      </c>
      <c r="H76" s="43">
        <f>'EF&amp;SF lahan sawah'!$H$13</f>
        <v>0.28999999999999998</v>
      </c>
      <c r="I76" s="89">
        <f>'EF&amp;SF lahan sawah'!$N$38</f>
        <v>1.3386449714773025</v>
      </c>
      <c r="J76" s="150">
        <f t="shared" si="6"/>
        <v>72.255903355739306</v>
      </c>
      <c r="K76" s="42">
        <f t="shared" si="7"/>
        <v>8.7193192842303244E-2</v>
      </c>
    </row>
    <row r="77" spans="2:11" x14ac:dyDescent="0.25">
      <c r="B77" s="308">
        <f t="shared" si="5"/>
        <v>2030</v>
      </c>
      <c r="C77" s="6"/>
      <c r="D77" s="260">
        <f>'Direct N2O'!B45*10%</f>
        <v>906.39800000000002</v>
      </c>
      <c r="E77" s="220">
        <v>1.3</v>
      </c>
      <c r="F77" s="88">
        <v>160.9</v>
      </c>
      <c r="G77" s="201">
        <v>1</v>
      </c>
      <c r="H77" s="43">
        <f>'EF&amp;SF lahan sawah'!$H$13</f>
        <v>0.28999999999999998</v>
      </c>
      <c r="I77" s="89">
        <f>'EF&amp;SF lahan sawah'!$N$38</f>
        <v>1.3386449714773025</v>
      </c>
      <c r="J77" s="150">
        <f t="shared" si="6"/>
        <v>72.255903355739306</v>
      </c>
      <c r="K77" s="42">
        <f t="shared" si="7"/>
        <v>8.5140388176786028E-2</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10047.410000000002</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62:E62"/>
    <mergeCell ref="F62:G62"/>
    <mergeCell ref="I62:J62"/>
    <mergeCell ref="B63:B66"/>
    <mergeCell ref="C63:C66"/>
    <mergeCell ref="D37:E37"/>
    <mergeCell ref="F37:G37"/>
    <mergeCell ref="I37:J37"/>
    <mergeCell ref="B38:B41"/>
    <mergeCell ref="C38:C41"/>
    <mergeCell ref="D5:E5"/>
    <mergeCell ref="I5:J5"/>
    <mergeCell ref="F5:G5"/>
    <mergeCell ref="B6:B9"/>
    <mergeCell ref="C6:C9"/>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7" t="s">
        <v>288</v>
      </c>
      <c r="D5" s="458"/>
      <c r="E5" s="458"/>
      <c r="F5" s="458"/>
      <c r="G5" s="459"/>
    </row>
    <row r="6" spans="2:7" ht="45" x14ac:dyDescent="0.25">
      <c r="B6" s="454" t="s">
        <v>396</v>
      </c>
      <c r="C6" s="23" t="s">
        <v>280</v>
      </c>
      <c r="D6" s="160" t="s">
        <v>54</v>
      </c>
      <c r="E6" s="164" t="s">
        <v>289</v>
      </c>
      <c r="F6" s="24" t="s">
        <v>54</v>
      </c>
      <c r="G6" s="157" t="s">
        <v>31</v>
      </c>
    </row>
    <row r="7" spans="2:7" ht="17.25" x14ac:dyDescent="0.25">
      <c r="B7" s="454"/>
      <c r="C7" s="23" t="s">
        <v>281</v>
      </c>
      <c r="D7" s="161" t="s">
        <v>290</v>
      </c>
      <c r="E7" s="24" t="s">
        <v>281</v>
      </c>
      <c r="F7" s="11" t="s">
        <v>291</v>
      </c>
      <c r="G7" s="93"/>
    </row>
    <row r="8" spans="2:7" x14ac:dyDescent="0.25">
      <c r="B8" s="454"/>
      <c r="C8" s="153"/>
      <c r="D8" s="162" t="s">
        <v>282</v>
      </c>
      <c r="E8" s="165"/>
      <c r="F8" s="26" t="s">
        <v>292</v>
      </c>
      <c r="G8" s="92"/>
    </row>
    <row r="9" spans="2:7" ht="18.75" thickBot="1" x14ac:dyDescent="0.4">
      <c r="B9" s="455"/>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3" t="s">
        <v>56</v>
      </c>
      <c r="D5" s="453"/>
      <c r="E5" s="460"/>
    </row>
    <row r="6" spans="2:5" ht="45" x14ac:dyDescent="0.25">
      <c r="B6" s="461" t="s">
        <v>396</v>
      </c>
      <c r="C6" s="173" t="s">
        <v>46</v>
      </c>
      <c r="D6" s="173" t="s">
        <v>48</v>
      </c>
      <c r="E6" s="173" t="s">
        <v>50</v>
      </c>
    </row>
    <row r="7" spans="2:5" x14ac:dyDescent="0.25">
      <c r="B7" s="462"/>
      <c r="C7" s="30" t="s">
        <v>47</v>
      </c>
      <c r="D7" s="30" t="s">
        <v>49</v>
      </c>
      <c r="E7" s="30" t="s">
        <v>51</v>
      </c>
    </row>
    <row r="8" spans="2:5" x14ac:dyDescent="0.25">
      <c r="B8" s="462"/>
      <c r="C8" s="31"/>
      <c r="D8" s="31"/>
      <c r="E8" s="30" t="s">
        <v>52</v>
      </c>
    </row>
    <row r="9" spans="2:5" ht="15.75" thickBot="1" x14ac:dyDescent="0.3">
      <c r="B9" s="463"/>
      <c r="C9" s="14" t="s">
        <v>53</v>
      </c>
      <c r="D9" s="14" t="s">
        <v>54</v>
      </c>
      <c r="E9" s="14" t="s">
        <v>55</v>
      </c>
    </row>
    <row r="10" spans="2:5" x14ac:dyDescent="0.25">
      <c r="B10" s="3"/>
      <c r="C10" s="3"/>
      <c r="D10" s="3"/>
      <c r="E10" s="3"/>
    </row>
    <row r="11" spans="2:5" x14ac:dyDescent="0.25">
      <c r="B11" s="308">
        <f>'Lahan sawah'!B11</f>
        <v>2021</v>
      </c>
      <c r="C11" s="260">
        <f>'Direct N2O'!T36*10^-3</f>
        <v>3033.4810000000002</v>
      </c>
      <c r="D11" s="224">
        <v>0.2</v>
      </c>
      <c r="E11" s="225">
        <f>C11*D11</f>
        <v>606.69620000000009</v>
      </c>
    </row>
    <row r="12" spans="2:5" x14ac:dyDescent="0.25">
      <c r="B12" s="308">
        <f>'Lahan sawah'!B12</f>
        <v>2022</v>
      </c>
      <c r="C12" s="260">
        <f>'Direct N2O'!T37*10^-3</f>
        <v>2973.3825000000002</v>
      </c>
      <c r="D12" s="224">
        <v>0.2</v>
      </c>
      <c r="E12" s="225">
        <f t="shared" ref="E12:E21" si="0">C12*D12</f>
        <v>594.67650000000003</v>
      </c>
    </row>
    <row r="13" spans="2:5" x14ac:dyDescent="0.25">
      <c r="B13" s="308">
        <f>'Lahan sawah'!B13</f>
        <v>2023</v>
      </c>
      <c r="C13" s="260">
        <f>'Direct N2O'!T38*10^-3</f>
        <v>2913.2840000000001</v>
      </c>
      <c r="D13" s="224">
        <v>0.2</v>
      </c>
      <c r="E13" s="225">
        <f t="shared" si="0"/>
        <v>582.65680000000009</v>
      </c>
    </row>
    <row r="14" spans="2:5" x14ac:dyDescent="0.25">
      <c r="B14" s="308">
        <f>'Lahan sawah'!B14</f>
        <v>2024</v>
      </c>
      <c r="C14" s="260">
        <f>'Direct N2O'!T39*10^-3</f>
        <v>2853.1855</v>
      </c>
      <c r="D14" s="224">
        <v>0.2</v>
      </c>
      <c r="E14" s="225">
        <f t="shared" si="0"/>
        <v>570.63710000000003</v>
      </c>
    </row>
    <row r="15" spans="2:5" x14ac:dyDescent="0.25">
      <c r="B15" s="308">
        <f>'Lahan sawah'!B15</f>
        <v>2025</v>
      </c>
      <c r="C15" s="260">
        <f>'Direct N2O'!T40*10^-3</f>
        <v>2793.087</v>
      </c>
      <c r="D15" s="224">
        <v>0.2</v>
      </c>
      <c r="E15" s="225">
        <f t="shared" si="0"/>
        <v>558.61739999999998</v>
      </c>
    </row>
    <row r="16" spans="2:5" x14ac:dyDescent="0.25">
      <c r="B16" s="308">
        <f>'Lahan sawah'!B16</f>
        <v>2026</v>
      </c>
      <c r="C16" s="260">
        <f>'Direct N2O'!T41*10^-3</f>
        <v>2732.9884999999999</v>
      </c>
      <c r="D16" s="224">
        <v>0.2</v>
      </c>
      <c r="E16" s="225">
        <f t="shared" si="0"/>
        <v>546.59770000000003</v>
      </c>
    </row>
    <row r="17" spans="2:13" x14ac:dyDescent="0.25">
      <c r="B17" s="308">
        <f>'Lahan sawah'!B17</f>
        <v>2027</v>
      </c>
      <c r="C17" s="260">
        <f>'Direct N2O'!T42*10^-3</f>
        <v>2672.89</v>
      </c>
      <c r="D17" s="224">
        <v>0.2</v>
      </c>
      <c r="E17" s="225">
        <f t="shared" si="0"/>
        <v>534.57799999999997</v>
      </c>
    </row>
    <row r="18" spans="2:13" x14ac:dyDescent="0.25">
      <c r="B18" s="308">
        <f>'Lahan sawah'!B18</f>
        <v>2028</v>
      </c>
      <c r="C18" s="260">
        <f>'Direct N2O'!T43*10^-3</f>
        <v>2612.7915000000003</v>
      </c>
      <c r="D18" s="224">
        <v>0.2</v>
      </c>
      <c r="E18" s="176">
        <f t="shared" si="0"/>
        <v>522.55830000000003</v>
      </c>
    </row>
    <row r="19" spans="2:13" x14ac:dyDescent="0.25">
      <c r="B19" s="308">
        <f>'Lahan sawah'!B19</f>
        <v>2029</v>
      </c>
      <c r="C19" s="260">
        <f>'Direct N2O'!T44*10^-3</f>
        <v>2552.6930000000002</v>
      </c>
      <c r="D19" s="224">
        <v>0.2</v>
      </c>
      <c r="E19" s="176">
        <f t="shared" si="0"/>
        <v>510.53860000000009</v>
      </c>
    </row>
    <row r="20" spans="2:13" x14ac:dyDescent="0.25">
      <c r="B20" s="308">
        <f>'Lahan sawah'!B20</f>
        <v>2030</v>
      </c>
      <c r="C20" s="260">
        <f>'Direct N2O'!T45*10^-3</f>
        <v>2492.5945000000002</v>
      </c>
      <c r="D20" s="224">
        <v>0.2</v>
      </c>
      <c r="E20" s="176">
        <f t="shared" si="0"/>
        <v>498.51890000000003</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1784.0295000000001</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3" zoomScale="85" zoomScaleNormal="85" workbookViewId="0">
      <selection activeCell="M36" sqref="M36:M46"/>
    </sheetView>
  </sheetViews>
  <sheetFormatPr defaultColWidth="11.42578125" defaultRowHeight="12.75" x14ac:dyDescent="0.25"/>
  <cols>
    <col min="1" max="1" width="16.7109375" style="310" customWidth="1"/>
    <col min="2" max="2" width="14.5703125" style="311" customWidth="1"/>
    <col min="3" max="3" width="16.7109375" style="311" customWidth="1"/>
    <col min="4" max="4" width="19" style="312" bestFit="1" customWidth="1"/>
    <col min="5" max="5" width="8" style="311" bestFit="1" customWidth="1"/>
    <col min="6" max="6" width="14.7109375" style="311" bestFit="1" customWidth="1"/>
    <col min="7" max="7" width="22.7109375" style="311" customWidth="1"/>
    <col min="8" max="8" width="11.5703125" style="311" bestFit="1" customWidth="1"/>
    <col min="9" max="9" width="11.7109375" style="311" bestFit="1" customWidth="1"/>
    <col min="10" max="10" width="16.140625" style="311" customWidth="1"/>
    <col min="11" max="12" width="11.5703125" style="311" bestFit="1" customWidth="1"/>
    <col min="13" max="13" width="12.85546875" style="311" customWidth="1"/>
    <col min="14" max="14" width="11.5703125" style="311" customWidth="1"/>
    <col min="15" max="15" width="11.7109375" style="311" bestFit="1" customWidth="1"/>
    <col min="16" max="16" width="15.140625" style="311" customWidth="1"/>
    <col min="17" max="17" width="12.42578125" style="311" bestFit="1" customWidth="1"/>
    <col min="18" max="18" width="11.7109375" style="311" bestFit="1" customWidth="1"/>
    <col min="19" max="20" width="11.5703125" style="311" bestFit="1" customWidth="1"/>
    <col min="21" max="21" width="12.42578125" style="311" bestFit="1" customWidth="1"/>
    <col min="22" max="22" width="11.5703125" style="311" bestFit="1" customWidth="1"/>
    <col min="23" max="23" width="13.5703125" style="311" customWidth="1"/>
    <col min="24" max="24" width="11.5703125" style="311" bestFit="1" customWidth="1"/>
    <col min="25" max="25" width="16.42578125" style="311" customWidth="1"/>
    <col min="26" max="26" width="14.140625" style="311" customWidth="1"/>
    <col min="27" max="27" width="15.5703125" style="311" customWidth="1"/>
    <col min="28" max="28" width="11.5703125" style="311" bestFit="1" customWidth="1"/>
    <col min="29" max="29" width="11.42578125" style="311"/>
    <col min="30" max="30" width="13.7109375" style="311" bestFit="1" customWidth="1"/>
    <col min="31" max="31" width="12.5703125" style="311" customWidth="1"/>
    <col min="32" max="32" width="11.42578125" style="311"/>
    <col min="33" max="33" width="15" style="311" bestFit="1" customWidth="1"/>
    <col min="34" max="34" width="13.85546875" style="311" customWidth="1"/>
    <col min="35" max="35" width="16.28515625" style="311" customWidth="1"/>
    <col min="36" max="38" width="11.5703125" style="311" bestFit="1" customWidth="1"/>
    <col min="39"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69" t="s">
        <v>367</v>
      </c>
      <c r="B3" s="469"/>
      <c r="C3" s="470" t="s">
        <v>368</v>
      </c>
      <c r="D3" s="470"/>
      <c r="E3" s="470"/>
      <c r="F3" s="470"/>
      <c r="G3" s="470"/>
      <c r="H3" s="311"/>
      <c r="I3" s="400"/>
      <c r="J3" s="400"/>
      <c r="K3" s="400"/>
      <c r="L3" s="400"/>
      <c r="M3" s="400"/>
      <c r="N3" s="400"/>
      <c r="O3" s="400"/>
      <c r="P3" s="311"/>
      <c r="Q3" s="400"/>
      <c r="R3" s="400"/>
      <c r="S3" s="400"/>
      <c r="T3" s="400"/>
      <c r="U3" s="400"/>
      <c r="V3" s="400"/>
      <c r="W3" s="400"/>
      <c r="Y3" s="400"/>
      <c r="Z3" s="400"/>
      <c r="AA3" s="400"/>
      <c r="AB3" s="400"/>
      <c r="AC3" s="400"/>
      <c r="AD3" s="400"/>
      <c r="AE3" s="400"/>
      <c r="AG3" s="465"/>
      <c r="AH3" s="465"/>
      <c r="AI3" s="466"/>
      <c r="AJ3" s="466"/>
      <c r="AK3" s="466"/>
      <c r="AL3" s="466"/>
      <c r="AM3" s="466"/>
      <c r="AO3" s="465"/>
      <c r="AP3" s="465"/>
      <c r="AQ3" s="466"/>
      <c r="AR3" s="466"/>
      <c r="AS3" s="466"/>
      <c r="AT3" s="466"/>
      <c r="AU3" s="466"/>
      <c r="AW3" s="465"/>
      <c r="AX3" s="465"/>
      <c r="AY3" s="466"/>
      <c r="AZ3" s="466"/>
      <c r="BA3" s="466"/>
      <c r="BB3" s="466"/>
      <c r="BC3" s="466"/>
      <c r="BE3" s="465"/>
      <c r="BF3" s="465"/>
      <c r="BG3" s="466"/>
      <c r="BH3" s="466"/>
      <c r="BI3" s="466"/>
      <c r="BJ3" s="466"/>
      <c r="BK3" s="466"/>
      <c r="BM3" s="465"/>
      <c r="BN3" s="465"/>
      <c r="BO3" s="466"/>
      <c r="BP3" s="466"/>
      <c r="BQ3" s="466"/>
      <c r="BR3" s="466"/>
      <c r="BS3" s="466"/>
      <c r="BU3" s="465"/>
      <c r="BV3" s="465"/>
      <c r="BW3" s="466"/>
      <c r="BX3" s="466"/>
      <c r="BY3" s="466"/>
      <c r="BZ3" s="466"/>
      <c r="CA3" s="466"/>
      <c r="CC3" s="400"/>
      <c r="CD3" s="400"/>
      <c r="CE3" s="400"/>
      <c r="CF3" s="400"/>
      <c r="CG3" s="400"/>
      <c r="CH3" s="400"/>
      <c r="CI3" s="400"/>
    </row>
    <row r="4" spans="1:87" s="313" customFormat="1" ht="13.5" customHeight="1" x14ac:dyDescent="0.25">
      <c r="A4" s="469" t="s">
        <v>369</v>
      </c>
      <c r="B4" s="469"/>
      <c r="C4" s="470" t="s">
        <v>481</v>
      </c>
      <c r="D4" s="470"/>
      <c r="E4" s="470"/>
      <c r="F4" s="470"/>
      <c r="G4" s="470"/>
      <c r="H4" s="311"/>
      <c r="I4" s="400"/>
      <c r="J4" s="400"/>
      <c r="K4" s="400"/>
      <c r="L4" s="400"/>
      <c r="M4" s="400"/>
      <c r="N4" s="400"/>
      <c r="O4" s="400"/>
      <c r="P4" s="311"/>
      <c r="Q4" s="400"/>
      <c r="R4" s="400"/>
      <c r="S4" s="400"/>
      <c r="T4" s="400"/>
      <c r="U4" s="400"/>
      <c r="V4" s="400"/>
      <c r="W4" s="400"/>
      <c r="Y4" s="400"/>
      <c r="Z4" s="400"/>
      <c r="AA4" s="400"/>
      <c r="AB4" s="400"/>
      <c r="AC4" s="400"/>
      <c r="AD4" s="400"/>
      <c r="AE4" s="400"/>
      <c r="AG4" s="465"/>
      <c r="AH4" s="465"/>
      <c r="AI4" s="466"/>
      <c r="AJ4" s="466"/>
      <c r="AK4" s="466"/>
      <c r="AL4" s="466"/>
      <c r="AM4" s="466"/>
      <c r="AO4" s="465"/>
      <c r="AP4" s="465"/>
      <c r="AQ4" s="466"/>
      <c r="AR4" s="466"/>
      <c r="AS4" s="466"/>
      <c r="AT4" s="466"/>
      <c r="AU4" s="466"/>
      <c r="AW4" s="465"/>
      <c r="AX4" s="465"/>
      <c r="AY4" s="466"/>
      <c r="AZ4" s="466"/>
      <c r="BA4" s="466"/>
      <c r="BB4" s="466"/>
      <c r="BC4" s="466"/>
      <c r="BE4" s="465"/>
      <c r="BF4" s="465"/>
      <c r="BG4" s="466"/>
      <c r="BH4" s="466"/>
      <c r="BI4" s="466"/>
      <c r="BJ4" s="466"/>
      <c r="BK4" s="466"/>
      <c r="BM4" s="465"/>
      <c r="BN4" s="465"/>
      <c r="BO4" s="466"/>
      <c r="BP4" s="466"/>
      <c r="BQ4" s="466"/>
      <c r="BR4" s="466"/>
      <c r="BS4" s="466"/>
      <c r="BU4" s="465"/>
      <c r="BV4" s="465"/>
      <c r="BW4" s="466"/>
      <c r="BX4" s="466"/>
      <c r="BY4" s="466"/>
      <c r="BZ4" s="466"/>
      <c r="CA4" s="466"/>
      <c r="CC4" s="400"/>
      <c r="CD4" s="400"/>
      <c r="CE4" s="400"/>
      <c r="CF4" s="400"/>
      <c r="CG4" s="400"/>
      <c r="CH4" s="400"/>
      <c r="CI4" s="400"/>
    </row>
    <row r="5" spans="1:87" s="313" customFormat="1" x14ac:dyDescent="0.25">
      <c r="A5" s="469" t="s">
        <v>370</v>
      </c>
      <c r="B5" s="469"/>
      <c r="C5" s="470" t="s">
        <v>371</v>
      </c>
      <c r="D5" s="470"/>
      <c r="E5" s="470"/>
      <c r="F5" s="470"/>
      <c r="G5" s="470"/>
      <c r="H5" s="311"/>
      <c r="I5" s="400"/>
      <c r="J5" s="400"/>
      <c r="K5" s="400"/>
      <c r="L5" s="400"/>
      <c r="M5" s="400"/>
      <c r="N5" s="400"/>
      <c r="O5" s="400"/>
      <c r="P5" s="311"/>
      <c r="Q5" s="400"/>
      <c r="R5" s="400"/>
      <c r="S5" s="400"/>
      <c r="T5" s="400"/>
      <c r="U5" s="400"/>
      <c r="V5" s="400"/>
      <c r="W5" s="400"/>
      <c r="Y5" s="400"/>
      <c r="Z5" s="400"/>
      <c r="AA5" s="400"/>
      <c r="AB5" s="400"/>
      <c r="AC5" s="400"/>
      <c r="AD5" s="400"/>
      <c r="AE5" s="400"/>
      <c r="AG5" s="465"/>
      <c r="AH5" s="465"/>
      <c r="AI5" s="466"/>
      <c r="AJ5" s="466"/>
      <c r="AK5" s="466"/>
      <c r="AL5" s="466"/>
      <c r="AM5" s="466"/>
      <c r="AO5" s="465"/>
      <c r="AP5" s="465"/>
      <c r="AQ5" s="466"/>
      <c r="AR5" s="466"/>
      <c r="AS5" s="466"/>
      <c r="AT5" s="466"/>
      <c r="AU5" s="466"/>
      <c r="AW5" s="465"/>
      <c r="AX5" s="465"/>
      <c r="AY5" s="466"/>
      <c r="AZ5" s="466"/>
      <c r="BA5" s="466"/>
      <c r="BB5" s="466"/>
      <c r="BC5" s="466"/>
      <c r="BE5" s="465"/>
      <c r="BF5" s="465"/>
      <c r="BG5" s="466"/>
      <c r="BH5" s="466"/>
      <c r="BI5" s="466"/>
      <c r="BJ5" s="466"/>
      <c r="BK5" s="466"/>
      <c r="BM5" s="465"/>
      <c r="BN5" s="465"/>
      <c r="BO5" s="466"/>
      <c r="BP5" s="466"/>
      <c r="BQ5" s="466"/>
      <c r="BR5" s="466"/>
      <c r="BS5" s="466"/>
      <c r="BU5" s="465"/>
      <c r="BV5" s="465"/>
      <c r="BW5" s="466"/>
      <c r="BX5" s="466"/>
      <c r="BY5" s="466"/>
      <c r="BZ5" s="466"/>
      <c r="CA5" s="466"/>
      <c r="CC5" s="400"/>
      <c r="CD5" s="400"/>
      <c r="CE5" s="400"/>
      <c r="CF5" s="400"/>
      <c r="CG5" s="400"/>
      <c r="CH5" s="400"/>
      <c r="CI5" s="400"/>
    </row>
    <row r="6" spans="1:87" s="313" customFormat="1" x14ac:dyDescent="0.25">
      <c r="A6" s="469" t="s">
        <v>372</v>
      </c>
      <c r="B6" s="469"/>
      <c r="C6" s="470" t="s">
        <v>373</v>
      </c>
      <c r="D6" s="470"/>
      <c r="E6" s="470"/>
      <c r="F6" s="470"/>
      <c r="G6" s="470"/>
      <c r="H6" s="311"/>
      <c r="I6" s="400"/>
      <c r="J6" s="400"/>
      <c r="K6" s="400"/>
      <c r="L6" s="400"/>
      <c r="M6" s="400"/>
      <c r="N6" s="400"/>
      <c r="O6" s="400"/>
      <c r="P6" s="311"/>
      <c r="Q6" s="400"/>
      <c r="R6" s="400"/>
      <c r="S6" s="400"/>
      <c r="T6" s="400"/>
      <c r="U6" s="400"/>
      <c r="V6" s="400"/>
      <c r="W6" s="400"/>
      <c r="Y6" s="400"/>
      <c r="Z6" s="400"/>
      <c r="AA6" s="400"/>
      <c r="AB6" s="400"/>
      <c r="AC6" s="400"/>
      <c r="AD6" s="400"/>
      <c r="AE6" s="400"/>
      <c r="AG6" s="465"/>
      <c r="AH6" s="465"/>
      <c r="AI6" s="466"/>
      <c r="AJ6" s="466"/>
      <c r="AK6" s="466"/>
      <c r="AL6" s="466"/>
      <c r="AM6" s="466"/>
      <c r="AO6" s="465"/>
      <c r="AP6" s="465"/>
      <c r="AQ6" s="466"/>
      <c r="AR6" s="466"/>
      <c r="AS6" s="466"/>
      <c r="AT6" s="466"/>
      <c r="AU6" s="466"/>
      <c r="AW6" s="465"/>
      <c r="AX6" s="465"/>
      <c r="AY6" s="466"/>
      <c r="AZ6" s="466"/>
      <c r="BA6" s="466"/>
      <c r="BB6" s="466"/>
      <c r="BC6" s="466"/>
      <c r="BE6" s="465"/>
      <c r="BF6" s="465"/>
      <c r="BG6" s="466"/>
      <c r="BH6" s="466"/>
      <c r="BI6" s="466"/>
      <c r="BJ6" s="466"/>
      <c r="BK6" s="466"/>
      <c r="BM6" s="465"/>
      <c r="BN6" s="465"/>
      <c r="BO6" s="466"/>
      <c r="BP6" s="466"/>
      <c r="BQ6" s="466"/>
      <c r="BR6" s="466"/>
      <c r="BS6" s="466"/>
      <c r="BU6" s="465"/>
      <c r="BV6" s="465"/>
      <c r="BW6" s="466"/>
      <c r="BX6" s="466"/>
      <c r="BY6" s="466"/>
      <c r="BZ6" s="466"/>
      <c r="CA6" s="466"/>
      <c r="CC6" s="400"/>
      <c r="CD6" s="400"/>
      <c r="CE6" s="400"/>
      <c r="CF6" s="400"/>
      <c r="CG6" s="400"/>
      <c r="CH6" s="400"/>
      <c r="CI6" s="400"/>
    </row>
    <row r="7" spans="1:87" s="313" customFormat="1" x14ac:dyDescent="0.25">
      <c r="A7" s="471" t="s">
        <v>3</v>
      </c>
      <c r="B7" s="471"/>
      <c r="C7" s="472" t="s">
        <v>374</v>
      </c>
      <c r="D7" s="472"/>
      <c r="E7" s="472"/>
      <c r="F7" s="472"/>
      <c r="G7" s="472"/>
      <c r="H7" s="311"/>
      <c r="I7" s="400"/>
      <c r="J7" s="400"/>
      <c r="K7" s="400"/>
      <c r="L7" s="400"/>
      <c r="M7" s="400"/>
      <c r="N7" s="400"/>
      <c r="O7" s="400"/>
      <c r="P7" s="311"/>
      <c r="Q7" s="400"/>
      <c r="R7" s="400"/>
      <c r="S7" s="400"/>
      <c r="T7" s="400"/>
      <c r="U7" s="400"/>
      <c r="V7" s="400"/>
      <c r="W7" s="400"/>
      <c r="Y7" s="400"/>
      <c r="Z7" s="400"/>
      <c r="AA7" s="400"/>
      <c r="AB7" s="400"/>
      <c r="AC7" s="400"/>
      <c r="AD7" s="400"/>
      <c r="AE7" s="400"/>
      <c r="AG7" s="465"/>
      <c r="AH7" s="465"/>
      <c r="AI7" s="467"/>
      <c r="AJ7" s="467"/>
      <c r="AK7" s="467"/>
      <c r="AL7" s="467"/>
      <c r="AM7" s="467"/>
      <c r="AO7" s="465"/>
      <c r="AP7" s="465"/>
      <c r="AQ7" s="467"/>
      <c r="AR7" s="467"/>
      <c r="AS7" s="467"/>
      <c r="AT7" s="467"/>
      <c r="AU7" s="467"/>
      <c r="AW7" s="465"/>
      <c r="AX7" s="465"/>
      <c r="AY7" s="467"/>
      <c r="AZ7" s="467"/>
      <c r="BA7" s="467"/>
      <c r="BB7" s="467"/>
      <c r="BC7" s="467"/>
      <c r="BE7" s="465"/>
      <c r="BF7" s="465"/>
      <c r="BG7" s="467"/>
      <c r="BH7" s="467"/>
      <c r="BI7" s="467"/>
      <c r="BJ7" s="467"/>
      <c r="BK7" s="467"/>
      <c r="BM7" s="465"/>
      <c r="BN7" s="465"/>
      <c r="BO7" s="467"/>
      <c r="BP7" s="467"/>
      <c r="BQ7" s="467"/>
      <c r="BR7" s="467"/>
      <c r="BS7" s="467"/>
      <c r="BU7" s="465"/>
      <c r="BV7" s="465"/>
      <c r="BW7" s="467"/>
      <c r="BX7" s="467"/>
      <c r="BY7" s="467"/>
      <c r="BZ7" s="467"/>
      <c r="CA7" s="467"/>
      <c r="CC7" s="400"/>
      <c r="CD7" s="400"/>
      <c r="CE7" s="400"/>
      <c r="CF7" s="400"/>
      <c r="CG7" s="400"/>
      <c r="CH7" s="400"/>
      <c r="CI7" s="400"/>
    </row>
    <row r="8" spans="1:87" s="313" customFormat="1" ht="39.75" x14ac:dyDescent="0.25">
      <c r="A8" s="477" t="s">
        <v>375</v>
      </c>
      <c r="B8" s="477"/>
      <c r="C8" s="477" t="s">
        <v>376</v>
      </c>
      <c r="D8" s="477"/>
      <c r="E8" s="477" t="s">
        <v>482</v>
      </c>
      <c r="F8" s="477"/>
      <c r="G8" s="396" t="s">
        <v>483</v>
      </c>
      <c r="H8" s="311"/>
      <c r="I8" s="314"/>
      <c r="J8" s="314"/>
      <c r="K8" s="314"/>
      <c r="L8" s="314"/>
      <c r="M8" s="314"/>
      <c r="N8" s="314"/>
      <c r="O8" s="350"/>
      <c r="P8" s="311"/>
      <c r="Q8" s="314"/>
      <c r="R8" s="314"/>
      <c r="S8" s="314"/>
      <c r="T8" s="314"/>
      <c r="U8" s="314"/>
      <c r="V8" s="314"/>
      <c r="W8" s="350"/>
      <c r="Y8" s="314"/>
      <c r="Z8" s="314"/>
      <c r="AA8" s="314"/>
      <c r="AB8" s="314"/>
      <c r="AC8" s="314"/>
      <c r="AD8" s="314"/>
      <c r="AE8" s="350"/>
      <c r="AG8" s="314"/>
      <c r="AH8" s="314"/>
      <c r="AI8" s="314"/>
      <c r="AJ8" s="314"/>
      <c r="AK8" s="314"/>
      <c r="AL8" s="314"/>
      <c r="AM8" s="350"/>
      <c r="AO8" s="314"/>
      <c r="AP8" s="314"/>
      <c r="AQ8" s="314"/>
      <c r="AR8" s="314"/>
      <c r="AS8" s="314"/>
      <c r="AT8" s="314"/>
      <c r="AU8" s="350"/>
      <c r="AW8" s="314"/>
      <c r="AX8" s="314"/>
      <c r="AY8" s="314"/>
      <c r="AZ8" s="314"/>
      <c r="BA8" s="314"/>
      <c r="BB8" s="314"/>
      <c r="BC8" s="350"/>
      <c r="BE8" s="314"/>
      <c r="BF8" s="314"/>
      <c r="BG8" s="314"/>
      <c r="BH8" s="314"/>
      <c r="BI8" s="314"/>
      <c r="BJ8" s="314"/>
      <c r="BK8" s="350"/>
      <c r="BM8" s="314"/>
      <c r="BN8" s="314"/>
      <c r="BO8" s="314"/>
      <c r="BP8" s="314"/>
      <c r="BQ8" s="314"/>
      <c r="BR8" s="314"/>
      <c r="BS8" s="350"/>
      <c r="BU8" s="314"/>
      <c r="BV8" s="314"/>
      <c r="BW8" s="314"/>
      <c r="BX8" s="314"/>
      <c r="BY8" s="314"/>
      <c r="BZ8" s="314"/>
      <c r="CA8" s="350"/>
      <c r="CC8" s="314"/>
      <c r="CD8" s="314"/>
      <c r="CE8" s="314"/>
      <c r="CF8" s="314"/>
      <c r="CG8" s="314"/>
      <c r="CH8" s="314"/>
      <c r="CI8" s="350"/>
    </row>
    <row r="9" spans="1:87" s="313" customFormat="1" ht="13.5" customHeight="1" x14ac:dyDescent="0.25">
      <c r="A9" s="477"/>
      <c r="B9" s="477"/>
      <c r="C9" s="477" t="s">
        <v>484</v>
      </c>
      <c r="D9" s="477"/>
      <c r="E9" s="477" t="s">
        <v>485</v>
      </c>
      <c r="F9" s="477"/>
      <c r="G9" s="478"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7"/>
      <c r="B10" s="477"/>
      <c r="C10" s="477"/>
      <c r="D10" s="477"/>
      <c r="E10" s="477"/>
      <c r="F10" s="477"/>
      <c r="G10" s="478"/>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7"/>
      <c r="B11" s="477"/>
      <c r="C11" s="477"/>
      <c r="D11" s="477"/>
      <c r="E11" s="477" t="s">
        <v>377</v>
      </c>
      <c r="F11" s="477"/>
      <c r="G11" s="396" t="s">
        <v>487</v>
      </c>
      <c r="H11" s="311"/>
      <c r="I11" s="314"/>
      <c r="J11" s="314"/>
      <c r="K11" s="314"/>
      <c r="L11" s="314"/>
      <c r="M11" s="314"/>
      <c r="N11" s="314"/>
      <c r="O11" s="350"/>
      <c r="P11" s="311"/>
      <c r="Q11" s="314"/>
      <c r="R11" s="314"/>
      <c r="S11" s="314"/>
      <c r="T11" s="314"/>
      <c r="U11" s="314"/>
      <c r="V11" s="314"/>
      <c r="W11" s="350"/>
      <c r="Y11" s="314"/>
      <c r="Z11" s="314"/>
      <c r="AA11" s="314"/>
      <c r="AB11" s="314"/>
      <c r="AC11" s="314"/>
      <c r="AD11" s="314"/>
      <c r="AE11" s="350"/>
      <c r="AG11" s="314"/>
      <c r="AH11" s="314"/>
      <c r="AI11" s="314"/>
      <c r="AJ11" s="314"/>
      <c r="AK11" s="314"/>
      <c r="AL11" s="314"/>
      <c r="AM11" s="350"/>
      <c r="AO11" s="314"/>
      <c r="AP11" s="314"/>
      <c r="AQ11" s="314"/>
      <c r="AR11" s="314"/>
      <c r="AS11" s="314"/>
      <c r="AT11" s="314"/>
      <c r="AU11" s="350"/>
      <c r="AW11" s="314"/>
      <c r="AX11" s="314"/>
      <c r="AY11" s="314"/>
      <c r="AZ11" s="314"/>
      <c r="BA11" s="314"/>
      <c r="BB11" s="314"/>
      <c r="BC11" s="350"/>
      <c r="BE11" s="314"/>
      <c r="BF11" s="314"/>
      <c r="BG11" s="314"/>
      <c r="BH11" s="314"/>
      <c r="BI11" s="314"/>
      <c r="BJ11" s="314"/>
      <c r="BK11" s="350"/>
      <c r="BM11" s="314"/>
      <c r="BN11" s="314"/>
      <c r="BO11" s="314"/>
      <c r="BP11" s="314"/>
      <c r="BQ11" s="314"/>
      <c r="BR11" s="314"/>
      <c r="BS11" s="350"/>
      <c r="BU11" s="314"/>
      <c r="BV11" s="314"/>
      <c r="BW11" s="314"/>
      <c r="BX11" s="314"/>
      <c r="BY11" s="314"/>
      <c r="BZ11" s="314"/>
      <c r="CA11" s="350"/>
      <c r="CC11" s="314"/>
      <c r="CD11" s="314"/>
      <c r="CE11" s="314"/>
      <c r="CF11" s="314"/>
      <c r="CG11" s="314"/>
      <c r="CH11" s="314"/>
      <c r="CI11" s="350"/>
    </row>
    <row r="12" spans="1:87" s="313" customFormat="1" ht="14.25" x14ac:dyDescent="0.25">
      <c r="A12" s="477"/>
      <c r="B12" s="477"/>
      <c r="C12" s="479" t="s">
        <v>378</v>
      </c>
      <c r="D12" s="479"/>
      <c r="E12" s="479" t="s">
        <v>54</v>
      </c>
      <c r="F12" s="479"/>
      <c r="G12" s="351" t="s">
        <v>488</v>
      </c>
      <c r="H12" s="311"/>
      <c r="I12" s="310" t="s">
        <v>396</v>
      </c>
      <c r="J12" s="311">
        <v>2022</v>
      </c>
      <c r="K12" s="400"/>
      <c r="L12" s="310" t="s">
        <v>396</v>
      </c>
      <c r="M12" s="311">
        <v>2023</v>
      </c>
      <c r="N12" s="400"/>
      <c r="O12" s="310" t="s">
        <v>396</v>
      </c>
      <c r="P12" s="311">
        <v>2024</v>
      </c>
      <c r="Q12" s="314"/>
      <c r="R12" s="310" t="s">
        <v>396</v>
      </c>
      <c r="S12" s="311">
        <v>2025</v>
      </c>
      <c r="T12" s="400"/>
      <c r="U12" s="310" t="s">
        <v>396</v>
      </c>
      <c r="V12" s="311">
        <v>2026</v>
      </c>
      <c r="W12" s="352"/>
      <c r="X12" s="310" t="s">
        <v>396</v>
      </c>
      <c r="Y12" s="311">
        <v>2027</v>
      </c>
      <c r="Z12" s="314"/>
      <c r="AA12" s="310" t="s">
        <v>396</v>
      </c>
      <c r="AB12" s="311">
        <v>2028</v>
      </c>
      <c r="AC12" s="400"/>
      <c r="AD12" s="310" t="s">
        <v>396</v>
      </c>
      <c r="AE12" s="311">
        <v>2029</v>
      </c>
      <c r="AG12" s="310" t="s">
        <v>396</v>
      </c>
      <c r="AH12" s="311">
        <v>2030</v>
      </c>
      <c r="AI12" s="400"/>
      <c r="AJ12" s="400"/>
      <c r="AK12" s="400"/>
      <c r="AL12" s="400"/>
      <c r="AM12" s="352"/>
      <c r="AO12" s="314"/>
      <c r="AP12" s="314"/>
      <c r="AQ12" s="400"/>
      <c r="AR12" s="400"/>
      <c r="AS12" s="400"/>
      <c r="AT12" s="400"/>
      <c r="AU12" s="352"/>
      <c r="AW12" s="314"/>
      <c r="AX12" s="314"/>
      <c r="AY12" s="400"/>
      <c r="AZ12" s="400"/>
      <c r="BA12" s="400"/>
      <c r="BB12" s="400"/>
      <c r="BC12" s="352"/>
      <c r="BE12" s="314"/>
      <c r="BF12" s="314"/>
      <c r="BG12" s="400"/>
      <c r="BH12" s="400"/>
      <c r="BI12" s="400"/>
      <c r="BJ12" s="400"/>
      <c r="BK12" s="352"/>
      <c r="BM12" s="314"/>
      <c r="BN12" s="314"/>
      <c r="BO12" s="400"/>
      <c r="BP12" s="400"/>
      <c r="BQ12" s="400"/>
      <c r="BR12" s="400"/>
      <c r="BS12" s="352"/>
      <c r="BU12" s="314"/>
      <c r="BV12" s="314"/>
      <c r="BW12" s="400"/>
      <c r="BX12" s="400"/>
      <c r="BY12" s="400"/>
      <c r="BZ12" s="400"/>
      <c r="CA12" s="352"/>
      <c r="CC12" s="314"/>
      <c r="CD12" s="314"/>
      <c r="CE12" s="400"/>
      <c r="CF12" s="400"/>
      <c r="CG12" s="400"/>
      <c r="CH12" s="400"/>
      <c r="CI12" s="352"/>
    </row>
    <row r="13" spans="1:87" ht="27" x14ac:dyDescent="0.25">
      <c r="A13" s="473" t="s">
        <v>489</v>
      </c>
      <c r="B13" s="327" t="s">
        <v>379</v>
      </c>
      <c r="C13" s="394" t="s">
        <v>490</v>
      </c>
      <c r="D13" s="353">
        <f>$AA36</f>
        <v>1395401.26</v>
      </c>
      <c r="E13" s="475" t="s">
        <v>491</v>
      </c>
      <c r="F13" s="354">
        <v>0.01</v>
      </c>
      <c r="G13" s="355">
        <f>D13*$F$13</f>
        <v>13954.0126</v>
      </c>
      <c r="I13" s="353">
        <f>$AA37</f>
        <v>1367755.95</v>
      </c>
      <c r="J13" s="355">
        <f>I13*$F$13</f>
        <v>13677.559499999999</v>
      </c>
      <c r="L13" s="353">
        <f>$AA38</f>
        <v>1340110.6400000001</v>
      </c>
      <c r="M13" s="355">
        <f>L13*$F$13</f>
        <v>13401.106400000002</v>
      </c>
      <c r="N13" s="357"/>
      <c r="O13" s="353">
        <f>$AA39</f>
        <v>1312465.33</v>
      </c>
      <c r="P13" s="355">
        <f>O13*$F$13</f>
        <v>13124.653300000002</v>
      </c>
      <c r="Q13" s="358"/>
      <c r="R13" s="353">
        <f>$AA40</f>
        <v>1284820.02</v>
      </c>
      <c r="S13" s="355">
        <f>R13*$F$13</f>
        <v>12848.200200000001</v>
      </c>
      <c r="T13" s="314"/>
      <c r="U13" s="353">
        <f>$AA41</f>
        <v>1257174.71</v>
      </c>
      <c r="V13" s="355">
        <f>U13*$F$13</f>
        <v>12571.747100000001</v>
      </c>
      <c r="W13" s="313"/>
      <c r="X13" s="353">
        <f>$AA42</f>
        <v>1229529.4000000001</v>
      </c>
      <c r="Y13" s="355">
        <f>X13*$F$13</f>
        <v>12295.294000000002</v>
      </c>
      <c r="Z13" s="314"/>
      <c r="AA13" s="353">
        <f>$AA43</f>
        <v>1201884.0900000001</v>
      </c>
      <c r="AB13" s="355">
        <f>AA13*$F$13</f>
        <v>12018.840900000001</v>
      </c>
      <c r="AC13" s="314"/>
      <c r="AD13" s="353">
        <f>$AA44</f>
        <v>1174238.78</v>
      </c>
      <c r="AE13" s="355">
        <f>AD13*$F$13</f>
        <v>11742.3878</v>
      </c>
      <c r="AF13" s="313"/>
      <c r="AG13" s="353">
        <f>$AA45</f>
        <v>1146593.47</v>
      </c>
      <c r="AH13" s="355">
        <f>AG13*$F$13</f>
        <v>11465.9347</v>
      </c>
      <c r="AI13" s="314"/>
      <c r="AJ13" s="357"/>
      <c r="AK13" s="314"/>
      <c r="AL13" s="359"/>
      <c r="AM13" s="358"/>
      <c r="AN13" s="313"/>
      <c r="AO13" s="314"/>
      <c r="AP13" s="314"/>
      <c r="AQ13" s="314"/>
      <c r="AR13" s="357"/>
      <c r="AS13" s="314"/>
      <c r="AT13" s="359"/>
      <c r="AU13" s="358"/>
      <c r="AV13" s="313"/>
      <c r="AW13" s="314"/>
      <c r="AX13" s="314"/>
      <c r="AY13" s="314"/>
      <c r="AZ13" s="357"/>
      <c r="BA13" s="314"/>
      <c r="BB13" s="359"/>
      <c r="BC13" s="358"/>
      <c r="BD13" s="313"/>
      <c r="BE13" s="314"/>
      <c r="BF13" s="314"/>
      <c r="BG13" s="314"/>
      <c r="BH13" s="357"/>
      <c r="BI13" s="314"/>
      <c r="BJ13" s="359"/>
      <c r="BK13" s="358"/>
      <c r="BL13" s="313"/>
      <c r="BM13" s="314"/>
      <c r="BN13" s="314"/>
      <c r="BO13" s="314"/>
      <c r="BP13" s="357"/>
      <c r="BQ13" s="314"/>
      <c r="BR13" s="359"/>
      <c r="BS13" s="358"/>
      <c r="BT13" s="313"/>
      <c r="BU13" s="314"/>
      <c r="BV13" s="314"/>
      <c r="BW13" s="314"/>
      <c r="BX13" s="357"/>
      <c r="BY13" s="314"/>
      <c r="BZ13" s="359"/>
      <c r="CA13" s="358"/>
      <c r="CB13" s="313"/>
      <c r="CC13" s="357"/>
      <c r="CD13" s="314"/>
      <c r="CE13" s="359"/>
      <c r="CF13" s="313"/>
      <c r="CG13" s="358"/>
    </row>
    <row r="14" spans="1:87" ht="53.25" thickBot="1" x14ac:dyDescent="0.3">
      <c r="A14" s="474"/>
      <c r="B14" s="360" t="s">
        <v>380</v>
      </c>
      <c r="C14" s="397" t="s">
        <v>492</v>
      </c>
      <c r="D14" s="361">
        <v>0</v>
      </c>
      <c r="E14" s="476"/>
      <c r="F14" s="362">
        <v>0.01</v>
      </c>
      <c r="G14" s="355">
        <f>D14*F14</f>
        <v>0</v>
      </c>
      <c r="I14" s="361">
        <v>0</v>
      </c>
      <c r="J14" s="355">
        <f>I14*$F$14</f>
        <v>0</v>
      </c>
      <c r="L14" s="361">
        <v>0</v>
      </c>
      <c r="M14" s="355">
        <f>L14*$F$14</f>
        <v>0</v>
      </c>
      <c r="N14" s="357"/>
      <c r="O14" s="361">
        <v>0</v>
      </c>
      <c r="P14" s="355">
        <f>O14*$F$14</f>
        <v>0</v>
      </c>
      <c r="Q14" s="358"/>
      <c r="R14" s="361">
        <v>0</v>
      </c>
      <c r="S14" s="355">
        <f>R14*$F$14</f>
        <v>0</v>
      </c>
      <c r="T14" s="314"/>
      <c r="U14" s="361">
        <v>0</v>
      </c>
      <c r="V14" s="355">
        <f>U14*$F$14</f>
        <v>0</v>
      </c>
      <c r="W14" s="313"/>
      <c r="X14" s="361">
        <v>0</v>
      </c>
      <c r="Y14" s="355">
        <f>X14*$F$14</f>
        <v>0</v>
      </c>
      <c r="Z14" s="314"/>
      <c r="AA14" s="361">
        <v>0</v>
      </c>
      <c r="AB14" s="355">
        <f>AA14*$F$14</f>
        <v>0</v>
      </c>
      <c r="AC14" s="314"/>
      <c r="AD14" s="361">
        <v>0</v>
      </c>
      <c r="AE14" s="355">
        <f>AD14*$F$14</f>
        <v>0</v>
      </c>
      <c r="AF14" s="313"/>
      <c r="AG14" s="361">
        <v>0</v>
      </c>
      <c r="AH14" s="355">
        <f>AG14*$F$14</f>
        <v>0</v>
      </c>
      <c r="AI14" s="314"/>
      <c r="AJ14" s="357"/>
      <c r="AK14" s="314"/>
      <c r="AL14" s="359"/>
      <c r="AM14" s="358"/>
      <c r="AN14" s="313"/>
      <c r="AO14" s="314"/>
      <c r="AP14" s="314"/>
      <c r="AQ14" s="314"/>
      <c r="AR14" s="357"/>
      <c r="AS14" s="314"/>
      <c r="AT14" s="359"/>
      <c r="AU14" s="358"/>
      <c r="AV14" s="313"/>
      <c r="AW14" s="314"/>
      <c r="AX14" s="314"/>
      <c r="AY14" s="314"/>
      <c r="AZ14" s="357"/>
      <c r="BA14" s="314"/>
      <c r="BB14" s="359"/>
      <c r="BC14" s="358"/>
      <c r="BD14" s="313"/>
      <c r="BE14" s="314"/>
      <c r="BF14" s="314"/>
      <c r="BG14" s="314"/>
      <c r="BH14" s="357"/>
      <c r="BI14" s="314"/>
      <c r="BJ14" s="359"/>
      <c r="BK14" s="358"/>
      <c r="BL14" s="313"/>
      <c r="BM14" s="314"/>
      <c r="BN14" s="314"/>
      <c r="BO14" s="314"/>
      <c r="BP14" s="357"/>
      <c r="BQ14" s="314"/>
      <c r="BR14" s="359"/>
      <c r="BS14" s="358"/>
      <c r="BT14" s="313"/>
      <c r="BU14" s="314"/>
      <c r="BV14" s="314"/>
      <c r="BW14" s="314"/>
      <c r="BX14" s="357"/>
      <c r="BY14" s="314"/>
      <c r="BZ14" s="359"/>
      <c r="CA14" s="358"/>
      <c r="CB14" s="313"/>
      <c r="CC14" s="357"/>
      <c r="CD14" s="314"/>
      <c r="CE14" s="359"/>
      <c r="CF14" s="313"/>
      <c r="CG14" s="358"/>
    </row>
    <row r="15" spans="1:87" ht="27" x14ac:dyDescent="0.25">
      <c r="A15" s="487" t="s">
        <v>493</v>
      </c>
      <c r="B15" s="363" t="s">
        <v>379</v>
      </c>
      <c r="C15" s="393" t="s">
        <v>490</v>
      </c>
      <c r="D15" s="356">
        <f>$U36</f>
        <v>1395401.26</v>
      </c>
      <c r="E15" s="488" t="s">
        <v>494</v>
      </c>
      <c r="F15" s="364">
        <v>3.0000000000000001E-3</v>
      </c>
      <c r="G15" s="355">
        <f>D15*$F$15</f>
        <v>4186.2037799999998</v>
      </c>
      <c r="I15" s="356">
        <f>$U37</f>
        <v>1367755.95</v>
      </c>
      <c r="J15" s="355">
        <f>I15*$F$15</f>
        <v>4103.2678500000002</v>
      </c>
      <c r="L15" s="356">
        <f>$U38</f>
        <v>1340110.6400000001</v>
      </c>
      <c r="M15" s="355">
        <f>L15*$F$15</f>
        <v>4020.3319200000005</v>
      </c>
      <c r="N15" s="357"/>
      <c r="O15" s="356">
        <f>$U39</f>
        <v>1312465.33</v>
      </c>
      <c r="P15" s="355">
        <f>O15*$F$15</f>
        <v>3937.3959900000004</v>
      </c>
      <c r="Q15" s="358"/>
      <c r="R15" s="356">
        <f>$U40</f>
        <v>1284820.02</v>
      </c>
      <c r="S15" s="355">
        <f>R15*$F$15</f>
        <v>3854.4600600000003</v>
      </c>
      <c r="T15" s="314"/>
      <c r="U15" s="356">
        <f>$U41</f>
        <v>1257174.71</v>
      </c>
      <c r="V15" s="355">
        <f>U15*$F$15</f>
        <v>3771.5241299999998</v>
      </c>
      <c r="W15" s="313"/>
      <c r="X15" s="356">
        <f>$U42</f>
        <v>1229529.4000000001</v>
      </c>
      <c r="Y15" s="355">
        <f>X15*$F$15</f>
        <v>3688.5882000000006</v>
      </c>
      <c r="Z15" s="314"/>
      <c r="AA15" s="356">
        <f>$U43</f>
        <v>1201884.0900000001</v>
      </c>
      <c r="AB15" s="355">
        <f>AA15*$F$15</f>
        <v>3605.6522700000005</v>
      </c>
      <c r="AC15" s="314"/>
      <c r="AD15" s="356">
        <f>$U44</f>
        <v>1174238.78</v>
      </c>
      <c r="AE15" s="355">
        <f>AD15*$F$15</f>
        <v>3522.7163399999999</v>
      </c>
      <c r="AF15" s="313"/>
      <c r="AG15" s="356">
        <f>$U45</f>
        <v>1146593.47</v>
      </c>
      <c r="AH15" s="355">
        <f>AG15*$F$15</f>
        <v>3439.7804099999998</v>
      </c>
      <c r="AI15" s="314"/>
      <c r="AJ15" s="357"/>
      <c r="AK15" s="314"/>
      <c r="AL15" s="359"/>
      <c r="AM15" s="358"/>
      <c r="AN15" s="313"/>
      <c r="AO15" s="314"/>
      <c r="AP15" s="314"/>
      <c r="AQ15" s="314"/>
      <c r="AR15" s="357"/>
      <c r="AS15" s="314"/>
      <c r="AT15" s="359"/>
      <c r="AU15" s="358"/>
      <c r="AV15" s="313"/>
      <c r="AW15" s="314"/>
      <c r="AX15" s="314"/>
      <c r="AY15" s="314"/>
      <c r="AZ15" s="357"/>
      <c r="BA15" s="314"/>
      <c r="BB15" s="359"/>
      <c r="BC15" s="358"/>
      <c r="BD15" s="313"/>
      <c r="BE15" s="314"/>
      <c r="BF15" s="314"/>
      <c r="BG15" s="314"/>
      <c r="BH15" s="357"/>
      <c r="BI15" s="314"/>
      <c r="BJ15" s="359"/>
      <c r="BK15" s="358"/>
      <c r="BL15" s="313"/>
      <c r="BM15" s="314"/>
      <c r="BN15" s="314"/>
      <c r="BO15" s="314"/>
      <c r="BP15" s="357"/>
      <c r="BQ15" s="314"/>
      <c r="BR15" s="359"/>
      <c r="BS15" s="358"/>
      <c r="BT15" s="313"/>
      <c r="BU15" s="314"/>
      <c r="BV15" s="314"/>
      <c r="BW15" s="314"/>
      <c r="BX15" s="357"/>
      <c r="BY15" s="314"/>
      <c r="BZ15" s="359"/>
      <c r="CA15" s="358"/>
      <c r="CB15" s="313"/>
      <c r="CC15" s="357"/>
      <c r="CD15" s="314"/>
      <c r="CE15" s="359"/>
      <c r="CF15" s="313"/>
      <c r="CG15" s="358"/>
    </row>
    <row r="16" spans="1:87" ht="52.5" x14ac:dyDescent="0.25">
      <c r="A16" s="473"/>
      <c r="B16" s="327" t="s">
        <v>380</v>
      </c>
      <c r="C16" s="394" t="s">
        <v>492</v>
      </c>
      <c r="D16" s="353">
        <v>0</v>
      </c>
      <c r="E16" s="475"/>
      <c r="F16" s="354">
        <v>3.0000000000000001E-3</v>
      </c>
      <c r="G16" s="355">
        <f>D16*$F$16</f>
        <v>0</v>
      </c>
      <c r="I16" s="353">
        <v>0</v>
      </c>
      <c r="J16" s="355">
        <f>I16*$F$16</f>
        <v>0</v>
      </c>
      <c r="L16" s="353">
        <v>0</v>
      </c>
      <c r="M16" s="355">
        <f>L16*$F$16</f>
        <v>0</v>
      </c>
      <c r="N16" s="357"/>
      <c r="O16" s="353">
        <v>0</v>
      </c>
      <c r="P16" s="355">
        <f>O16*$F$16</f>
        <v>0</v>
      </c>
      <c r="Q16" s="358"/>
      <c r="R16" s="353">
        <v>0</v>
      </c>
      <c r="S16" s="355">
        <f>R16*$F$16</f>
        <v>0</v>
      </c>
      <c r="T16" s="314"/>
      <c r="U16" s="353">
        <v>0</v>
      </c>
      <c r="V16" s="355">
        <f>U16*$F$16</f>
        <v>0</v>
      </c>
      <c r="W16" s="313"/>
      <c r="X16" s="353">
        <v>0</v>
      </c>
      <c r="Y16" s="355">
        <f>X16*$F$16</f>
        <v>0</v>
      </c>
      <c r="Z16" s="314"/>
      <c r="AA16" s="353">
        <v>0</v>
      </c>
      <c r="AB16" s="355">
        <f>AA16*$F$16</f>
        <v>0</v>
      </c>
      <c r="AC16" s="314"/>
      <c r="AD16" s="353">
        <v>0</v>
      </c>
      <c r="AE16" s="355">
        <f>AD16*$F$16</f>
        <v>0</v>
      </c>
      <c r="AF16" s="313"/>
      <c r="AG16" s="353">
        <v>0</v>
      </c>
      <c r="AH16" s="355">
        <f>AG16*$F$16</f>
        <v>0</v>
      </c>
      <c r="AI16" s="314"/>
      <c r="AJ16" s="357"/>
      <c r="AK16" s="314"/>
      <c r="AL16" s="359"/>
      <c r="AM16" s="358"/>
      <c r="AN16" s="313"/>
      <c r="AO16" s="314"/>
      <c r="AP16" s="314"/>
      <c r="AQ16" s="314"/>
      <c r="AR16" s="357"/>
      <c r="AS16" s="314"/>
      <c r="AT16" s="359"/>
      <c r="AU16" s="358"/>
      <c r="AV16" s="313"/>
      <c r="AW16" s="314"/>
      <c r="AX16" s="314"/>
      <c r="AY16" s="314"/>
      <c r="AZ16" s="357"/>
      <c r="BA16" s="314"/>
      <c r="BB16" s="359"/>
      <c r="BC16" s="358"/>
      <c r="BD16" s="313"/>
      <c r="BE16" s="314"/>
      <c r="BF16" s="314"/>
      <c r="BG16" s="314"/>
      <c r="BH16" s="357"/>
      <c r="BI16" s="314"/>
      <c r="BJ16" s="359"/>
      <c r="BK16" s="358"/>
      <c r="BL16" s="313"/>
      <c r="BM16" s="314"/>
      <c r="BN16" s="314"/>
      <c r="BO16" s="314"/>
      <c r="BP16" s="357"/>
      <c r="BQ16" s="314"/>
      <c r="BR16" s="359"/>
      <c r="BS16" s="358"/>
      <c r="BT16" s="313"/>
      <c r="BU16" s="314"/>
      <c r="BV16" s="314"/>
      <c r="BW16" s="314"/>
      <c r="BX16" s="357"/>
      <c r="BY16" s="314"/>
      <c r="BZ16" s="359"/>
      <c r="CA16" s="358"/>
      <c r="CB16" s="313"/>
      <c r="CC16" s="357"/>
      <c r="CD16" s="314"/>
      <c r="CE16" s="359"/>
      <c r="CF16" s="313"/>
      <c r="CG16" s="358"/>
    </row>
    <row r="17" spans="1:85" x14ac:dyDescent="0.25">
      <c r="A17" s="489" t="s">
        <v>25</v>
      </c>
      <c r="B17" s="489"/>
      <c r="C17" s="395"/>
      <c r="D17" s="365"/>
      <c r="E17" s="395"/>
      <c r="F17" s="395"/>
      <c r="G17" s="366">
        <f>SUM(G13:G16)</f>
        <v>18140.216379999998</v>
      </c>
      <c r="I17" s="365"/>
      <c r="J17" s="366">
        <f>SUM(J13:J16)</f>
        <v>17780.82735</v>
      </c>
      <c r="L17" s="365"/>
      <c r="M17" s="366">
        <f>SUM(M13:M16)</f>
        <v>17421.438320000001</v>
      </c>
      <c r="N17" s="357"/>
      <c r="O17" s="365"/>
      <c r="P17" s="366">
        <f>SUM(P13:P16)</f>
        <v>17062.049290000003</v>
      </c>
      <c r="Q17" s="358"/>
      <c r="R17" s="365"/>
      <c r="S17" s="366">
        <f>SUM(S13:S16)</f>
        <v>16702.660260000001</v>
      </c>
      <c r="T17" s="350"/>
      <c r="U17" s="365"/>
      <c r="V17" s="366">
        <f>SUM(V13:V16)</f>
        <v>16343.27123</v>
      </c>
      <c r="W17" s="313"/>
      <c r="X17" s="365"/>
      <c r="Y17" s="366">
        <f>SUM(Y13:Y16)</f>
        <v>15983.882200000002</v>
      </c>
      <c r="Z17" s="367"/>
      <c r="AA17" s="365"/>
      <c r="AB17" s="366">
        <f>SUM(AB13:AB16)</f>
        <v>15624.493170000002</v>
      </c>
      <c r="AC17" s="350"/>
      <c r="AD17" s="365"/>
      <c r="AE17" s="366">
        <f>SUM(AE13:AE16)</f>
        <v>15265.104139999999</v>
      </c>
      <c r="AF17" s="313"/>
      <c r="AG17" s="365"/>
      <c r="AH17" s="366">
        <f>SUM(AH13:AH16)</f>
        <v>14905.715109999999</v>
      </c>
      <c r="AI17" s="350"/>
      <c r="AJ17" s="357"/>
      <c r="AK17" s="350"/>
      <c r="AL17" s="350"/>
      <c r="AM17" s="358"/>
      <c r="AN17" s="313"/>
      <c r="AO17" s="367"/>
      <c r="AP17" s="367"/>
      <c r="AQ17" s="350"/>
      <c r="AR17" s="357"/>
      <c r="AS17" s="350"/>
      <c r="AT17" s="350"/>
      <c r="AU17" s="358"/>
      <c r="AV17" s="313"/>
      <c r="AW17" s="367"/>
      <c r="AX17" s="367"/>
      <c r="AY17" s="350"/>
      <c r="AZ17" s="357"/>
      <c r="BA17" s="350"/>
      <c r="BB17" s="350"/>
      <c r="BC17" s="358"/>
      <c r="BD17" s="313"/>
      <c r="BE17" s="367"/>
      <c r="BF17" s="367"/>
      <c r="BG17" s="350"/>
      <c r="BH17" s="357"/>
      <c r="BI17" s="350"/>
      <c r="BJ17" s="350"/>
      <c r="BK17" s="358"/>
      <c r="BL17" s="313"/>
      <c r="BM17" s="367"/>
      <c r="BN17" s="367"/>
      <c r="BO17" s="350"/>
      <c r="BP17" s="357"/>
      <c r="BQ17" s="350"/>
      <c r="BR17" s="350"/>
      <c r="BS17" s="358"/>
      <c r="BT17" s="313"/>
      <c r="BU17" s="367"/>
      <c r="BV17" s="367"/>
      <c r="BW17" s="350"/>
      <c r="BX17" s="357"/>
      <c r="BY17" s="350"/>
      <c r="BZ17" s="350"/>
      <c r="CA17" s="358"/>
      <c r="CB17" s="313"/>
      <c r="CC17" s="367"/>
      <c r="CD17" s="367"/>
      <c r="CE17" s="350"/>
      <c r="CF17" s="350"/>
      <c r="CG17" s="358"/>
    </row>
    <row r="18" spans="1:85" ht="25.5" x14ac:dyDescent="0.25">
      <c r="F18" s="381" t="s">
        <v>516</v>
      </c>
      <c r="G18" s="382">
        <f>G17</f>
        <v>18140.216379999998</v>
      </c>
      <c r="I18" s="381" t="s">
        <v>516</v>
      </c>
      <c r="J18" s="382">
        <f>J17</f>
        <v>17780.82735</v>
      </c>
      <c r="L18" s="381" t="s">
        <v>516</v>
      </c>
      <c r="M18" s="382">
        <f>M17</f>
        <v>17421.438320000001</v>
      </c>
      <c r="N18" s="315"/>
      <c r="O18" s="381" t="s">
        <v>516</v>
      </c>
      <c r="P18" s="382">
        <f>P17</f>
        <v>17062.049290000003</v>
      </c>
      <c r="Q18" s="368"/>
      <c r="R18" s="381" t="s">
        <v>516</v>
      </c>
      <c r="S18" s="382">
        <f>S17</f>
        <v>16702.660260000001</v>
      </c>
      <c r="T18" s="313"/>
      <c r="U18" s="381" t="s">
        <v>516</v>
      </c>
      <c r="V18" s="382">
        <f>V17</f>
        <v>16343.27123</v>
      </c>
      <c r="W18" s="313"/>
      <c r="X18" s="381" t="s">
        <v>516</v>
      </c>
      <c r="Y18" s="382">
        <f>Y17</f>
        <v>15983.882200000002</v>
      </c>
      <c r="Z18" s="313"/>
      <c r="AA18" s="381" t="s">
        <v>516</v>
      </c>
      <c r="AB18" s="382">
        <f>AB17</f>
        <v>15624.493170000002</v>
      </c>
      <c r="AC18" s="313"/>
      <c r="AD18" s="381" t="s">
        <v>516</v>
      </c>
      <c r="AE18" s="382">
        <f>AE17</f>
        <v>15265.104139999999</v>
      </c>
      <c r="AF18" s="313"/>
      <c r="AG18" s="381" t="s">
        <v>516</v>
      </c>
      <c r="AH18" s="382">
        <f>AH17</f>
        <v>14905.715109999999</v>
      </c>
      <c r="AI18" s="313"/>
      <c r="AJ18" s="315"/>
      <c r="AK18" s="313"/>
      <c r="AL18" s="400"/>
      <c r="AM18" s="368"/>
      <c r="AN18" s="313"/>
      <c r="AO18" s="314"/>
      <c r="AP18" s="313"/>
      <c r="AQ18" s="313"/>
      <c r="AR18" s="315"/>
      <c r="AS18" s="313"/>
      <c r="AT18" s="400"/>
      <c r="AU18" s="368"/>
      <c r="AV18" s="313"/>
      <c r="AW18" s="314"/>
      <c r="AX18" s="313"/>
      <c r="AY18" s="313"/>
      <c r="AZ18" s="315"/>
      <c r="BA18" s="313"/>
      <c r="BB18" s="400"/>
      <c r="BC18" s="368"/>
      <c r="BD18" s="313"/>
      <c r="BE18" s="314"/>
      <c r="BF18" s="313"/>
      <c r="BG18" s="313"/>
      <c r="BH18" s="315"/>
      <c r="BI18" s="313"/>
      <c r="BJ18" s="400"/>
      <c r="BK18" s="368"/>
      <c r="BL18" s="313"/>
      <c r="BM18" s="314"/>
      <c r="BN18" s="313"/>
      <c r="BO18" s="313"/>
      <c r="BP18" s="315"/>
      <c r="BQ18" s="313"/>
      <c r="BR18" s="400"/>
      <c r="BS18" s="368"/>
      <c r="BT18" s="313"/>
      <c r="BU18" s="314"/>
      <c r="BV18" s="313"/>
      <c r="BW18" s="313"/>
      <c r="BX18" s="315"/>
      <c r="BY18" s="313"/>
      <c r="BZ18" s="400"/>
      <c r="CA18" s="368"/>
      <c r="CB18" s="313"/>
      <c r="CC18" s="314"/>
      <c r="CD18" s="313"/>
      <c r="CE18" s="313"/>
      <c r="CF18" s="400"/>
      <c r="CG18" s="368"/>
    </row>
    <row r="19" spans="1:85" x14ac:dyDescent="0.25">
      <c r="G19" s="383">
        <f>G18*44/28</f>
        <v>28506.054311428568</v>
      </c>
      <c r="J19" s="383">
        <f>J18*44/28</f>
        <v>27941.300121428569</v>
      </c>
      <c r="M19" s="383">
        <f>M18*44/28</f>
        <v>27376.545931428573</v>
      </c>
      <c r="N19" s="315"/>
      <c r="P19" s="383">
        <f>P18*44/28</f>
        <v>26811.791741428577</v>
      </c>
      <c r="Q19" s="316"/>
      <c r="S19" s="383">
        <f>S18*44/28</f>
        <v>26247.037551428573</v>
      </c>
      <c r="T19" s="313"/>
      <c r="V19" s="383">
        <f>V18*44/28</f>
        <v>25682.28336142857</v>
      </c>
      <c r="W19" s="313"/>
      <c r="Y19" s="383">
        <f>Y18*44/28</f>
        <v>25117.529171428574</v>
      </c>
      <c r="Z19" s="313"/>
      <c r="AB19" s="383">
        <f>AB18*44/28</f>
        <v>24552.774981428574</v>
      </c>
      <c r="AC19" s="313"/>
      <c r="AE19" s="383">
        <f>AE18*44/28</f>
        <v>23988.020791428571</v>
      </c>
      <c r="AF19" s="313"/>
      <c r="AH19" s="383">
        <f>AH18*44/28</f>
        <v>23423.266601428568</v>
      </c>
      <c r="AI19" s="313"/>
      <c r="AJ19" s="315"/>
      <c r="AK19" s="313"/>
      <c r="AL19" s="314"/>
      <c r="AM19" s="316"/>
      <c r="AN19" s="313"/>
      <c r="AO19" s="314"/>
      <c r="AP19" s="313"/>
      <c r="AQ19" s="313"/>
      <c r="AR19" s="315"/>
      <c r="AS19" s="313"/>
      <c r="AT19" s="314"/>
      <c r="AU19" s="316"/>
      <c r="AV19" s="313"/>
      <c r="AW19" s="314"/>
      <c r="AX19" s="313"/>
      <c r="AY19" s="313"/>
      <c r="AZ19" s="315"/>
      <c r="BA19" s="313"/>
      <c r="BB19" s="314"/>
      <c r="BC19" s="316"/>
      <c r="BD19" s="313"/>
      <c r="BE19" s="314"/>
      <c r="BF19" s="313"/>
      <c r="BG19" s="313"/>
      <c r="BH19" s="315"/>
      <c r="BI19" s="313"/>
      <c r="BJ19" s="314"/>
      <c r="BK19" s="316"/>
      <c r="BL19" s="313"/>
      <c r="BM19" s="314"/>
      <c r="BN19" s="313"/>
      <c r="BO19" s="313"/>
      <c r="BP19" s="315"/>
      <c r="BQ19" s="313"/>
      <c r="BR19" s="314"/>
      <c r="BS19" s="316"/>
      <c r="BT19" s="313"/>
      <c r="BU19" s="314"/>
      <c r="BV19" s="313"/>
      <c r="BW19" s="313"/>
      <c r="BX19" s="315"/>
      <c r="BY19" s="313"/>
      <c r="BZ19" s="314"/>
      <c r="CA19" s="316"/>
      <c r="CB19" s="313"/>
      <c r="CC19" s="314"/>
      <c r="CD19" s="313"/>
      <c r="CE19" s="313"/>
      <c r="CF19" s="314"/>
      <c r="CG19" s="316"/>
    </row>
    <row r="20" spans="1:85" x14ac:dyDescent="0.25">
      <c r="A20" s="317" t="s">
        <v>381</v>
      </c>
      <c r="B20" s="318"/>
      <c r="C20" s="311" t="s">
        <v>382</v>
      </c>
      <c r="I20" s="319"/>
      <c r="J20" s="320"/>
      <c r="K20" s="320"/>
      <c r="L20" s="319"/>
      <c r="M20" s="320"/>
      <c r="N20" s="320"/>
      <c r="O20" s="319"/>
      <c r="P20" s="320"/>
      <c r="Q20" s="319"/>
      <c r="R20" s="319"/>
      <c r="S20" s="320"/>
      <c r="T20" s="321"/>
      <c r="U20" s="319"/>
      <c r="V20" s="320"/>
      <c r="W20" s="320"/>
      <c r="X20" s="319"/>
      <c r="Y20" s="320"/>
      <c r="Z20" s="320"/>
      <c r="AA20" s="319"/>
      <c r="AB20" s="320"/>
      <c r="AC20" s="320"/>
      <c r="AD20" s="319"/>
      <c r="AE20" s="320"/>
      <c r="AF20" s="320"/>
      <c r="AG20" s="319"/>
      <c r="AH20" s="320"/>
      <c r="AI20" s="320"/>
      <c r="AJ20" s="312"/>
      <c r="AO20" s="319"/>
      <c r="AP20" s="320"/>
      <c r="AQ20" s="320"/>
      <c r="AR20" s="321"/>
      <c r="AS20" s="320"/>
      <c r="AT20" s="320"/>
      <c r="AU20" s="320"/>
      <c r="AV20" s="320"/>
      <c r="AW20" s="319"/>
      <c r="AX20" s="320"/>
      <c r="AY20" s="320"/>
      <c r="AZ20" s="321"/>
      <c r="BA20" s="320"/>
      <c r="BB20" s="320"/>
      <c r="BC20" s="320"/>
      <c r="BD20" s="320"/>
      <c r="BE20" s="319"/>
      <c r="BF20" s="320"/>
      <c r="BG20" s="320"/>
      <c r="BH20" s="321"/>
      <c r="BI20" s="320"/>
      <c r="BJ20" s="320"/>
      <c r="BK20" s="320"/>
      <c r="BL20" s="320"/>
      <c r="BM20" s="319"/>
      <c r="BN20" s="320"/>
      <c r="BO20" s="320"/>
      <c r="BP20" s="321"/>
      <c r="BQ20" s="320"/>
      <c r="BR20" s="320"/>
      <c r="BU20" s="317" t="s">
        <v>381</v>
      </c>
      <c r="BV20" s="318"/>
      <c r="BW20" s="311" t="s">
        <v>382</v>
      </c>
      <c r="BX20" s="312"/>
      <c r="CC20" s="317" t="s">
        <v>381</v>
      </c>
      <c r="CD20" s="318"/>
      <c r="CE20" s="311" t="s">
        <v>382</v>
      </c>
      <c r="CF20" s="312"/>
    </row>
    <row r="21" spans="1:85" x14ac:dyDescent="0.25">
      <c r="A21" s="317"/>
      <c r="B21" s="322"/>
      <c r="C21" s="311" t="s">
        <v>383</v>
      </c>
      <c r="I21" s="319"/>
      <c r="J21" s="323"/>
      <c r="K21" s="320"/>
      <c r="L21" s="319"/>
      <c r="M21" s="323"/>
      <c r="N21" s="320"/>
      <c r="O21" s="319"/>
      <c r="P21" s="323"/>
      <c r="Q21" s="319"/>
      <c r="R21" s="319"/>
      <c r="S21" s="323"/>
      <c r="T21" s="321"/>
      <c r="U21" s="319"/>
      <c r="V21" s="323"/>
      <c r="W21" s="320"/>
      <c r="X21" s="319"/>
      <c r="Y21" s="323"/>
      <c r="Z21" s="323"/>
      <c r="AA21" s="319"/>
      <c r="AB21" s="323"/>
      <c r="AC21" s="320"/>
      <c r="AD21" s="319"/>
      <c r="AE21" s="323"/>
      <c r="AF21" s="320"/>
      <c r="AG21" s="319"/>
      <c r="AH21" s="323"/>
      <c r="AI21" s="320"/>
      <c r="AJ21" s="312"/>
      <c r="AO21" s="319"/>
      <c r="AP21" s="323"/>
      <c r="AQ21" s="320"/>
      <c r="AR21" s="321"/>
      <c r="AS21" s="320"/>
      <c r="AT21" s="320"/>
      <c r="AU21" s="320"/>
      <c r="AV21" s="320"/>
      <c r="AW21" s="319"/>
      <c r="AX21" s="323"/>
      <c r="AY21" s="320"/>
      <c r="AZ21" s="321"/>
      <c r="BA21" s="320"/>
      <c r="BB21" s="320"/>
      <c r="BC21" s="320"/>
      <c r="BD21" s="320"/>
      <c r="BE21" s="319"/>
      <c r="BF21" s="323"/>
      <c r="BG21" s="320"/>
      <c r="BH21" s="321"/>
      <c r="BI21" s="320"/>
      <c r="BJ21" s="320"/>
      <c r="BK21" s="320"/>
      <c r="BL21" s="320"/>
      <c r="BM21" s="319"/>
      <c r="BN21" s="323"/>
      <c r="BO21" s="320"/>
      <c r="BP21" s="321"/>
      <c r="BQ21" s="320"/>
      <c r="BR21" s="320"/>
      <c r="BU21" s="317"/>
      <c r="BV21" s="322"/>
      <c r="BW21" s="311" t="s">
        <v>383</v>
      </c>
      <c r="BX21" s="312"/>
      <c r="CC21" s="317"/>
      <c r="CD21" s="322"/>
      <c r="CE21" s="311" t="s">
        <v>383</v>
      </c>
      <c r="CF21" s="312"/>
    </row>
    <row r="22" spans="1:85" x14ac:dyDescent="0.25">
      <c r="B22" s="324"/>
      <c r="C22" s="311" t="s">
        <v>384</v>
      </c>
      <c r="I22" s="325"/>
      <c r="J22" s="320"/>
      <c r="K22" s="320"/>
      <c r="L22" s="325"/>
      <c r="M22" s="320"/>
      <c r="N22" s="320"/>
      <c r="O22" s="325"/>
      <c r="P22" s="320"/>
      <c r="Q22" s="325"/>
      <c r="R22" s="325"/>
      <c r="S22" s="320"/>
      <c r="T22" s="321"/>
      <c r="U22" s="325"/>
      <c r="V22" s="320"/>
      <c r="W22" s="320"/>
      <c r="X22" s="325"/>
      <c r="Y22" s="320"/>
      <c r="Z22" s="320"/>
      <c r="AA22" s="325"/>
      <c r="AB22" s="320"/>
      <c r="AC22" s="320"/>
      <c r="AD22" s="325"/>
      <c r="AE22" s="320"/>
      <c r="AF22" s="320"/>
      <c r="AG22" s="325"/>
      <c r="AH22" s="320"/>
      <c r="AI22" s="320"/>
      <c r="AJ22" s="312"/>
      <c r="AO22" s="325"/>
      <c r="AP22" s="320"/>
      <c r="AQ22" s="320"/>
      <c r="AR22" s="321"/>
      <c r="AS22" s="320"/>
      <c r="AT22" s="320"/>
      <c r="AU22" s="320"/>
      <c r="AV22" s="320"/>
      <c r="AW22" s="325"/>
      <c r="AX22" s="320"/>
      <c r="AY22" s="320"/>
      <c r="AZ22" s="321"/>
      <c r="BA22" s="320"/>
      <c r="BB22" s="320"/>
      <c r="BC22" s="320"/>
      <c r="BD22" s="320"/>
      <c r="BE22" s="325"/>
      <c r="BF22" s="320"/>
      <c r="BG22" s="320"/>
      <c r="BH22" s="321"/>
      <c r="BI22" s="320"/>
      <c r="BJ22" s="320"/>
      <c r="BK22" s="320"/>
      <c r="BL22" s="320"/>
      <c r="BM22" s="325"/>
      <c r="BN22" s="320"/>
      <c r="BO22" s="320"/>
      <c r="BP22" s="321"/>
      <c r="BQ22" s="320"/>
      <c r="BR22" s="320"/>
      <c r="BU22" s="310"/>
      <c r="BV22" s="324"/>
      <c r="BW22" s="311" t="s">
        <v>384</v>
      </c>
      <c r="BX22" s="312"/>
      <c r="CC22" s="310"/>
      <c r="CD22" s="324"/>
      <c r="CE22" s="311" t="s">
        <v>384</v>
      </c>
      <c r="CF22" s="312"/>
    </row>
    <row r="23" spans="1:85" x14ac:dyDescent="0.25">
      <c r="B23" s="311" t="s">
        <v>402</v>
      </c>
      <c r="C23" s="311" t="s">
        <v>403</v>
      </c>
      <c r="I23" s="325"/>
      <c r="J23" s="320"/>
      <c r="K23" s="320"/>
      <c r="L23" s="325"/>
      <c r="M23" s="320"/>
      <c r="N23" s="320"/>
      <c r="O23" s="325"/>
      <c r="P23" s="320"/>
      <c r="Q23" s="325"/>
      <c r="R23" s="325"/>
      <c r="S23" s="320"/>
      <c r="T23" s="321"/>
      <c r="U23" s="325"/>
      <c r="V23" s="320"/>
      <c r="W23" s="320"/>
      <c r="X23" s="325"/>
      <c r="Y23" s="320"/>
      <c r="Z23" s="320"/>
      <c r="AA23" s="325"/>
      <c r="AB23" s="320"/>
      <c r="AC23" s="320"/>
      <c r="AD23" s="325"/>
      <c r="AE23" s="320"/>
      <c r="AF23" s="320"/>
      <c r="AG23" s="325"/>
      <c r="AH23" s="320"/>
      <c r="AI23" s="320"/>
      <c r="AJ23" s="312"/>
      <c r="AO23" s="325"/>
      <c r="AP23" s="320"/>
      <c r="AQ23" s="320"/>
      <c r="AR23" s="321"/>
      <c r="AS23" s="320"/>
      <c r="AT23" s="320"/>
      <c r="AU23" s="320"/>
      <c r="AV23" s="320"/>
      <c r="AW23" s="325"/>
      <c r="AX23" s="320"/>
      <c r="AY23" s="320"/>
      <c r="AZ23" s="321"/>
      <c r="BA23" s="320"/>
      <c r="BB23" s="320"/>
      <c r="BC23" s="320"/>
      <c r="BD23" s="320"/>
      <c r="BE23" s="325"/>
      <c r="BF23" s="320"/>
      <c r="BG23" s="320"/>
      <c r="BH23" s="321"/>
      <c r="BI23" s="320"/>
      <c r="BJ23" s="320"/>
      <c r="BK23" s="320"/>
      <c r="BL23" s="320"/>
      <c r="BM23" s="325"/>
      <c r="BN23" s="320"/>
      <c r="BO23" s="320"/>
      <c r="BP23" s="321"/>
      <c r="BQ23" s="320"/>
      <c r="BR23" s="320"/>
      <c r="BU23" s="310"/>
      <c r="BV23" s="311" t="s">
        <v>402</v>
      </c>
      <c r="BW23" s="311" t="s">
        <v>403</v>
      </c>
      <c r="BX23" s="312"/>
      <c r="CC23" s="310"/>
      <c r="CD23" s="311" t="s">
        <v>402</v>
      </c>
      <c r="CE23" s="311" t="s">
        <v>403</v>
      </c>
      <c r="CF23" s="312"/>
    </row>
    <row r="24" spans="1:85" x14ac:dyDescent="0.25">
      <c r="B24" s="311" t="s">
        <v>404</v>
      </c>
      <c r="C24" s="311" t="s">
        <v>405</v>
      </c>
      <c r="I24" s="325"/>
      <c r="J24" s="320"/>
      <c r="K24" s="320"/>
      <c r="L24" s="325"/>
      <c r="M24" s="320"/>
      <c r="N24" s="320"/>
      <c r="O24" s="325"/>
      <c r="P24" s="320"/>
      <c r="Q24" s="325"/>
      <c r="R24" s="325"/>
      <c r="S24" s="320"/>
      <c r="T24" s="321"/>
      <c r="U24" s="325"/>
      <c r="V24" s="320"/>
      <c r="W24" s="320"/>
      <c r="X24" s="325"/>
      <c r="Y24" s="320"/>
      <c r="Z24" s="320"/>
      <c r="AA24" s="325"/>
      <c r="AB24" s="320"/>
      <c r="AC24" s="320"/>
      <c r="AD24" s="325"/>
      <c r="AE24" s="320"/>
      <c r="AF24" s="320"/>
      <c r="AG24" s="325"/>
      <c r="AH24" s="320"/>
      <c r="AI24" s="320"/>
      <c r="AJ24" s="312"/>
      <c r="AO24" s="325"/>
      <c r="AP24" s="320"/>
      <c r="AQ24" s="320"/>
      <c r="AR24" s="321"/>
      <c r="AS24" s="320"/>
      <c r="AT24" s="320"/>
      <c r="AU24" s="320"/>
      <c r="AV24" s="320"/>
      <c r="AW24" s="325"/>
      <c r="AX24" s="320"/>
      <c r="AY24" s="320"/>
      <c r="AZ24" s="321"/>
      <c r="BA24" s="320"/>
      <c r="BB24" s="320"/>
      <c r="BC24" s="320"/>
      <c r="BD24" s="320"/>
      <c r="BE24" s="325"/>
      <c r="BF24" s="320"/>
      <c r="BG24" s="320"/>
      <c r="BH24" s="321"/>
      <c r="BI24" s="320"/>
      <c r="BJ24" s="320"/>
      <c r="BK24" s="320"/>
      <c r="BL24" s="320"/>
      <c r="BM24" s="325"/>
      <c r="BN24" s="320"/>
      <c r="BO24" s="320"/>
      <c r="BP24" s="321"/>
      <c r="BQ24" s="320"/>
      <c r="BR24" s="320"/>
      <c r="BU24" s="310"/>
      <c r="BV24" s="311" t="s">
        <v>404</v>
      </c>
      <c r="BW24" s="311" t="s">
        <v>405</v>
      </c>
      <c r="BX24" s="312"/>
      <c r="CC24" s="310"/>
      <c r="CD24" s="311" t="s">
        <v>404</v>
      </c>
      <c r="CE24" s="311" t="s">
        <v>405</v>
      </c>
      <c r="CF24" s="312"/>
    </row>
    <row r="25" spans="1:85" ht="38.25" customHeight="1" x14ac:dyDescent="0.25">
      <c r="A25" s="486" t="s">
        <v>386</v>
      </c>
      <c r="B25" s="486"/>
      <c r="C25" s="484" t="s">
        <v>387</v>
      </c>
      <c r="D25" s="485"/>
    </row>
    <row r="26" spans="1:85" x14ac:dyDescent="0.25">
      <c r="A26" s="396"/>
      <c r="B26" s="392" t="s">
        <v>330</v>
      </c>
      <c r="C26" s="392" t="s">
        <v>331</v>
      </c>
      <c r="D26" s="326" t="s">
        <v>332</v>
      </c>
    </row>
    <row r="27" spans="1:85" x14ac:dyDescent="0.25">
      <c r="A27" s="396" t="s">
        <v>385</v>
      </c>
      <c r="B27" s="392"/>
      <c r="C27" s="392"/>
      <c r="D27" s="326"/>
    </row>
    <row r="28" spans="1:85" x14ac:dyDescent="0.25">
      <c r="A28" s="396"/>
      <c r="B28" s="392"/>
      <c r="C28" s="392"/>
      <c r="D28" s="326"/>
    </row>
    <row r="29" spans="1:85" x14ac:dyDescent="0.25">
      <c r="A29" s="396" t="s">
        <v>333</v>
      </c>
      <c r="B29" s="392">
        <f>B27*46%</f>
        <v>0</v>
      </c>
      <c r="C29" s="392">
        <f>C27*22%</f>
        <v>0</v>
      </c>
      <c r="D29" s="326">
        <f>D27*15%</f>
        <v>0</v>
      </c>
    </row>
    <row r="32" spans="1:85" ht="25.5" x14ac:dyDescent="0.25">
      <c r="A32" s="310" t="s">
        <v>388</v>
      </c>
      <c r="B32" s="311" t="s">
        <v>389</v>
      </c>
    </row>
    <row r="34" spans="1:38" ht="15" customHeight="1" x14ac:dyDescent="0.25">
      <c r="A34" s="327"/>
      <c r="B34" s="464" t="s">
        <v>495</v>
      </c>
      <c r="C34" s="464"/>
      <c r="D34" s="464"/>
      <c r="E34" s="464"/>
      <c r="F34" s="464"/>
      <c r="G34" s="464"/>
      <c r="H34" s="480" t="s">
        <v>496</v>
      </c>
      <c r="I34" s="481"/>
      <c r="J34" s="481"/>
      <c r="K34" s="481"/>
      <c r="L34" s="481"/>
      <c r="M34" s="482"/>
      <c r="N34" s="483" t="s">
        <v>497</v>
      </c>
      <c r="O34" s="483"/>
      <c r="P34" s="483"/>
      <c r="Q34" s="483"/>
      <c r="R34" s="483"/>
      <c r="S34" s="483"/>
      <c r="T34" s="483"/>
      <c r="U34" s="468" t="s">
        <v>499</v>
      </c>
      <c r="V34" s="468"/>
      <c r="W34" s="468"/>
      <c r="X34" s="468"/>
      <c r="Y34" s="468"/>
      <c r="Z34" s="468"/>
      <c r="AA34" s="468"/>
      <c r="AJ34" s="311" t="s">
        <v>418</v>
      </c>
      <c r="AK34" s="311" t="s">
        <v>419</v>
      </c>
      <c r="AL34" s="311" t="s">
        <v>420</v>
      </c>
    </row>
    <row r="35" spans="1:38" ht="38.25" x14ac:dyDescent="0.25">
      <c r="A35" s="327"/>
      <c r="B35" s="398" t="s">
        <v>406</v>
      </c>
      <c r="C35" s="398" t="s">
        <v>407</v>
      </c>
      <c r="D35" s="398" t="s">
        <v>390</v>
      </c>
      <c r="E35" s="398" t="s">
        <v>391</v>
      </c>
      <c r="F35" s="328" t="s">
        <v>392</v>
      </c>
      <c r="G35" s="398" t="s">
        <v>393</v>
      </c>
      <c r="H35" s="329" t="s">
        <v>406</v>
      </c>
      <c r="I35" s="329" t="s">
        <v>407</v>
      </c>
      <c r="J35" s="329" t="s">
        <v>390</v>
      </c>
      <c r="K35" s="329" t="s">
        <v>391</v>
      </c>
      <c r="L35" s="330" t="s">
        <v>392</v>
      </c>
      <c r="M35" s="329" t="s">
        <v>393</v>
      </c>
      <c r="N35" s="331" t="s">
        <v>406</v>
      </c>
      <c r="O35" s="331" t="s">
        <v>407</v>
      </c>
      <c r="P35" s="331" t="s">
        <v>390</v>
      </c>
      <c r="Q35" s="331" t="s">
        <v>391</v>
      </c>
      <c r="R35" s="332" t="s">
        <v>392</v>
      </c>
      <c r="S35" s="331" t="s">
        <v>393</v>
      </c>
      <c r="T35" s="331" t="s">
        <v>498</v>
      </c>
      <c r="U35" s="374" t="s">
        <v>406</v>
      </c>
      <c r="V35" s="374" t="s">
        <v>407</v>
      </c>
      <c r="W35" s="374" t="s">
        <v>390</v>
      </c>
      <c r="X35" s="399" t="s">
        <v>391</v>
      </c>
      <c r="Y35" s="375" t="s">
        <v>392</v>
      </c>
      <c r="Z35" s="374" t="s">
        <v>393</v>
      </c>
      <c r="AA35" s="331" t="s">
        <v>500</v>
      </c>
      <c r="AJ35" s="311" t="s">
        <v>423</v>
      </c>
      <c r="AK35" s="311" t="s">
        <v>270</v>
      </c>
    </row>
    <row r="36" spans="1:38" x14ac:dyDescent="0.2">
      <c r="A36" s="369">
        <f>'Lahan sawah'!B11</f>
        <v>2021</v>
      </c>
      <c r="B36" s="403">
        <f>[1]PPU!$B26</f>
        <v>11030.84</v>
      </c>
      <c r="C36" s="404">
        <f>[1]PPU!$G26</f>
        <v>1253.3800000000001</v>
      </c>
      <c r="D36" s="370">
        <f t="shared" ref="D36:D45" si="0">B36+C36</f>
        <v>12284.220000000001</v>
      </c>
      <c r="E36" s="334">
        <f>D60</f>
        <v>0</v>
      </c>
      <c r="F36" s="335"/>
      <c r="G36" s="401">
        <f>[2]PPU!F27</f>
        <v>41807</v>
      </c>
      <c r="H36" s="336">
        <v>275</v>
      </c>
      <c r="I36" s="336"/>
      <c r="J36" s="336"/>
      <c r="K36" s="336"/>
      <c r="L36" s="336"/>
      <c r="M36" s="336">
        <v>0</v>
      </c>
      <c r="N36" s="337">
        <f t="shared" ref="N36:S36" si="1">H36*B36</f>
        <v>3033481</v>
      </c>
      <c r="O36" s="337">
        <f t="shared" si="1"/>
        <v>0</v>
      </c>
      <c r="P36" s="337">
        <f t="shared" si="1"/>
        <v>0</v>
      </c>
      <c r="Q36" s="337">
        <f t="shared" si="1"/>
        <v>0</v>
      </c>
      <c r="R36" s="337">
        <f t="shared" si="1"/>
        <v>0</v>
      </c>
      <c r="S36" s="337">
        <f t="shared" si="1"/>
        <v>0</v>
      </c>
      <c r="T36" s="373">
        <f>SUM(N36:S36)</f>
        <v>3033481</v>
      </c>
      <c r="U36" s="377">
        <f>N36*46%</f>
        <v>1395401.26</v>
      </c>
      <c r="V36" s="377">
        <f t="shared" ref="V36:Z46" si="2">O36*46%</f>
        <v>0</v>
      </c>
      <c r="W36" s="377">
        <f t="shared" si="2"/>
        <v>0</v>
      </c>
      <c r="X36" s="377">
        <f t="shared" si="2"/>
        <v>0</v>
      </c>
      <c r="Y36" s="377">
        <f t="shared" si="2"/>
        <v>0</v>
      </c>
      <c r="Z36" s="377">
        <f t="shared" si="2"/>
        <v>0</v>
      </c>
      <c r="AA36" s="378">
        <f>T36*46%</f>
        <v>1395401.26</v>
      </c>
      <c r="AJ36" s="311">
        <v>8700</v>
      </c>
      <c r="AL36" s="338">
        <f t="shared" ref="AL36:AL46" si="3">W36+X36+Y36</f>
        <v>0</v>
      </c>
    </row>
    <row r="37" spans="1:38" x14ac:dyDescent="0.2">
      <c r="A37" s="369">
        <f>'Lahan sawah'!B12</f>
        <v>2022</v>
      </c>
      <c r="B37" s="403">
        <f>[1]PPU!$B27</f>
        <v>10812.3</v>
      </c>
      <c r="C37" s="404">
        <f>[1]PPU!$G27</f>
        <v>1255.93</v>
      </c>
      <c r="D37" s="370">
        <f t="shared" si="0"/>
        <v>12068.23</v>
      </c>
      <c r="E37" s="334">
        <f>E60</f>
        <v>0</v>
      </c>
      <c r="F37" s="335"/>
      <c r="G37" s="401">
        <f>[2]PPU!F28</f>
        <v>40736</v>
      </c>
      <c r="H37" s="336">
        <v>275</v>
      </c>
      <c r="I37" s="336"/>
      <c r="J37" s="336"/>
      <c r="K37" s="336"/>
      <c r="L37" s="336"/>
      <c r="M37" s="336">
        <v>0</v>
      </c>
      <c r="N37" s="337">
        <f t="shared" ref="N37:N46" si="4">H37*B37</f>
        <v>2973382.5</v>
      </c>
      <c r="O37" s="337">
        <f t="shared" ref="O37:P43" si="5">I37*C37</f>
        <v>0</v>
      </c>
      <c r="P37" s="339">
        <f t="shared" si="5"/>
        <v>0</v>
      </c>
      <c r="Q37" s="337">
        <f t="shared" ref="Q37:Q46" si="6">K37*E37</f>
        <v>0</v>
      </c>
      <c r="R37" s="337">
        <f t="shared" ref="R37:S46" si="7">L37*F37</f>
        <v>0</v>
      </c>
      <c r="S37" s="337">
        <f t="shared" si="7"/>
        <v>0</v>
      </c>
      <c r="T37" s="373">
        <f t="shared" ref="T37:T46" si="8">SUM(N37:S37)</f>
        <v>2973382.5</v>
      </c>
      <c r="U37" s="377">
        <f t="shared" ref="U37:U46" si="9">N37*46%</f>
        <v>1367755.95</v>
      </c>
      <c r="V37" s="377">
        <f t="shared" si="2"/>
        <v>0</v>
      </c>
      <c r="W37" s="377">
        <f t="shared" si="2"/>
        <v>0</v>
      </c>
      <c r="X37" s="377">
        <f t="shared" si="2"/>
        <v>0</v>
      </c>
      <c r="Y37" s="377">
        <f t="shared" si="2"/>
        <v>0</v>
      </c>
      <c r="Z37" s="377">
        <f t="shared" si="2"/>
        <v>0</v>
      </c>
      <c r="AA37" s="378">
        <f t="shared" ref="AA37:AA46" si="10">T37*46%</f>
        <v>1367755.95</v>
      </c>
      <c r="AJ37" s="311">
        <v>8700</v>
      </c>
      <c r="AL37" s="338">
        <f t="shared" si="3"/>
        <v>0</v>
      </c>
    </row>
    <row r="38" spans="1:38" x14ac:dyDescent="0.2">
      <c r="A38" s="369">
        <f>'Lahan sawah'!B13</f>
        <v>2023</v>
      </c>
      <c r="B38" s="403">
        <f>[1]PPU!$B28</f>
        <v>10593.76</v>
      </c>
      <c r="C38" s="404">
        <f>[1]PPU!$G28</f>
        <v>1258.48</v>
      </c>
      <c r="D38" s="370">
        <f t="shared" si="0"/>
        <v>11852.24</v>
      </c>
      <c r="E38" s="334">
        <f>F60</f>
        <v>0</v>
      </c>
      <c r="F38" s="335"/>
      <c r="G38" s="401">
        <f>[2]PPU!F29</f>
        <v>39665</v>
      </c>
      <c r="H38" s="336">
        <v>275</v>
      </c>
      <c r="I38" s="336"/>
      <c r="J38" s="336"/>
      <c r="K38" s="336"/>
      <c r="L38" s="336"/>
      <c r="M38" s="336">
        <v>0</v>
      </c>
      <c r="N38" s="337">
        <f t="shared" si="4"/>
        <v>2913284</v>
      </c>
      <c r="O38" s="337">
        <f t="shared" si="5"/>
        <v>0</v>
      </c>
      <c r="P38" s="339">
        <f t="shared" si="5"/>
        <v>0</v>
      </c>
      <c r="Q38" s="337">
        <f t="shared" si="6"/>
        <v>0</v>
      </c>
      <c r="R38" s="337">
        <f t="shared" si="7"/>
        <v>0</v>
      </c>
      <c r="S38" s="337">
        <f t="shared" si="7"/>
        <v>0</v>
      </c>
      <c r="T38" s="373">
        <f t="shared" si="8"/>
        <v>2913284</v>
      </c>
      <c r="U38" s="377">
        <f t="shared" si="9"/>
        <v>1340110.6400000001</v>
      </c>
      <c r="V38" s="377">
        <f t="shared" si="2"/>
        <v>0</v>
      </c>
      <c r="W38" s="377">
        <f t="shared" si="2"/>
        <v>0</v>
      </c>
      <c r="X38" s="377">
        <f t="shared" si="2"/>
        <v>0</v>
      </c>
      <c r="Y38" s="377">
        <f t="shared" si="2"/>
        <v>0</v>
      </c>
      <c r="Z38" s="377">
        <f t="shared" si="2"/>
        <v>0</v>
      </c>
      <c r="AA38" s="378">
        <f t="shared" si="10"/>
        <v>1340110.6400000001</v>
      </c>
      <c r="AJ38" s="311">
        <v>8700</v>
      </c>
      <c r="AL38" s="338">
        <f t="shared" si="3"/>
        <v>0</v>
      </c>
    </row>
    <row r="39" spans="1:38" x14ac:dyDescent="0.2">
      <c r="A39" s="369">
        <f>'Lahan sawah'!B14</f>
        <v>2024</v>
      </c>
      <c r="B39" s="403">
        <f>[1]PPU!$B29</f>
        <v>10375.219999999999</v>
      </c>
      <c r="C39" s="404">
        <f>[1]PPU!$G29</f>
        <v>1261.03</v>
      </c>
      <c r="D39" s="370">
        <f t="shared" si="0"/>
        <v>11636.25</v>
      </c>
      <c r="E39" s="334">
        <f>G60</f>
        <v>0</v>
      </c>
      <c r="F39" s="335"/>
      <c r="G39" s="401">
        <f>[2]PPU!F30</f>
        <v>38594</v>
      </c>
      <c r="H39" s="336">
        <v>275</v>
      </c>
      <c r="I39" s="336"/>
      <c r="J39" s="336"/>
      <c r="K39" s="336"/>
      <c r="L39" s="336"/>
      <c r="M39" s="336">
        <v>0</v>
      </c>
      <c r="N39" s="337">
        <f t="shared" si="4"/>
        <v>2853185.5</v>
      </c>
      <c r="O39" s="337">
        <f t="shared" si="5"/>
        <v>0</v>
      </c>
      <c r="P39" s="339">
        <f t="shared" si="5"/>
        <v>0</v>
      </c>
      <c r="Q39" s="337">
        <f t="shared" si="6"/>
        <v>0</v>
      </c>
      <c r="R39" s="337">
        <f t="shared" si="7"/>
        <v>0</v>
      </c>
      <c r="S39" s="337">
        <f t="shared" si="7"/>
        <v>0</v>
      </c>
      <c r="T39" s="373">
        <f t="shared" si="8"/>
        <v>2853185.5</v>
      </c>
      <c r="U39" s="377">
        <f t="shared" si="9"/>
        <v>1312465.33</v>
      </c>
      <c r="V39" s="377">
        <f t="shared" si="2"/>
        <v>0</v>
      </c>
      <c r="W39" s="377">
        <f t="shared" si="2"/>
        <v>0</v>
      </c>
      <c r="X39" s="377">
        <f t="shared" si="2"/>
        <v>0</v>
      </c>
      <c r="Y39" s="377">
        <f t="shared" si="2"/>
        <v>0</v>
      </c>
      <c r="Z39" s="377">
        <f t="shared" si="2"/>
        <v>0</v>
      </c>
      <c r="AA39" s="378">
        <f t="shared" si="10"/>
        <v>1312465.33</v>
      </c>
      <c r="AJ39" s="311">
        <v>8700</v>
      </c>
      <c r="AL39" s="338">
        <f t="shared" si="3"/>
        <v>0</v>
      </c>
    </row>
    <row r="40" spans="1:38" x14ac:dyDescent="0.2">
      <c r="A40" s="369">
        <f>'Lahan sawah'!B15</f>
        <v>2025</v>
      </c>
      <c r="B40" s="403">
        <f>[1]PPU!$B30</f>
        <v>10156.68</v>
      </c>
      <c r="C40" s="404">
        <f>[1]PPU!$G30</f>
        <v>1263.58</v>
      </c>
      <c r="D40" s="370">
        <f t="shared" si="0"/>
        <v>11420.26</v>
      </c>
      <c r="E40" s="334">
        <f>H60</f>
        <v>0</v>
      </c>
      <c r="F40" s="335"/>
      <c r="G40" s="401">
        <f>[2]PPU!F31</f>
        <v>37523</v>
      </c>
      <c r="H40" s="336">
        <v>275</v>
      </c>
      <c r="I40" s="336"/>
      <c r="J40" s="336"/>
      <c r="K40" s="336"/>
      <c r="L40" s="336"/>
      <c r="M40" s="336">
        <v>0</v>
      </c>
      <c r="N40" s="337">
        <f t="shared" si="4"/>
        <v>2793087</v>
      </c>
      <c r="O40" s="337">
        <f t="shared" si="5"/>
        <v>0</v>
      </c>
      <c r="P40" s="339">
        <f t="shared" si="5"/>
        <v>0</v>
      </c>
      <c r="Q40" s="337">
        <f t="shared" si="6"/>
        <v>0</v>
      </c>
      <c r="R40" s="337">
        <f t="shared" si="7"/>
        <v>0</v>
      </c>
      <c r="S40" s="337">
        <f t="shared" si="7"/>
        <v>0</v>
      </c>
      <c r="T40" s="373">
        <f t="shared" si="8"/>
        <v>2793087</v>
      </c>
      <c r="U40" s="377">
        <f t="shared" si="9"/>
        <v>1284820.02</v>
      </c>
      <c r="V40" s="377">
        <f t="shared" si="2"/>
        <v>0</v>
      </c>
      <c r="W40" s="377">
        <f t="shared" si="2"/>
        <v>0</v>
      </c>
      <c r="X40" s="377">
        <f t="shared" si="2"/>
        <v>0</v>
      </c>
      <c r="Y40" s="377">
        <f t="shared" si="2"/>
        <v>0</v>
      </c>
      <c r="Z40" s="377">
        <f t="shared" si="2"/>
        <v>0</v>
      </c>
      <c r="AA40" s="378">
        <f t="shared" si="10"/>
        <v>1284820.02</v>
      </c>
      <c r="AJ40" s="311">
        <v>8700</v>
      </c>
      <c r="AL40" s="338">
        <f t="shared" si="3"/>
        <v>0</v>
      </c>
    </row>
    <row r="41" spans="1:38" x14ac:dyDescent="0.2">
      <c r="A41" s="369">
        <f>'Lahan sawah'!B16</f>
        <v>2026</v>
      </c>
      <c r="B41" s="403">
        <f>[1]PPU!$B31</f>
        <v>9938.14</v>
      </c>
      <c r="C41" s="404">
        <f>[1]PPU!$G31</f>
        <v>1266.1300000000001</v>
      </c>
      <c r="D41" s="370">
        <f t="shared" si="0"/>
        <v>11204.27</v>
      </c>
      <c r="E41" s="334">
        <f>I60</f>
        <v>0</v>
      </c>
      <c r="F41" s="335"/>
      <c r="G41" s="401">
        <f>[2]PPU!F32</f>
        <v>37523</v>
      </c>
      <c r="H41" s="336">
        <v>275</v>
      </c>
      <c r="I41" s="336"/>
      <c r="J41" s="336"/>
      <c r="K41" s="336"/>
      <c r="L41" s="336"/>
      <c r="M41" s="336">
        <v>0</v>
      </c>
      <c r="N41" s="337">
        <f t="shared" si="4"/>
        <v>2732988.5</v>
      </c>
      <c r="O41" s="337">
        <f t="shared" si="5"/>
        <v>0</v>
      </c>
      <c r="P41" s="337">
        <f t="shared" si="5"/>
        <v>0</v>
      </c>
      <c r="Q41" s="337">
        <f t="shared" si="6"/>
        <v>0</v>
      </c>
      <c r="R41" s="337">
        <f t="shared" si="7"/>
        <v>0</v>
      </c>
      <c r="S41" s="337">
        <f t="shared" si="7"/>
        <v>0</v>
      </c>
      <c r="T41" s="373">
        <f t="shared" si="8"/>
        <v>2732988.5</v>
      </c>
      <c r="U41" s="377">
        <f t="shared" si="9"/>
        <v>1257174.71</v>
      </c>
      <c r="V41" s="377">
        <f t="shared" si="2"/>
        <v>0</v>
      </c>
      <c r="W41" s="377">
        <f t="shared" si="2"/>
        <v>0</v>
      </c>
      <c r="X41" s="377">
        <f t="shared" si="2"/>
        <v>0</v>
      </c>
      <c r="Y41" s="377">
        <f t="shared" si="2"/>
        <v>0</v>
      </c>
      <c r="Z41" s="377">
        <f t="shared" si="2"/>
        <v>0</v>
      </c>
      <c r="AA41" s="378">
        <f t="shared" si="10"/>
        <v>1257174.71</v>
      </c>
      <c r="AJ41" s="311">
        <v>8700</v>
      </c>
      <c r="AL41" s="338">
        <f t="shared" si="3"/>
        <v>0</v>
      </c>
    </row>
    <row r="42" spans="1:38" x14ac:dyDescent="0.2">
      <c r="A42" s="369">
        <f>'Lahan sawah'!B17</f>
        <v>2027</v>
      </c>
      <c r="B42" s="403">
        <f>[1]PPU!$B32</f>
        <v>9719.6</v>
      </c>
      <c r="C42" s="404">
        <f>[1]PPU!$G32</f>
        <v>1268.68</v>
      </c>
      <c r="D42" s="370">
        <f t="shared" si="0"/>
        <v>10988.28</v>
      </c>
      <c r="E42" s="334">
        <f>J60</f>
        <v>0</v>
      </c>
      <c r="F42" s="335"/>
      <c r="G42" s="401">
        <f>[2]PPU!F33</f>
        <v>37523</v>
      </c>
      <c r="H42" s="336">
        <v>275</v>
      </c>
      <c r="I42" s="336"/>
      <c r="J42" s="336"/>
      <c r="K42" s="336"/>
      <c r="L42" s="336"/>
      <c r="M42" s="336">
        <v>0</v>
      </c>
      <c r="N42" s="337">
        <f t="shared" si="4"/>
        <v>2672890</v>
      </c>
      <c r="O42" s="337">
        <f t="shared" si="5"/>
        <v>0</v>
      </c>
      <c r="P42" s="337">
        <f t="shared" si="5"/>
        <v>0</v>
      </c>
      <c r="Q42" s="337">
        <f t="shared" si="6"/>
        <v>0</v>
      </c>
      <c r="R42" s="337">
        <f t="shared" si="7"/>
        <v>0</v>
      </c>
      <c r="S42" s="337">
        <f t="shared" si="7"/>
        <v>0</v>
      </c>
      <c r="T42" s="373">
        <f t="shared" si="8"/>
        <v>2672890</v>
      </c>
      <c r="U42" s="377">
        <f t="shared" si="9"/>
        <v>1229529.4000000001</v>
      </c>
      <c r="V42" s="377">
        <f t="shared" si="2"/>
        <v>0</v>
      </c>
      <c r="W42" s="377">
        <f t="shared" si="2"/>
        <v>0</v>
      </c>
      <c r="X42" s="377">
        <f t="shared" si="2"/>
        <v>0</v>
      </c>
      <c r="Y42" s="377">
        <f t="shared" si="2"/>
        <v>0</v>
      </c>
      <c r="Z42" s="377">
        <f t="shared" si="2"/>
        <v>0</v>
      </c>
      <c r="AA42" s="378">
        <f t="shared" si="10"/>
        <v>1229529.4000000001</v>
      </c>
      <c r="AJ42" s="311">
        <v>8700</v>
      </c>
      <c r="AL42" s="338">
        <f t="shared" si="3"/>
        <v>0</v>
      </c>
    </row>
    <row r="43" spans="1:38" x14ac:dyDescent="0.2">
      <c r="A43" s="369">
        <f>'Lahan sawah'!B18</f>
        <v>2028</v>
      </c>
      <c r="B43" s="403">
        <f>[1]PPU!$B33</f>
        <v>9501.06</v>
      </c>
      <c r="C43" s="404">
        <f>[1]PPU!$G33</f>
        <v>1271.23</v>
      </c>
      <c r="D43" s="370">
        <f t="shared" si="0"/>
        <v>10772.289999999999</v>
      </c>
      <c r="E43" s="334">
        <f>K60</f>
        <v>0</v>
      </c>
      <c r="F43" s="335">
        <f>D64</f>
        <v>0</v>
      </c>
      <c r="G43" s="401">
        <f>[2]PPU!F34</f>
        <v>37523</v>
      </c>
      <c r="H43" s="336">
        <v>275</v>
      </c>
      <c r="I43" s="336"/>
      <c r="J43" s="336"/>
      <c r="K43" s="336"/>
      <c r="L43" s="336"/>
      <c r="M43" s="336">
        <v>0</v>
      </c>
      <c r="N43" s="337">
        <f>H43*B43</f>
        <v>2612791.5</v>
      </c>
      <c r="O43" s="337">
        <f t="shared" si="5"/>
        <v>0</v>
      </c>
      <c r="P43" s="337">
        <f t="shared" si="5"/>
        <v>0</v>
      </c>
      <c r="Q43" s="337">
        <f t="shared" si="6"/>
        <v>0</v>
      </c>
      <c r="R43" s="337">
        <f t="shared" si="7"/>
        <v>0</v>
      </c>
      <c r="S43" s="337">
        <f t="shared" si="7"/>
        <v>0</v>
      </c>
      <c r="T43" s="373">
        <f t="shared" si="8"/>
        <v>2612791.5</v>
      </c>
      <c r="U43" s="377">
        <f t="shared" si="9"/>
        <v>1201884.0900000001</v>
      </c>
      <c r="V43" s="377">
        <f t="shared" si="2"/>
        <v>0</v>
      </c>
      <c r="W43" s="377">
        <f t="shared" si="2"/>
        <v>0</v>
      </c>
      <c r="X43" s="377">
        <f t="shared" si="2"/>
        <v>0</v>
      </c>
      <c r="Y43" s="377">
        <f t="shared" si="2"/>
        <v>0</v>
      </c>
      <c r="Z43" s="377">
        <f t="shared" si="2"/>
        <v>0</v>
      </c>
      <c r="AA43" s="378">
        <f t="shared" si="10"/>
        <v>1201884.0900000001</v>
      </c>
      <c r="AJ43" s="311">
        <v>8700</v>
      </c>
      <c r="AK43" s="340" t="e">
        <f>((46/100)*AJ43)+((21/100)*#REF!)+((15/100)*#REF!)</f>
        <v>#REF!</v>
      </c>
      <c r="AL43" s="338">
        <f t="shared" si="3"/>
        <v>0</v>
      </c>
    </row>
    <row r="44" spans="1:38" x14ac:dyDescent="0.2">
      <c r="A44" s="369">
        <f>'Lahan sawah'!B19</f>
        <v>2029</v>
      </c>
      <c r="B44" s="403">
        <f>[1]PPU!$B34</f>
        <v>9282.52</v>
      </c>
      <c r="C44" s="404">
        <f>[1]PPU!$G34</f>
        <v>1273.78</v>
      </c>
      <c r="D44" s="370">
        <f t="shared" si="0"/>
        <v>10556.300000000001</v>
      </c>
      <c r="E44" s="334">
        <f>L60</f>
        <v>0</v>
      </c>
      <c r="F44" s="334">
        <f>E64</f>
        <v>0</v>
      </c>
      <c r="G44" s="401">
        <f>[2]PPU!F35</f>
        <v>37523</v>
      </c>
      <c r="H44" s="336">
        <v>275</v>
      </c>
      <c r="I44" s="336"/>
      <c r="J44" s="336"/>
      <c r="K44" s="336"/>
      <c r="L44" s="336"/>
      <c r="M44" s="336">
        <v>0</v>
      </c>
      <c r="N44" s="337">
        <f t="shared" si="4"/>
        <v>2552693</v>
      </c>
      <c r="O44" s="337">
        <f>I44*C44</f>
        <v>0</v>
      </c>
      <c r="P44" s="337">
        <f t="shared" ref="P44:P46" si="11">J44*D44</f>
        <v>0</v>
      </c>
      <c r="Q44" s="337">
        <f t="shared" si="6"/>
        <v>0</v>
      </c>
      <c r="R44" s="337">
        <f t="shared" si="7"/>
        <v>0</v>
      </c>
      <c r="S44" s="337">
        <f t="shared" si="7"/>
        <v>0</v>
      </c>
      <c r="T44" s="373">
        <f t="shared" si="8"/>
        <v>2552693</v>
      </c>
      <c r="U44" s="377">
        <f t="shared" si="9"/>
        <v>1174238.78</v>
      </c>
      <c r="V44" s="377">
        <f t="shared" si="2"/>
        <v>0</v>
      </c>
      <c r="W44" s="377">
        <f t="shared" si="2"/>
        <v>0</v>
      </c>
      <c r="X44" s="377">
        <f t="shared" si="2"/>
        <v>0</v>
      </c>
      <c r="Y44" s="377">
        <f t="shared" si="2"/>
        <v>0</v>
      </c>
      <c r="Z44" s="377">
        <f t="shared" si="2"/>
        <v>0</v>
      </c>
      <c r="AA44" s="378">
        <f t="shared" si="10"/>
        <v>1174238.78</v>
      </c>
      <c r="AJ44" s="311">
        <v>8700</v>
      </c>
      <c r="AK44" s="340" t="e">
        <f>((46/100)*AJ44)+((21/100)*#REF!)+((15/100)*#REF!)</f>
        <v>#REF!</v>
      </c>
      <c r="AL44" s="338">
        <f t="shared" si="3"/>
        <v>0</v>
      </c>
    </row>
    <row r="45" spans="1:38" x14ac:dyDescent="0.2">
      <c r="A45" s="369">
        <f>'Lahan sawah'!B20</f>
        <v>2030</v>
      </c>
      <c r="B45" s="403">
        <f>[1]PPU!$B35</f>
        <v>9063.98</v>
      </c>
      <c r="C45" s="404">
        <f>[1]PPU!$G35</f>
        <v>1276.33</v>
      </c>
      <c r="D45" s="370">
        <f t="shared" si="0"/>
        <v>10340.31</v>
      </c>
      <c r="E45" s="334">
        <f>M60</f>
        <v>0</v>
      </c>
      <c r="F45" s="334">
        <f>F64</f>
        <v>0</v>
      </c>
      <c r="G45" s="401">
        <f>[2]PPU!F36</f>
        <v>37523</v>
      </c>
      <c r="H45" s="336">
        <v>275</v>
      </c>
      <c r="I45" s="336"/>
      <c r="J45" s="336"/>
      <c r="K45" s="336"/>
      <c r="L45" s="336"/>
      <c r="M45" s="336">
        <v>0</v>
      </c>
      <c r="N45" s="337">
        <f t="shared" si="4"/>
        <v>2492594.5</v>
      </c>
      <c r="O45" s="337">
        <f>I45*C45</f>
        <v>0</v>
      </c>
      <c r="P45" s="337">
        <f t="shared" si="11"/>
        <v>0</v>
      </c>
      <c r="Q45" s="337">
        <f t="shared" si="6"/>
        <v>0</v>
      </c>
      <c r="R45" s="337">
        <f t="shared" si="7"/>
        <v>0</v>
      </c>
      <c r="S45" s="337">
        <f t="shared" si="7"/>
        <v>0</v>
      </c>
      <c r="T45" s="373">
        <f t="shared" si="8"/>
        <v>2492594.5</v>
      </c>
      <c r="U45" s="377">
        <f t="shared" si="9"/>
        <v>1146593.47</v>
      </c>
      <c r="V45" s="377">
        <f t="shared" si="2"/>
        <v>0</v>
      </c>
      <c r="W45" s="377">
        <f t="shared" si="2"/>
        <v>0</v>
      </c>
      <c r="X45" s="377">
        <f t="shared" si="2"/>
        <v>0</v>
      </c>
      <c r="Y45" s="377">
        <f t="shared" si="2"/>
        <v>0</v>
      </c>
      <c r="Z45" s="377">
        <f t="shared" si="2"/>
        <v>0</v>
      </c>
      <c r="AA45" s="378">
        <f t="shared" si="10"/>
        <v>1146593.47</v>
      </c>
      <c r="AJ45" s="311">
        <v>8700</v>
      </c>
      <c r="AK45" s="340" t="e">
        <f>((46/100)*AJ45)+((21/100)*#REF!)+((15/100)*#REF!)</f>
        <v>#REF!</v>
      </c>
      <c r="AL45" s="338">
        <f t="shared" si="3"/>
        <v>0</v>
      </c>
    </row>
    <row r="46" spans="1:38" x14ac:dyDescent="0.25">
      <c r="A46" s="369">
        <f>'Lahan sawah'!B21</f>
        <v>2031</v>
      </c>
      <c r="B46" s="341"/>
      <c r="C46" s="341"/>
      <c r="D46" s="371">
        <f t="shared" ref="D46" si="12">B46+C46</f>
        <v>0</v>
      </c>
      <c r="E46" s="342"/>
      <c r="F46" s="334">
        <f>G64</f>
        <v>0</v>
      </c>
      <c r="G46" s="343"/>
      <c r="H46" s="336">
        <v>275</v>
      </c>
      <c r="I46" s="336"/>
      <c r="J46" s="336"/>
      <c r="K46" s="336"/>
      <c r="L46" s="336"/>
      <c r="M46" s="336">
        <v>0</v>
      </c>
      <c r="N46" s="337">
        <f t="shared" si="4"/>
        <v>0</v>
      </c>
      <c r="O46" s="337">
        <f>I46*C46</f>
        <v>0</v>
      </c>
      <c r="P46" s="337">
        <f t="shared" si="11"/>
        <v>0</v>
      </c>
      <c r="Q46" s="337">
        <f t="shared" si="6"/>
        <v>0</v>
      </c>
      <c r="R46" s="337">
        <f t="shared" si="7"/>
        <v>0</v>
      </c>
      <c r="S46" s="337">
        <f t="shared" si="7"/>
        <v>0</v>
      </c>
      <c r="T46" s="373">
        <f t="shared" si="8"/>
        <v>0</v>
      </c>
      <c r="U46" s="377">
        <f t="shared" si="9"/>
        <v>0</v>
      </c>
      <c r="V46" s="377">
        <f t="shared" si="2"/>
        <v>0</v>
      </c>
      <c r="W46" s="377">
        <f t="shared" si="2"/>
        <v>0</v>
      </c>
      <c r="X46" s="377">
        <f t="shared" si="2"/>
        <v>0</v>
      </c>
      <c r="Y46" s="377">
        <f t="shared" si="2"/>
        <v>0</v>
      </c>
      <c r="Z46" s="377">
        <f t="shared" si="2"/>
        <v>0</v>
      </c>
      <c r="AA46" s="378">
        <f t="shared" si="10"/>
        <v>0</v>
      </c>
      <c r="AJ46" s="311">
        <v>8700</v>
      </c>
      <c r="AK46" s="340" t="e">
        <f>((46/100)*AJ46)+((21/100)*#REF!)+((15/100)*#REF!)</f>
        <v>#REF!</v>
      </c>
      <c r="AL46" s="338">
        <f t="shared" si="3"/>
        <v>0</v>
      </c>
    </row>
    <row r="47" spans="1:38" x14ac:dyDescent="0.25">
      <c r="A47" s="369">
        <f>'Lahan sawah'!B22</f>
        <v>0</v>
      </c>
      <c r="B47" s="343"/>
      <c r="C47" s="343"/>
      <c r="D47" s="344"/>
      <c r="E47" s="343"/>
      <c r="F47" s="343"/>
      <c r="G47" s="343"/>
      <c r="H47" s="336"/>
      <c r="I47" s="336"/>
      <c r="J47" s="336"/>
      <c r="K47" s="336"/>
      <c r="L47" s="336"/>
      <c r="M47" s="336"/>
      <c r="N47" s="333"/>
      <c r="O47" s="333"/>
      <c r="P47" s="333"/>
      <c r="Q47" s="333"/>
      <c r="R47" s="333"/>
      <c r="S47" s="333"/>
      <c r="T47" s="333"/>
      <c r="U47" s="376"/>
      <c r="V47" s="376"/>
      <c r="W47" s="376"/>
      <c r="X47" s="376"/>
      <c r="Y47" s="376"/>
      <c r="Z47" s="376"/>
      <c r="AA47" s="376"/>
    </row>
    <row r="48" spans="1:38" x14ac:dyDescent="0.25">
      <c r="A48" s="369">
        <f>'Lahan sawah'!B23</f>
        <v>0</v>
      </c>
      <c r="B48" s="343"/>
      <c r="C48" s="343"/>
      <c r="D48" s="344"/>
      <c r="E48" s="343"/>
      <c r="F48" s="343"/>
      <c r="G48" s="343"/>
      <c r="H48" s="336"/>
      <c r="I48" s="336"/>
      <c r="J48" s="336"/>
      <c r="K48" s="336"/>
      <c r="L48" s="336"/>
      <c r="M48" s="336"/>
      <c r="N48" s="333"/>
      <c r="O48" s="333"/>
      <c r="P48" s="333"/>
      <c r="Q48" s="333"/>
      <c r="R48" s="333"/>
      <c r="S48" s="333"/>
      <c r="T48" s="333"/>
      <c r="U48" s="376"/>
      <c r="V48" s="376"/>
      <c r="W48" s="376"/>
      <c r="X48" s="376"/>
      <c r="Y48" s="376"/>
      <c r="Z48" s="376"/>
      <c r="AA48" s="376"/>
    </row>
    <row r="49" spans="1:27" x14ac:dyDescent="0.25">
      <c r="A49" s="369">
        <f>'Lahan sawah'!B24</f>
        <v>0</v>
      </c>
      <c r="B49" s="343"/>
      <c r="C49" s="343"/>
      <c r="D49" s="344"/>
      <c r="E49" s="343"/>
      <c r="F49" s="343"/>
      <c r="G49" s="343"/>
      <c r="H49" s="336"/>
      <c r="I49" s="336"/>
      <c r="J49" s="336"/>
      <c r="K49" s="336"/>
      <c r="L49" s="336"/>
      <c r="M49" s="336"/>
      <c r="N49" s="333"/>
      <c r="O49" s="333"/>
      <c r="P49" s="333"/>
      <c r="Q49" s="333"/>
      <c r="R49" s="333"/>
      <c r="S49" s="333"/>
      <c r="T49" s="333"/>
      <c r="U49" s="376"/>
      <c r="V49" s="376"/>
      <c r="W49" s="376"/>
      <c r="X49" s="376"/>
      <c r="Y49" s="376"/>
      <c r="Z49" s="376"/>
      <c r="AA49" s="376"/>
    </row>
    <row r="51" spans="1:27" ht="15" customHeight="1" x14ac:dyDescent="0.25">
      <c r="C51" s="343"/>
      <c r="D51" s="464" t="s">
        <v>410</v>
      </c>
      <c r="E51" s="464"/>
      <c r="F51" s="464"/>
      <c r="G51" s="464"/>
      <c r="H51" s="464"/>
      <c r="I51" s="464"/>
      <c r="J51" s="464"/>
      <c r="K51" s="464"/>
      <c r="L51" s="464"/>
      <c r="M51" s="464"/>
    </row>
    <row r="52" spans="1:27" x14ac:dyDescent="0.25">
      <c r="A52" s="372"/>
      <c r="C52" s="343"/>
      <c r="D52" s="345">
        <f>'Peternakan-CH4'!C26</f>
        <v>2021</v>
      </c>
      <c r="E52" s="345">
        <f>'Peternakan-CH4'!D26</f>
        <v>2022</v>
      </c>
      <c r="F52" s="345">
        <f>'Peternakan-CH4'!E26</f>
        <v>2023</v>
      </c>
      <c r="G52" s="345">
        <f>'Peternakan-CH4'!F26</f>
        <v>2024</v>
      </c>
      <c r="H52" s="345">
        <f>'Peternakan-CH4'!G26</f>
        <v>2025</v>
      </c>
      <c r="I52" s="345">
        <f>'Peternakan-CH4'!H26</f>
        <v>2026</v>
      </c>
      <c r="J52" s="345">
        <f>'Peternakan-CH4'!I26</f>
        <v>2027</v>
      </c>
      <c r="K52" s="345">
        <f>'Peternakan-CH4'!J26</f>
        <v>2028</v>
      </c>
      <c r="L52" s="345">
        <f>'Peternakan-CH4'!K26</f>
        <v>2029</v>
      </c>
      <c r="M52" s="345">
        <f>'Peternakan-CH4'!L26</f>
        <v>2030</v>
      </c>
      <c r="N52" s="311" t="s">
        <v>422</v>
      </c>
    </row>
    <row r="53" spans="1:27" x14ac:dyDescent="0.2">
      <c r="A53" s="372"/>
      <c r="C53" s="343" t="s">
        <v>408</v>
      </c>
      <c r="D53" s="405">
        <f>[1]PPU!$Z$26</f>
        <v>0</v>
      </c>
      <c r="E53" s="405">
        <f>[1]PPU!$Z$27</f>
        <v>0</v>
      </c>
      <c r="F53" s="405">
        <f>[1]PPU!$Z$28</f>
        <v>0</v>
      </c>
      <c r="G53" s="405">
        <f>[1]PPU!$Z$29</f>
        <v>0</v>
      </c>
      <c r="H53" s="405">
        <f>[1]PPU!$Z$30</f>
        <v>0</v>
      </c>
      <c r="I53" s="405">
        <f>[1]PPU!$Z$31</f>
        <v>0</v>
      </c>
      <c r="J53" s="405">
        <f>[1]PPU!$Z$32</f>
        <v>0</v>
      </c>
      <c r="K53" s="405">
        <f>[1]PPU!$Z$33</f>
        <v>0</v>
      </c>
      <c r="L53" s="405">
        <f>[1]PPU!$Z$34</f>
        <v>0</v>
      </c>
      <c r="M53" s="405">
        <f>[1]PPU!$Z$35</f>
        <v>0</v>
      </c>
      <c r="N53" s="311" t="s">
        <v>421</v>
      </c>
    </row>
    <row r="54" spans="1:27" x14ac:dyDescent="0.2">
      <c r="A54" s="372"/>
      <c r="C54" s="343" t="s">
        <v>409</v>
      </c>
      <c r="D54" s="405">
        <f>[1]PPU!$AD$26</f>
        <v>0</v>
      </c>
      <c r="E54" s="405">
        <f>[1]PPU!$AD$27</f>
        <v>0</v>
      </c>
      <c r="F54" s="405">
        <f>[1]PPU!$AD$28</f>
        <v>0</v>
      </c>
      <c r="G54" s="405">
        <f>[1]PPU!$AD$29</f>
        <v>0</v>
      </c>
      <c r="H54" s="405">
        <f>[1]PPU!$AD$30</f>
        <v>0</v>
      </c>
      <c r="I54" s="405">
        <f>[1]PPU!$AD$31</f>
        <v>0</v>
      </c>
      <c r="J54" s="405">
        <f>[1]PPU!$AD$32</f>
        <v>0</v>
      </c>
      <c r="K54" s="405">
        <f>[1]PPU!$AD$33</f>
        <v>0</v>
      </c>
      <c r="L54" s="405">
        <f>[1]PPU!$AD$34</f>
        <v>0</v>
      </c>
      <c r="M54" s="405">
        <f>[1]PPU!$AD$35</f>
        <v>0</v>
      </c>
    </row>
    <row r="55" spans="1:27" x14ac:dyDescent="0.2">
      <c r="A55" s="372"/>
      <c r="C55" s="343" t="s">
        <v>412</v>
      </c>
      <c r="D55" s="405">
        <f>[1]PPU!$AC$26</f>
        <v>0</v>
      </c>
      <c r="E55" s="405">
        <f>[1]PPU!$AC$27</f>
        <v>0</v>
      </c>
      <c r="F55" s="405">
        <f>[1]PPU!$AC$28</f>
        <v>0</v>
      </c>
      <c r="G55" s="405">
        <f>[1]PPU!$AC$29</f>
        <v>0</v>
      </c>
      <c r="H55" s="405">
        <f>[1]PPU!$AC$30</f>
        <v>0</v>
      </c>
      <c r="I55" s="405">
        <f>[1]PPU!$AC$31</f>
        <v>0</v>
      </c>
      <c r="J55" s="405">
        <f>[1]PPU!$AC$32</f>
        <v>0</v>
      </c>
      <c r="K55" s="405">
        <f>[1]PPU!$AC$33</f>
        <v>0</v>
      </c>
      <c r="L55" s="405">
        <f>[1]PPU!$AC$34</f>
        <v>0</v>
      </c>
      <c r="M55" s="405">
        <f>[1]PPU!$AC$35</f>
        <v>0</v>
      </c>
    </row>
    <row r="56" spans="1:27" x14ac:dyDescent="0.2">
      <c r="A56" s="372"/>
      <c r="C56" s="343" t="s">
        <v>413</v>
      </c>
      <c r="D56" s="405">
        <f>[1]PPU!$AE$26</f>
        <v>0</v>
      </c>
      <c r="E56" s="405">
        <f>[1]PPU!$AE$27</f>
        <v>0</v>
      </c>
      <c r="F56" s="405">
        <f>[1]PPU!$AE$28</f>
        <v>0</v>
      </c>
      <c r="G56" s="405">
        <f>[1]PPU!$AE$29</f>
        <v>0</v>
      </c>
      <c r="H56" s="405">
        <f>[1]PPU!$AE$30</f>
        <v>0</v>
      </c>
      <c r="I56" s="405">
        <f>[1]PPU!$AE$31</f>
        <v>0</v>
      </c>
      <c r="J56" s="405">
        <f>[1]PPU!$AE$32</f>
        <v>0</v>
      </c>
      <c r="K56" s="405">
        <f>[1]PPU!$AE$33</f>
        <v>0</v>
      </c>
      <c r="L56" s="405">
        <f>[1]PPU!$AE$34</f>
        <v>0</v>
      </c>
      <c r="M56" s="405">
        <f>[1]PPU!$AE$35</f>
        <v>0</v>
      </c>
    </row>
    <row r="57" spans="1:27" x14ac:dyDescent="0.2">
      <c r="A57" s="372"/>
      <c r="C57" s="343" t="s">
        <v>411</v>
      </c>
      <c r="D57" s="405">
        <f>[1]PPU!$AA$26</f>
        <v>0</v>
      </c>
      <c r="E57" s="405">
        <f>[1]PPU!$AA$27</f>
        <v>0</v>
      </c>
      <c r="F57" s="405">
        <f>[1]PPU!$AA$28</f>
        <v>0</v>
      </c>
      <c r="G57" s="405">
        <f>[1]PPU!$AA$29</f>
        <v>0</v>
      </c>
      <c r="H57" s="405">
        <f>[1]PPU!$AA$30</f>
        <v>0</v>
      </c>
      <c r="I57" s="405">
        <f>[1]PPU!$AA$31</f>
        <v>0</v>
      </c>
      <c r="J57" s="405">
        <f>[1]PPU!$AA$32</f>
        <v>0</v>
      </c>
      <c r="K57" s="405">
        <f>[1]PPU!$AA$33</f>
        <v>0</v>
      </c>
      <c r="L57" s="405">
        <f>[1]PPU!$AA$34</f>
        <v>0</v>
      </c>
      <c r="M57" s="405">
        <f>[1]PPU!$AA$35</f>
        <v>0</v>
      </c>
    </row>
    <row r="58" spans="1:27" x14ac:dyDescent="0.2">
      <c r="C58" s="343" t="s">
        <v>414</v>
      </c>
      <c r="D58" s="406">
        <f>[1]PPU!$AB$26</f>
        <v>0</v>
      </c>
      <c r="E58" s="406">
        <f>[1]PPU!$AB$27</f>
        <v>0</v>
      </c>
      <c r="F58" s="406">
        <f>[1]PPU!$AB$28</f>
        <v>0</v>
      </c>
      <c r="G58" s="406">
        <f>[1]PPU!$AB$29</f>
        <v>0</v>
      </c>
      <c r="H58" s="406">
        <f>[1]PPU!$AB$30</f>
        <v>0</v>
      </c>
      <c r="I58" s="406">
        <f>[1]PPU!$AB$31</f>
        <v>0</v>
      </c>
      <c r="J58" s="406">
        <f>[1]PPU!$AB$32</f>
        <v>0</v>
      </c>
      <c r="K58" s="406">
        <f>[1]PPU!$AB$33</f>
        <v>0</v>
      </c>
      <c r="L58" s="406">
        <f>[1]PPU!$AB$34</f>
        <v>0</v>
      </c>
      <c r="M58" s="406">
        <f>[1]PPU!$AB$35</f>
        <v>0</v>
      </c>
    </row>
    <row r="59" spans="1:27" x14ac:dyDescent="0.2">
      <c r="C59" s="343" t="s">
        <v>415</v>
      </c>
      <c r="D59" s="407"/>
      <c r="E59" s="407"/>
      <c r="F59" s="408"/>
      <c r="G59" s="408"/>
      <c r="H59" s="402"/>
      <c r="I59" s="402"/>
      <c r="J59" s="402"/>
      <c r="K59" s="402"/>
      <c r="L59" s="402"/>
      <c r="M59" s="402"/>
    </row>
    <row r="60" spans="1:27" s="347" customFormat="1" x14ac:dyDescent="0.25">
      <c r="A60" s="346"/>
      <c r="C60" s="348" t="s">
        <v>416</v>
      </c>
      <c r="D60" s="349">
        <f>SUM(D53:D59)</f>
        <v>0</v>
      </c>
      <c r="E60" s="349">
        <f t="shared" ref="E60:G60" si="13">SUM(E53:E59)</f>
        <v>0</v>
      </c>
      <c r="F60" s="349">
        <f t="shared" si="13"/>
        <v>0</v>
      </c>
      <c r="G60" s="349">
        <f t="shared" si="13"/>
        <v>0</v>
      </c>
      <c r="H60" s="349">
        <f t="shared" ref="H60:M60" si="14">SUM(H53:H59)</f>
        <v>0</v>
      </c>
      <c r="I60" s="349">
        <f t="shared" si="14"/>
        <v>0</v>
      </c>
      <c r="J60" s="349">
        <f t="shared" si="14"/>
        <v>0</v>
      </c>
      <c r="K60" s="349">
        <f t="shared" si="14"/>
        <v>0</v>
      </c>
      <c r="L60" s="349">
        <f t="shared" si="14"/>
        <v>0</v>
      </c>
      <c r="M60" s="349">
        <f t="shared" si="14"/>
        <v>0</v>
      </c>
    </row>
    <row r="62" spans="1:27" ht="15" customHeight="1" x14ac:dyDescent="0.25">
      <c r="C62" s="343"/>
      <c r="D62" s="464" t="s">
        <v>410</v>
      </c>
      <c r="E62" s="464"/>
      <c r="F62" s="464"/>
      <c r="G62" s="464"/>
      <c r="H62" s="464"/>
      <c r="I62" s="464"/>
      <c r="J62" s="464"/>
      <c r="K62" s="464"/>
      <c r="L62" s="464"/>
      <c r="M62" s="464"/>
    </row>
    <row r="63" spans="1:27" x14ac:dyDescent="0.25">
      <c r="C63" s="343"/>
      <c r="D63" s="345">
        <f>D52</f>
        <v>2021</v>
      </c>
      <c r="E63" s="345">
        <f t="shared" ref="E63:M63" si="15">E52</f>
        <v>2022</v>
      </c>
      <c r="F63" s="345">
        <f t="shared" si="15"/>
        <v>2023</v>
      </c>
      <c r="G63" s="345">
        <f t="shared" si="15"/>
        <v>2024</v>
      </c>
      <c r="H63" s="345">
        <f t="shared" si="15"/>
        <v>2025</v>
      </c>
      <c r="I63" s="345">
        <f t="shared" si="15"/>
        <v>2026</v>
      </c>
      <c r="J63" s="345">
        <f t="shared" si="15"/>
        <v>2027</v>
      </c>
      <c r="K63" s="345">
        <f t="shared" si="15"/>
        <v>2028</v>
      </c>
      <c r="L63" s="345">
        <f t="shared" si="15"/>
        <v>2029</v>
      </c>
      <c r="M63" s="345">
        <f t="shared" si="15"/>
        <v>2030</v>
      </c>
    </row>
    <row r="64" spans="1:27" x14ac:dyDescent="0.25">
      <c r="C64" s="348" t="s">
        <v>417</v>
      </c>
      <c r="D64" s="334"/>
      <c r="E64" s="334"/>
      <c r="F64" s="334"/>
      <c r="G64" s="334"/>
      <c r="H64" s="334"/>
      <c r="I64" s="334"/>
      <c r="J64" s="334"/>
      <c r="K64" s="334"/>
      <c r="L64" s="334"/>
      <c r="M64" s="334"/>
    </row>
  </sheetData>
  <mergeCells count="93">
    <mergeCell ref="H34:M34"/>
    <mergeCell ref="B34:G34"/>
    <mergeCell ref="E12:F12"/>
    <mergeCell ref="N34:T34"/>
    <mergeCell ref="C25:D25"/>
    <mergeCell ref="A25:B25"/>
    <mergeCell ref="A15:A16"/>
    <mergeCell ref="E15:E16"/>
    <mergeCell ref="A17:B17"/>
    <mergeCell ref="A8:B12"/>
    <mergeCell ref="A3:B3"/>
    <mergeCell ref="C3:G3"/>
    <mergeCell ref="A4:B4"/>
    <mergeCell ref="C4:G4"/>
    <mergeCell ref="A5:B5"/>
    <mergeCell ref="C5:G5"/>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G4:AH4"/>
    <mergeCell ref="AG5:AH5"/>
    <mergeCell ref="U34:AA34"/>
    <mergeCell ref="AI3:AM3"/>
    <mergeCell ref="AI4:AM4"/>
    <mergeCell ref="AI5:AM5"/>
    <mergeCell ref="AI6:AM6"/>
    <mergeCell ref="AI7:AM7"/>
    <mergeCell ref="AG6:AH6"/>
    <mergeCell ref="AG7:AH7"/>
    <mergeCell ref="AG3:AH3"/>
    <mergeCell ref="AO6:AP6"/>
    <mergeCell ref="AQ6:AU6"/>
    <mergeCell ref="AO7:AP7"/>
    <mergeCell ref="AQ7:AU7"/>
    <mergeCell ref="AW3:AX3"/>
    <mergeCell ref="AO3:AP3"/>
    <mergeCell ref="AQ3:AU3"/>
    <mergeCell ref="AO4:AP4"/>
    <mergeCell ref="AQ4:AU4"/>
    <mergeCell ref="AO5:AP5"/>
    <mergeCell ref="AQ5:AU5"/>
    <mergeCell ref="AW6:AX6"/>
    <mergeCell ref="AY3:BC3"/>
    <mergeCell ref="AW4:AX4"/>
    <mergeCell ref="AY4:BC4"/>
    <mergeCell ref="AW5:AX5"/>
    <mergeCell ref="AY5:BC5"/>
    <mergeCell ref="AY6:BC6"/>
    <mergeCell ref="AW7:AX7"/>
    <mergeCell ref="AY7:BC7"/>
    <mergeCell ref="BE6:BF6"/>
    <mergeCell ref="BG6:BK6"/>
    <mergeCell ref="BE7:BF7"/>
    <mergeCell ref="BG7:BK7"/>
    <mergeCell ref="BM3:BN3"/>
    <mergeCell ref="BO3:BS3"/>
    <mergeCell ref="BM4:BN4"/>
    <mergeCell ref="BO4:BS4"/>
    <mergeCell ref="BM5:BN5"/>
    <mergeCell ref="BO5:BS5"/>
    <mergeCell ref="BE3:BF3"/>
    <mergeCell ref="BG3:BK3"/>
    <mergeCell ref="BE4:BF4"/>
    <mergeCell ref="BG4:BK4"/>
    <mergeCell ref="BE5:BF5"/>
    <mergeCell ref="BG5:BK5"/>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2017-10-17T15:16:26Z</dcterms:modified>
</cp:coreProperties>
</file>