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firstSheet="2"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Z46" i="13"/>
  <c r="Y46" i="13"/>
  <c r="X46" i="13"/>
  <c r="Y45" i="13"/>
  <c r="Y44" i="13"/>
  <c r="Y43" i="13"/>
  <c r="Y42" i="13"/>
  <c r="Y41" i="13"/>
  <c r="Y40" i="13"/>
  <c r="Y39" i="13"/>
  <c r="Y38" i="13"/>
  <c r="Y37" i="13"/>
  <c r="Y36" i="13"/>
  <c r="S46" i="13"/>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L130" i="12" l="1"/>
  <c r="L84" i="14" s="1"/>
  <c r="E117" i="12"/>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<sst xmlns="http://schemas.openxmlformats.org/spreadsheetml/2006/main" count="2462" uniqueCount="521">
  <si>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</si>
  <si>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</si>
  <si>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</si>
  <si>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</si>
  <si>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</si>
  <si>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</si>
  <si>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</si>
  <si>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</si>
  <si>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</si>
  <si>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</si>
  <si>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</si>
  <si>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</si>
  <si>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</si>
  <si>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</si>
  <si>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</si>
  <si>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</si>
  <si>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</si>
  <si>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</si>
  <si>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</si>
  <si>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</si>
  <si>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</si>
  <si>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</si>
  <si>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</si>
  <si>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</si>
  <si>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</si>
  <si>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</si>
  <si>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</si>
  <si>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</si>
  <si>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</si>
  <si>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</si>
  <si>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</si>
  <si>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</si>
  <si>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</si>
  <si>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</si>
  <si>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</si>
  <si>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</si>
  <si>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</si>
  <si>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</si>
  <si>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</si>
  <si>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</si>
  <si>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</si>
  <si>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</si>
  <si>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</si>
  <si>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</si>
  <si>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</si>
  <si>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</si>
  <si>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</si>
  <si>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</si>
  <si>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</si>
  <si>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</si>
  <si>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</si>
  <si>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</si>
  <si>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</si>
  <si>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</si>
  <si>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</si>
  <si>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</si>
  <si>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</si>
  <si>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</si>
  <si>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</si>
  <si>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</si>
  <si>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</si>
  <si>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</si>
  <si>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</si>
  <si>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</si>
  <si>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</si>
  <si>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</si>
  <si>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</si>
  <si>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</si>
  <si>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</si>
  <si>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</si>
  <si>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</si>
  <si>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</si>
  <si>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</si>
  <si>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</si>
  <si>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</si>
  <si>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</si>
  <si>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</si>
  <si>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</si>
  <si>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</si>
  <si>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</si>
  <si>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</si>
  <si>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</si>
  <si>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</si>
  <si>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</si>
  <si>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</si>
  <si>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</si>
  <si>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</si>
  <si>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</si>
  <si>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</si>
  <si>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</si>
  <si>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</si>
  <si>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</si>
  <si>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</si>
  <si>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</si>
  <si>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</si>
  <si>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</si>
  <si>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</si>
  <si>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</si>
  <si>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</si>
  <si>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</si>
  <si>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</si>
  <si>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</si>
  <si>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</si>
  <si>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</si>
  <si>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</si>
  <si>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</si>
  <si>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</si>
  <si>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</si>
  <si>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</si>
  <si>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</si>
  <si>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</si>
  <si>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</si>
  <si>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</si>
  <si>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</si>
  <si>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</si>
  <si>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</si>
  <si>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</si>
  <si>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</si>
  <si>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</si>
  <si>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</si>
  <si>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</si>
  <si>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</si>
  <si>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</si>
  <si>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</si>
  <si>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</si>
  <si>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</si>
  <si>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</si>
  <si>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</si>
  <si>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</si>
  <si>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</si>
  <si>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</si>
  <si>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</si>
  <si>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</si>
  <si>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</si>
  <si>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</si>
  <si>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</si>
  <si>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</si>
  <si>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</si>
  <si>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</si>
  <si>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</si>
  <si>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</si>
  <si>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</si>
  <si>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</si>
  <si>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</si>
  <si>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</si>
  <si>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</si>
  <si>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</si>
  <si>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</si>
  <si>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</si>
  <si>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</si>
  <si>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</si>
  <si>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</si>
  <si>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</si>
  <si>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</si>
  <si>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</si>
  <si>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</si>
  <si>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</si>
  <si>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</si>
  <si>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</si>
  <si>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</si>
  <si>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</si>
  <si>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</si>
  <si>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</si>
  <si>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</si>
  <si>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</si>
  <si>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</si>
  <si>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</si>
  <si>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</si>
  <si>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</si>
  <si>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</si>
  <si>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</si>
  <si>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</si>
  <si>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</si>
  <si>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</si>
  <si>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</si>
  <si>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</si>
  <si>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</si>
  <si>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</si>
  <si>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</si>
  <si>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</si>
  <si>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</si>
  <si>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</si>
  <si>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</si>
  <si>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</si>
  <si>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</si>
  <si>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</si>
  <si>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</si>
  <si>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</si>
  <si>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</si>
  <si>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</si>
  <si>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</si>
  <si>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</si>
  <si>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</si>
  <si>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</si>
  <si>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</si>
  <si>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</si>
  <si>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</si>
  <si>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</si>
  <si>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</si>
  <si>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</si>
  <si>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</si>
  <si>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</si>
  <si>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</si>
  <si>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</si>
  <si>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</si>
  <si>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</si>
  <si>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</si>
  <si>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</si>
  <si>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</si>
  <si>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</si>
  <si>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</si>
  <si>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</si>
  <si>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</si>
  <si>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</si>
  <si>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</si>
  <si>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</si>
  <si>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</si>
  <si>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</si>
  <si>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</si>
  <si>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</si>
  <si>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</si>
  <si>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</si>
  <si>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</si>
  <si>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</si>
  <si>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</si>
  <si>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</si>
  <si>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</si>
  <si>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</si>
  <si>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</si>
  <si>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</si>
  <si>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</si>
  <si>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</si>
  <si>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</si>
  <si>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</si>
  <si>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</si>
  <si>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</si>
  <si>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</si>
  <si>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</si>
  <si>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</si>
  <si>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</si>
  <si>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</si>
  <si>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</si>
  <si>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</si>
  <si>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</si>
  <si>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</si>
  <si>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</si>
  <si>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</si>
  <si>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</si>
  <si>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</si>
  <si>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</si>
  <si>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</si>
  <si>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</si>
  <si>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</si>
  <si>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</si>
  <si>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</si>
  <si>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</si>
  <si>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</si>
  <si>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</si>
  <si>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</si>
  <si>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</si>
  <si>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</si>
  <si>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</si>
  <si>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</si>
  <si>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</si>
  <si>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</si>
  <si>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</si>
  <si>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</si>
  <si>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</si>
  <si>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</si>
  <si>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</si>
  <si>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</si>
  <si>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</si>
  <si>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</si>
  <si>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</si>
  <si>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</si>
  <si>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</si>
  <si>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</si>
  <si>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</si>
  <si>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</si>
  <si>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</si>
  <si>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</si>
  <si>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</si>
  <si>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</si>
  <si>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</si>
  <si>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</si>
  <si>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</si>
  <si>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</si>
  <si>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</si>
  <si>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</si>
  <si>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</si>
  <si>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</si>
  <si>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</si>
  <si>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</si>
  <si>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</si>
  <si>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</si>
  <si>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</si>
  <si>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</si>
  <si>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</si>
  <si>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</si>
  <si>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</si>
  <si>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</si>
  <si>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</si>
  <si>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</si>
  <si>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</si>
  <si>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</si>
  <si>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</si>
  <si>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</si>
  <si>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</si>
  <si>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</si>
  <si>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</si>
  <si>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</si>
  <si>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</si>
  <si>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</si>
  <si>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</si>
  <si>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</si>
  <si>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</si>
  <si>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</si>
  <si>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</si>
  <si>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</si>
  <si>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</si>
  <si>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</si>
  <si>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</si>
  <si>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</si>
  <si>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</si>
  <si>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</si>
  <si>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</si>
  <si>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</si>
  <si>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</si>
  <si>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</si>
  <si>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</si>
  <si>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</si>
  <si>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</si>
  <si>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</si>
  <si>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</si>
  <si>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</si>
  <si>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</si>
  <si>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</si>
  <si>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</si>
  <si>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</si>
  <si>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</si>
  <si>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</si>
  <si>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</si>
  <si>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</si>
  <si>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</si>
  <si>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</si>
  <si>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</si>
  <si>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</si>
  <si>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</si>
  <si>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</si>
  <si>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</si>
  <si>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</si>
  <si>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</si>
  <si>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</si>
  <si>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</si>
  <si>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</si>
  <si>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</si>
  <si>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</si>
  <si>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</si>
  <si>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</si>
  <si>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</si>
  <si>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</si>
  <si>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</si>
  <si>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</si>
  <si>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</si>
  <si>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</si>
  <si>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</si>
  <si>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</si>
  <si>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</si>
  <si>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</si>
  <si>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</si>
  <si>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</si>
  <si>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</si>
  <si>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</si>
  <si>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</si>
  <si>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</si>
  <si>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</si>
  <si>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</si>
  <si>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</si>
  <si>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</si>
  <si>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</si>
  <si>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</si>
  <si>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</si>
  <si>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</si>
  <si>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</si>
  <si>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</si>
  <si>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</si>
  <si>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</si>
  <si>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</si>
  <si>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</si>
  <si>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</si>
  <si>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</si>
  <si>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</si>
  <si>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</si>
  <si>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</si>
  <si>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</si>
  <si>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</si>
  <si>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</si>
  <si>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</si>
  <si>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</si>
  <si>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</si>
  <si>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</si>
  <si>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</si>
  <si>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</si>
  <si>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</si>
  <si>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</si>
  <si>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</si>
  <si>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</si>
  <si>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</si>
  <si>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</si>
  <si>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</si>
  <si>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</si>
  <si>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</si>
  <si>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</si>
  <si>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</si>
  <si>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</si>
  <si>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</si>
  <si>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</si>
  <si>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</si>
  <si>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</si>
  <si>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</si>
  <si>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</si>
  <si>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</si>
  <si>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</si>
  <si>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</si>
  <si>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</si>
  <si>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</si>
  <si>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</si>
  <si>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</si>
  <si>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</si>
  <si>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</si>
  <si>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</si>
  <si>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</si>
  <si>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</si>
  <si>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</si>
  <si>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</si>
  <si>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</si>
  <si>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</si>
  <si>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</si>
  <si>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</si>
  <si>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</si>
  <si>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</si>
  <si>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</si>
  <si>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</si>
  <si>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</si>
  <si>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</si>
  <si>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</si>
  <si>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</si>
  <si>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</si>
  <si>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</si>
  <si>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</si>
  <si>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</si>
  <si>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</si>
  <si>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</si>
  <si>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</si>
  <si>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</si>
  <si>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</si>
  <si>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</si>
  <si>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</si>
  <si>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</si>
  <si>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</si>
  <si>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</si>
  <si>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</si>
  <si>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</si>
  <si>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</si>
  <si>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</si>
  <si>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</si>
  <si>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</si>
  <si>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</si>
  <si>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</si>
  <si>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</si>
  <si>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</si>
  <si>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</si>
  <si>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</si>
  <si>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</si>
  <si>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</si>
  <si>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</si>
  <si>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</si>
  <si>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</si>
  <si>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</si>
  <si>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</si>
  <si>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</si>
  <si>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</si>
  <si>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</si>
  <si>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</si>
  <si>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</si>
  <si>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</si>
  <si>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</si>
  <si>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</si>
  <si>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</si>
  <si>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</si>
  <si>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</si>
  <si>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</si>
  <si>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</si>
  <si>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</si>
  <si>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</si>
  <si>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</si>
  <si>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</si>
  <si>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</si>
  <si>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</si>
  <si>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</si>
  <si>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</si>
  <si>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</si>
  <si>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</si>
  <si>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</si>
  <si>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</si>
  <si>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</si>
  <si>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</si>
  <si>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</si>
  <si>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</si>
  <si>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</si>
  <si>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</si>
  <si>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</si>
  <si>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</si>
  <si>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</si>
  <si>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</si>
  <si>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</si>
  <si>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</si>
  <si>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</si>
  <si>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SAMARINDA</t>
  </si>
  <si>
    <t>Data populasi ternak SAMARINDA (ekor)</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</si>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</sst>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500">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166" fontId="47" fillId="6" borderId="17" xfId="1" applyNumberFormat="1" applyFont="1" applyFill="1" applyBorder="1" applyAlignment="1">
      <alignment vertical="center"/>
    </xf>
    <xf numFmtId="0" fontId="0" fillId="0" borderId="3" xfId="0" applyBorder="1" applyAlignment="1">
      <alignment horizontal="center"/>
    </xf>
    <xf numFmtId="166" fontId="31" fillId="6" borderId="17" xfId="2" applyNumberFormat="1" applyFont="1" applyFill="1" applyBorder="1"/>
    <xf numFmtId="166" fontId="31" fillId="6" borderId="17" xfId="1" applyNumberFormat="1" applyFont="1" applyFill="1" applyBorder="1"/>
    <xf numFmtId="171" fontId="46" fillId="6" borderId="17" xfId="1" applyNumberFormat="1" applyFont="1" applyFill="1" applyBorder="1"/>
    <xf numFmtId="165" fontId="14" fillId="6" borderId="17" xfId="1" applyFont="1" applyFill="1" applyBorder="1"/>
    <xf numFmtId="0" fontId="14" fillId="6" borderId="17" xfId="5" applyFill="1" applyBorder="1"/>
    <xf numFmtId="3" fontId="48" fillId="6" borderId="17" xfId="0" applyNumberFormat="1" applyFont="1" applyFill="1" applyBorder="1" applyAlignment="1">
      <alignment horizontal="right" wrapText="1"/>
    </xf>
    <xf numFmtId="164" fontId="48" fillId="6" borderId="17" xfId="8" applyFont="1" applyFill="1" applyBorder="1" applyAlignment="1">
      <alignment horizontal="right" wrapText="1"/>
    </xf>
    <xf numFmtId="0" fontId="48" fillId="6" borderId="17" xfId="0" applyFont="1" applyFill="1" applyBorder="1" applyAlignment="1">
      <alignment horizontal="right" wrapText="1"/>
    </xf>
    <xf numFmtId="0" fontId="31" fillId="6" borderId="17" xfId="0"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2054.4</c:v>
                </c:pt>
                <c:pt idx="1">
                  <c:v>1668.6</c:v>
                </c:pt>
                <c:pt idx="2">
                  <c:v>2101.7999999999997</c:v>
                </c:pt>
                <c:pt idx="3">
                  <c:v>2418</c:v>
                </c:pt>
                <c:pt idx="4">
                  <c:v>2042.3999999999999</c:v>
                </c:pt>
                <c:pt idx="5">
                  <c:v>2578.1194381498949</c:v>
                </c:pt>
                <c:pt idx="6">
                  <c:v>2665.7754990469916</c:v>
                </c:pt>
                <c:pt idx="7">
                  <c:v>2756.4118660145891</c:v>
                </c:pt>
                <c:pt idx="8">
                  <c:v>2850.1298694590855</c:v>
                </c:pt>
                <c:pt idx="9">
                  <c:v>2947.0342850206948</c:v>
                </c:pt>
              </c:numCache>
            </c:numRef>
          </c:yVal>
          <c:smooth val="0"/>
        </c:ser>
        <c:dLbls>
          <c:showLegendKey val="0"/>
          <c:showVal val="0"/>
          <c:showCatName val="0"/>
          <c:showSerName val="0"/>
          <c:showPercent val="0"/>
          <c:showBubbleSize val="0"/>
        </c:dLbls>
        <c:axId val="223933432"/>
        <c:axId val="223933824"/>
      </c:scatterChart>
      <c:valAx>
        <c:axId val="223933432"/>
        <c:scaling>
          <c:orientation val="minMax"/>
        </c:scaling>
        <c:delete val="0"/>
        <c:axPos val="b"/>
        <c:numFmt formatCode="General" sourceLinked="1"/>
        <c:majorTickMark val="out"/>
        <c:minorTickMark val="none"/>
        <c:tickLblPos val="nextTo"/>
        <c:txPr>
          <a:bodyPr/>
          <a:lstStyle/>
          <a:p>
            <a:pPr>
              <a:defRPr lang="en-US"/>
            </a:pPr>
            <a:endParaRPr lang="en-US"/>
          </a:p>
        </c:txPr>
        <c:crossAx val="223933824"/>
        <c:crosses val="autoZero"/>
        <c:crossBetween val="midCat"/>
      </c:valAx>
      <c:valAx>
        <c:axId val="22393382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239334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405390</c:v>
                </c:pt>
                <c:pt idx="1">
                  <c:v>415240</c:v>
                </c:pt>
                <c:pt idx="2">
                  <c:v>465109</c:v>
                </c:pt>
                <c:pt idx="3">
                  <c:v>432502</c:v>
                </c:pt>
                <c:pt idx="4">
                  <c:v>479884</c:v>
                </c:pt>
                <c:pt idx="5">
                  <c:v>481120</c:v>
                </c:pt>
                <c:pt idx="6">
                  <c:v>491494</c:v>
                </c:pt>
                <c:pt idx="7">
                  <c:v>501868</c:v>
                </c:pt>
                <c:pt idx="8">
                  <c:v>512242</c:v>
                </c:pt>
                <c:pt idx="9">
                  <c:v>522616</c:v>
                </c:pt>
              </c:numCache>
            </c:numRef>
          </c:val>
        </c:ser>
        <c:dLbls>
          <c:showLegendKey val="0"/>
          <c:showVal val="0"/>
          <c:showCatName val="0"/>
          <c:showSerName val="0"/>
          <c:showPercent val="0"/>
          <c:showBubbleSize val="0"/>
        </c:dLbls>
        <c:gapWidth val="150"/>
        <c:axId val="256871960"/>
        <c:axId val="256872352"/>
      </c:barChart>
      <c:catAx>
        <c:axId val="256871960"/>
        <c:scaling>
          <c:orientation val="minMax"/>
        </c:scaling>
        <c:delete val="0"/>
        <c:axPos val="b"/>
        <c:majorTickMark val="out"/>
        <c:minorTickMark val="none"/>
        <c:tickLblPos val="nextTo"/>
        <c:txPr>
          <a:bodyPr/>
          <a:lstStyle/>
          <a:p>
            <a:pPr>
              <a:defRPr lang="en-US"/>
            </a:pPr>
            <a:endParaRPr lang="en-US"/>
          </a:p>
        </c:txPr>
        <c:crossAx val="256872352"/>
        <c:crosses val="autoZero"/>
        <c:auto val="1"/>
        <c:lblAlgn val="ctr"/>
        <c:lblOffset val="100"/>
        <c:noMultiLvlLbl val="0"/>
      </c:catAx>
      <c:valAx>
        <c:axId val="2568723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8719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8640860</c:v>
                </c:pt>
                <c:pt idx="1">
                  <c:v>8881634</c:v>
                </c:pt>
                <c:pt idx="2">
                  <c:v>8118500</c:v>
                </c:pt>
                <c:pt idx="3">
                  <c:v>11667271</c:v>
                </c:pt>
                <c:pt idx="4">
                  <c:v>17775680</c:v>
                </c:pt>
                <c:pt idx="5">
                  <c:v>12296069</c:v>
                </c:pt>
                <c:pt idx="6">
                  <c:v>12666426</c:v>
                </c:pt>
                <c:pt idx="7">
                  <c:v>13036783</c:v>
                </c:pt>
                <c:pt idx="8">
                  <c:v>13407140</c:v>
                </c:pt>
                <c:pt idx="9">
                  <c:v>13777497</c:v>
                </c:pt>
              </c:numCache>
            </c:numRef>
          </c:val>
        </c:ser>
        <c:dLbls>
          <c:showLegendKey val="0"/>
          <c:showVal val="0"/>
          <c:showCatName val="0"/>
          <c:showSerName val="0"/>
          <c:showPercent val="0"/>
          <c:showBubbleSize val="0"/>
        </c:dLbls>
        <c:gapWidth val="150"/>
        <c:axId val="256873136"/>
        <c:axId val="256873528"/>
      </c:barChart>
      <c:catAx>
        <c:axId val="256873136"/>
        <c:scaling>
          <c:orientation val="minMax"/>
        </c:scaling>
        <c:delete val="0"/>
        <c:axPos val="b"/>
        <c:majorTickMark val="out"/>
        <c:minorTickMark val="none"/>
        <c:tickLblPos val="nextTo"/>
        <c:txPr>
          <a:bodyPr/>
          <a:lstStyle/>
          <a:p>
            <a:pPr>
              <a:defRPr lang="en-US"/>
            </a:pPr>
            <a:endParaRPr lang="en-US"/>
          </a:p>
        </c:txPr>
        <c:crossAx val="256873528"/>
        <c:crosses val="autoZero"/>
        <c:auto val="1"/>
        <c:lblAlgn val="ctr"/>
        <c:lblOffset val="100"/>
        <c:noMultiLvlLbl val="0"/>
      </c:catAx>
      <c:valAx>
        <c:axId val="2568735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8731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210700</c:v>
                </c:pt>
                <c:pt idx="1">
                  <c:v>225036</c:v>
                </c:pt>
                <c:pt idx="2">
                  <c:v>239085</c:v>
                </c:pt>
                <c:pt idx="3">
                  <c:v>204361</c:v>
                </c:pt>
                <c:pt idx="4">
                  <c:v>399637</c:v>
                </c:pt>
                <c:pt idx="5">
                  <c:v>272866.59999999998</c:v>
                </c:pt>
                <c:pt idx="6">
                  <c:v>278961.40000000002</c:v>
                </c:pt>
                <c:pt idx="7">
                  <c:v>285056.2</c:v>
                </c:pt>
                <c:pt idx="8">
                  <c:v>291151</c:v>
                </c:pt>
                <c:pt idx="9">
                  <c:v>297245.8</c:v>
                </c:pt>
              </c:numCache>
            </c:numRef>
          </c:val>
        </c:ser>
        <c:dLbls>
          <c:showLegendKey val="0"/>
          <c:showVal val="0"/>
          <c:showCatName val="0"/>
          <c:showSerName val="0"/>
          <c:showPercent val="0"/>
          <c:showBubbleSize val="0"/>
        </c:dLbls>
        <c:gapWidth val="150"/>
        <c:axId val="256874312"/>
        <c:axId val="256874704"/>
      </c:barChart>
      <c:catAx>
        <c:axId val="256874312"/>
        <c:scaling>
          <c:orientation val="minMax"/>
        </c:scaling>
        <c:delete val="0"/>
        <c:axPos val="b"/>
        <c:majorTickMark val="out"/>
        <c:minorTickMark val="none"/>
        <c:tickLblPos val="nextTo"/>
        <c:txPr>
          <a:bodyPr/>
          <a:lstStyle/>
          <a:p>
            <a:pPr>
              <a:defRPr lang="en-US"/>
            </a:pPr>
            <a:endParaRPr lang="en-US"/>
          </a:p>
        </c:txPr>
        <c:crossAx val="256874704"/>
        <c:crosses val="autoZero"/>
        <c:auto val="1"/>
        <c:lblAlgn val="ctr"/>
        <c:lblOffset val="100"/>
        <c:noMultiLvlLbl val="0"/>
      </c:catAx>
      <c:valAx>
        <c:axId val="2568747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8743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45415</c:v>
                </c:pt>
                <c:pt idx="1">
                  <c:v>32800</c:v>
                </c:pt>
                <c:pt idx="2">
                  <c:v>34272</c:v>
                </c:pt>
                <c:pt idx="3">
                  <c:v>24423</c:v>
                </c:pt>
                <c:pt idx="4">
                  <c:v>29905</c:v>
                </c:pt>
                <c:pt idx="5">
                  <c:v>42567</c:v>
                </c:pt>
                <c:pt idx="6">
                  <c:v>43915</c:v>
                </c:pt>
                <c:pt idx="7">
                  <c:v>45263</c:v>
                </c:pt>
                <c:pt idx="8">
                  <c:v>46611</c:v>
                </c:pt>
                <c:pt idx="9">
                  <c:v>47959</c:v>
                </c:pt>
              </c:numCache>
            </c:numRef>
          </c:val>
        </c:ser>
        <c:dLbls>
          <c:showLegendKey val="0"/>
          <c:showVal val="0"/>
          <c:showCatName val="0"/>
          <c:showSerName val="0"/>
          <c:showPercent val="0"/>
          <c:showBubbleSize val="0"/>
        </c:dLbls>
        <c:gapWidth val="150"/>
        <c:axId val="256875488"/>
        <c:axId val="256875880"/>
      </c:barChart>
      <c:catAx>
        <c:axId val="256875488"/>
        <c:scaling>
          <c:orientation val="minMax"/>
        </c:scaling>
        <c:delete val="0"/>
        <c:axPos val="b"/>
        <c:majorTickMark val="out"/>
        <c:minorTickMark val="none"/>
        <c:tickLblPos val="nextTo"/>
        <c:txPr>
          <a:bodyPr/>
          <a:lstStyle/>
          <a:p>
            <a:pPr>
              <a:defRPr lang="en-US"/>
            </a:pPr>
            <a:endParaRPr lang="en-US"/>
          </a:p>
        </c:txPr>
        <c:crossAx val="256875880"/>
        <c:crosses val="autoZero"/>
        <c:auto val="1"/>
        <c:lblAlgn val="ctr"/>
        <c:lblOffset val="100"/>
        <c:noMultiLvlLbl val="0"/>
      </c:catAx>
      <c:valAx>
        <c:axId val="2568758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8754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2054.4</c:v>
                </c:pt>
                <c:pt idx="1">
                  <c:v>1668.6</c:v>
                </c:pt>
                <c:pt idx="2">
                  <c:v>2101.7999999999997</c:v>
                </c:pt>
                <c:pt idx="3">
                  <c:v>2418</c:v>
                </c:pt>
                <c:pt idx="4">
                  <c:v>2042.3999999999999</c:v>
                </c:pt>
                <c:pt idx="5">
                  <c:v>2578.1194381498949</c:v>
                </c:pt>
                <c:pt idx="6">
                  <c:v>2665.7754990469916</c:v>
                </c:pt>
                <c:pt idx="7">
                  <c:v>2756.4118660145891</c:v>
                </c:pt>
                <c:pt idx="8">
                  <c:v>2850.1298694590855</c:v>
                </c:pt>
                <c:pt idx="9">
                  <c:v>2947.0342850206948</c:v>
                </c:pt>
              </c:numCache>
            </c:numRef>
          </c:yVal>
          <c:smooth val="0"/>
        </c:ser>
        <c:dLbls>
          <c:showLegendKey val="0"/>
          <c:showVal val="0"/>
          <c:showCatName val="0"/>
          <c:showSerName val="0"/>
          <c:showPercent val="0"/>
          <c:showBubbleSize val="0"/>
        </c:dLbls>
        <c:axId val="256876664"/>
        <c:axId val="256877056"/>
      </c:scatterChart>
      <c:valAx>
        <c:axId val="256876664"/>
        <c:scaling>
          <c:orientation val="minMax"/>
        </c:scaling>
        <c:delete val="0"/>
        <c:axPos val="b"/>
        <c:numFmt formatCode="General" sourceLinked="1"/>
        <c:majorTickMark val="out"/>
        <c:minorTickMark val="none"/>
        <c:tickLblPos val="nextTo"/>
        <c:txPr>
          <a:bodyPr/>
          <a:lstStyle/>
          <a:p>
            <a:pPr>
              <a:defRPr lang="en-US"/>
            </a:pPr>
            <a:endParaRPr lang="en-US"/>
          </a:p>
        </c:txPr>
        <c:crossAx val="256877056"/>
        <c:crosses val="autoZero"/>
        <c:crossBetween val="midCat"/>
      </c:valAx>
      <c:valAx>
        <c:axId val="25687705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8766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23</c:v>
                </c:pt>
                <c:pt idx="1">
                  <c:v>0</c:v>
                </c:pt>
                <c:pt idx="2">
                  <c:v>190</c:v>
                </c:pt>
                <c:pt idx="3">
                  <c:v>120</c:v>
                </c:pt>
                <c:pt idx="4">
                  <c:v>104</c:v>
                </c:pt>
                <c:pt idx="5">
                  <c:v>140.30331375017636</c:v>
                </c:pt>
                <c:pt idx="6">
                  <c:v>145.07362641768239</c:v>
                </c:pt>
                <c:pt idx="7">
                  <c:v>150.00612971588359</c:v>
                </c:pt>
                <c:pt idx="8">
                  <c:v>155.10633812622365</c:v>
                </c:pt>
                <c:pt idx="9">
                  <c:v>160.37995362251527</c:v>
                </c:pt>
              </c:numCache>
            </c:numRef>
          </c:yVal>
          <c:smooth val="0"/>
        </c:ser>
        <c:dLbls>
          <c:showLegendKey val="0"/>
          <c:showVal val="0"/>
          <c:showCatName val="0"/>
          <c:showSerName val="0"/>
          <c:showPercent val="0"/>
          <c:showBubbleSize val="0"/>
        </c:dLbls>
        <c:axId val="256877840"/>
        <c:axId val="256878232"/>
      </c:scatterChart>
      <c:valAx>
        <c:axId val="256877840"/>
        <c:scaling>
          <c:orientation val="minMax"/>
        </c:scaling>
        <c:delete val="0"/>
        <c:axPos val="b"/>
        <c:numFmt formatCode="General" sourceLinked="1"/>
        <c:majorTickMark val="out"/>
        <c:minorTickMark val="none"/>
        <c:tickLblPos val="nextTo"/>
        <c:txPr>
          <a:bodyPr/>
          <a:lstStyle/>
          <a:p>
            <a:pPr>
              <a:defRPr lang="en-US"/>
            </a:pPr>
            <a:endParaRPr lang="en-US"/>
          </a:p>
        </c:txPr>
        <c:crossAx val="256878232"/>
        <c:crosses val="autoZero"/>
        <c:crossBetween val="midCat"/>
      </c:valAx>
      <c:valAx>
        <c:axId val="25687823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8778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227</c:v>
                </c:pt>
                <c:pt idx="1">
                  <c:v>154</c:v>
                </c:pt>
                <c:pt idx="2">
                  <c:v>222</c:v>
                </c:pt>
                <c:pt idx="3">
                  <c:v>154</c:v>
                </c:pt>
                <c:pt idx="4">
                  <c:v>168</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6737520"/>
        <c:axId val="256737912"/>
      </c:scatterChart>
      <c:valAx>
        <c:axId val="256737520"/>
        <c:scaling>
          <c:orientation val="minMax"/>
        </c:scaling>
        <c:delete val="0"/>
        <c:axPos val="b"/>
        <c:numFmt formatCode="General" sourceLinked="1"/>
        <c:majorTickMark val="out"/>
        <c:minorTickMark val="none"/>
        <c:tickLblPos val="nextTo"/>
        <c:txPr>
          <a:bodyPr/>
          <a:lstStyle/>
          <a:p>
            <a:pPr>
              <a:defRPr lang="en-US"/>
            </a:pPr>
            <a:endParaRPr lang="en-US"/>
          </a:p>
        </c:txPr>
        <c:crossAx val="256737912"/>
        <c:crosses val="autoZero"/>
        <c:crossBetween val="midCat"/>
      </c:valAx>
      <c:valAx>
        <c:axId val="2567379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737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6738696"/>
        <c:axId val="256739088"/>
      </c:scatterChart>
      <c:valAx>
        <c:axId val="256738696"/>
        <c:scaling>
          <c:orientation val="minMax"/>
        </c:scaling>
        <c:delete val="0"/>
        <c:axPos val="b"/>
        <c:numFmt formatCode="General" sourceLinked="1"/>
        <c:majorTickMark val="out"/>
        <c:minorTickMark val="none"/>
        <c:tickLblPos val="nextTo"/>
        <c:txPr>
          <a:bodyPr/>
          <a:lstStyle/>
          <a:p>
            <a:pPr>
              <a:defRPr lang="en-US"/>
            </a:pPr>
            <a:endParaRPr lang="en-US"/>
          </a:p>
        </c:txPr>
        <c:crossAx val="256739088"/>
        <c:crosses val="autoZero"/>
        <c:crossBetween val="midCat"/>
      </c:valAx>
      <c:valAx>
        <c:axId val="25673908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67386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4144.4170931964591</c:v>
                </c:pt>
                <c:pt idx="1">
                  <c:v>3366.1284860336891</c:v>
                </c:pt>
                <c:pt idx="2">
                  <c:v>4240.0388660827084</c:v>
                </c:pt>
                <c:pt idx="3">
                  <c:v>4877.9208193871873</c:v>
                </c:pt>
                <c:pt idx="4">
                  <c:v>4120.2090494277882</c:v>
                </c:pt>
                <c:pt idx="5">
                  <c:v>5200.9356832994918</c:v>
                </c:pt>
                <c:pt idx="6">
                  <c:v>5377.7674965316746</c:v>
                </c:pt>
                <c:pt idx="7">
                  <c:v>5560.6115914137517</c:v>
                </c:pt>
                <c:pt idx="8">
                  <c:v>5749.6723855218197</c:v>
                </c:pt>
                <c:pt idx="9">
                  <c:v>5945.1612466295628</c:v>
                </c:pt>
              </c:numCache>
            </c:numRef>
          </c:yVal>
          <c:smooth val="0"/>
        </c:ser>
        <c:dLbls>
          <c:showLegendKey val="0"/>
          <c:showVal val="0"/>
          <c:showCatName val="0"/>
          <c:showSerName val="0"/>
          <c:showPercent val="0"/>
          <c:showBubbleSize val="0"/>
        </c:dLbls>
        <c:axId val="256739872"/>
        <c:axId val="256740264"/>
      </c:scatterChart>
      <c:valAx>
        <c:axId val="256739872"/>
        <c:scaling>
          <c:orientation val="minMax"/>
        </c:scaling>
        <c:delete val="0"/>
        <c:axPos val="b"/>
        <c:numFmt formatCode="General" sourceLinked="1"/>
        <c:majorTickMark val="out"/>
        <c:minorTickMark val="none"/>
        <c:tickLblPos val="nextTo"/>
        <c:txPr>
          <a:bodyPr/>
          <a:lstStyle/>
          <a:p>
            <a:pPr>
              <a:defRPr lang="en-US"/>
            </a:pPr>
            <a:endParaRPr lang="en-US"/>
          </a:p>
        </c:txPr>
        <c:crossAx val="256740264"/>
        <c:crosses val="autoZero"/>
        <c:crossBetween val="midCat"/>
      </c:valAx>
      <c:valAx>
        <c:axId val="2567402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7398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799.0165587259429</c:v>
                </c:pt>
                <c:pt idx="1">
                  <c:v>807.94191521113703</c:v>
                </c:pt>
                <c:pt idx="2">
                  <c:v>744.17709056667434</c:v>
                </c:pt>
                <c:pt idx="3">
                  <c:v>1007.8016197825715</c:v>
                </c:pt>
                <c:pt idx="4">
                  <c:v>1491.4220833615088</c:v>
                </c:pt>
                <c:pt idx="5">
                  <c:v>1088.6650109032369</c:v>
                </c:pt>
                <c:pt idx="6">
                  <c:v>1119.9946127329383</c:v>
                </c:pt>
                <c:pt idx="7">
                  <c:v>1152.2549944712134</c:v>
                </c:pt>
                <c:pt idx="8">
                  <c:v>1184.5508575314959</c:v>
                </c:pt>
                <c:pt idx="9">
                  <c:v>1216.8467205917784</c:v>
                </c:pt>
              </c:numCache>
            </c:numRef>
          </c:yVal>
          <c:smooth val="0"/>
        </c:ser>
        <c:dLbls>
          <c:showLegendKey val="0"/>
          <c:showVal val="0"/>
          <c:showCatName val="0"/>
          <c:showSerName val="0"/>
          <c:showPercent val="0"/>
          <c:showBubbleSize val="0"/>
        </c:dLbls>
        <c:axId val="256741048"/>
        <c:axId val="256741440"/>
      </c:scatterChart>
      <c:valAx>
        <c:axId val="256741048"/>
        <c:scaling>
          <c:orientation val="minMax"/>
        </c:scaling>
        <c:delete val="0"/>
        <c:axPos val="b"/>
        <c:numFmt formatCode="General" sourceLinked="1"/>
        <c:majorTickMark val="out"/>
        <c:minorTickMark val="none"/>
        <c:tickLblPos val="nextTo"/>
        <c:txPr>
          <a:bodyPr/>
          <a:lstStyle/>
          <a:p>
            <a:pPr>
              <a:defRPr lang="en-US"/>
            </a:pPr>
            <a:endParaRPr lang="en-US"/>
          </a:p>
        </c:txPr>
        <c:crossAx val="256741440"/>
        <c:crosses val="autoZero"/>
        <c:crossBetween val="midCat"/>
      </c:valAx>
      <c:valAx>
        <c:axId val="25674144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7410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22625.583632787162</c:v>
                </c:pt>
                <c:pt idx="1">
                  <c:v>19287.516630624352</c:v>
                </c:pt>
                <c:pt idx="2">
                  <c:v>20871.826786320336</c:v>
                </c:pt>
                <c:pt idx="3">
                  <c:v>24255.775174200237</c:v>
                </c:pt>
                <c:pt idx="4">
                  <c:v>26771.728463132153</c:v>
                </c:pt>
                <c:pt idx="5">
                  <c:v>25270.038328492079</c:v>
                </c:pt>
                <c:pt idx="6">
                  <c:v>25931.17602073028</c:v>
                </c:pt>
                <c:pt idx="7">
                  <c:v>26745.427026178932</c:v>
                </c:pt>
                <c:pt idx="8">
                  <c:v>27577.261610906193</c:v>
                </c:pt>
                <c:pt idx="9">
                  <c:v>28421.707423588894</c:v>
                </c:pt>
              </c:numCache>
            </c:numRef>
          </c:val>
          <c:smooth val="0"/>
        </c:ser>
        <c:dLbls>
          <c:showLegendKey val="0"/>
          <c:showVal val="0"/>
          <c:showCatName val="0"/>
          <c:showSerName val="0"/>
          <c:showPercent val="0"/>
          <c:showBubbleSize val="0"/>
        </c:dLbls>
        <c:smooth val="0"/>
        <c:axId val="223934608"/>
        <c:axId val="256133000"/>
      </c:lineChart>
      <c:catAx>
        <c:axId val="223934608"/>
        <c:scaling>
          <c:orientation val="minMax"/>
        </c:scaling>
        <c:delete val="0"/>
        <c:axPos val="b"/>
        <c:numFmt formatCode="General" sourceLinked="1"/>
        <c:majorTickMark val="out"/>
        <c:minorTickMark val="none"/>
        <c:tickLblPos val="nextTo"/>
        <c:txPr>
          <a:bodyPr/>
          <a:lstStyle/>
          <a:p>
            <a:pPr>
              <a:defRPr lang="en-US"/>
            </a:pPr>
            <a:endParaRPr lang="en-US"/>
          </a:p>
        </c:txPr>
        <c:crossAx val="256133000"/>
        <c:crosses val="autoZero"/>
        <c:auto val="1"/>
        <c:lblAlgn val="ctr"/>
        <c:lblOffset val="100"/>
        <c:noMultiLvlLbl val="0"/>
      </c:catAx>
      <c:valAx>
        <c:axId val="2561330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3934608"/>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12383.34153</c:v>
                </c:pt>
                <c:pt idx="1">
                  <c:v>10417.720530000001</c:v>
                </c:pt>
                <c:pt idx="2">
                  <c:v>10089.043020000001</c:v>
                </c:pt>
                <c:pt idx="3">
                  <c:v>11981.009669999999</c:v>
                </c:pt>
                <c:pt idx="4">
                  <c:v>15614.261040000003</c:v>
                </c:pt>
                <c:pt idx="5">
                  <c:v>13977.654923399998</c:v>
                </c:pt>
                <c:pt idx="6">
                  <c:v>14260.536588406079</c:v>
                </c:pt>
                <c:pt idx="7">
                  <c:v>14683.805288250349</c:v>
                </c:pt>
                <c:pt idx="8">
                  <c:v>15112.425540639782</c:v>
                </c:pt>
                <c:pt idx="9">
                  <c:v>15541.045793029212</c:v>
                </c:pt>
              </c:numCache>
            </c:numRef>
          </c:yVal>
          <c:smooth val="0"/>
        </c:ser>
        <c:dLbls>
          <c:showLegendKey val="0"/>
          <c:showVal val="0"/>
          <c:showCatName val="0"/>
          <c:showSerName val="0"/>
          <c:showPercent val="0"/>
          <c:showBubbleSize val="0"/>
        </c:dLbls>
        <c:axId val="256742224"/>
        <c:axId val="256742616"/>
      </c:scatterChart>
      <c:valAx>
        <c:axId val="256742224"/>
        <c:scaling>
          <c:orientation val="minMax"/>
        </c:scaling>
        <c:delete val="0"/>
        <c:axPos val="b"/>
        <c:numFmt formatCode="General" sourceLinked="1"/>
        <c:majorTickMark val="out"/>
        <c:minorTickMark val="none"/>
        <c:tickLblPos val="nextTo"/>
        <c:txPr>
          <a:bodyPr/>
          <a:lstStyle/>
          <a:p>
            <a:pPr>
              <a:defRPr lang="en-US"/>
            </a:pPr>
            <a:endParaRPr lang="en-US"/>
          </a:p>
        </c:txPr>
        <c:crossAx val="256742616"/>
        <c:crosses val="autoZero"/>
        <c:crossBetween val="midCat"/>
      </c:valAx>
      <c:valAx>
        <c:axId val="2567426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7422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3424.7659876571433</c:v>
                </c:pt>
                <c:pt idx="1">
                  <c:v>3016.9910763142861</c:v>
                </c:pt>
                <c:pt idx="2">
                  <c:v>3730.4531147714292</c:v>
                </c:pt>
                <c:pt idx="3">
                  <c:v>4122.4211354857143</c:v>
                </c:pt>
                <c:pt idx="4">
                  <c:v>3571.6722737142859</c:v>
                </c:pt>
                <c:pt idx="5">
                  <c:v>3308.9984975645089</c:v>
                </c:pt>
                <c:pt idx="6">
                  <c:v>3421.504446481702</c:v>
                </c:pt>
                <c:pt idx="7">
                  <c:v>3537.8355976620792</c:v>
                </c:pt>
                <c:pt idx="8">
                  <c:v>3658.1220079825907</c:v>
                </c:pt>
                <c:pt idx="9">
                  <c:v>3782.4981562539988</c:v>
                </c:pt>
              </c:numCache>
            </c:numRef>
          </c:yVal>
          <c:smooth val="0"/>
        </c:ser>
        <c:dLbls>
          <c:showLegendKey val="0"/>
          <c:showVal val="0"/>
          <c:showCatName val="0"/>
          <c:showSerName val="0"/>
          <c:showPercent val="0"/>
          <c:showBubbleSize val="0"/>
        </c:dLbls>
        <c:axId val="256743400"/>
        <c:axId val="256743792"/>
      </c:scatterChart>
      <c:valAx>
        <c:axId val="256743400"/>
        <c:scaling>
          <c:orientation val="minMax"/>
        </c:scaling>
        <c:delete val="0"/>
        <c:axPos val="b"/>
        <c:numFmt formatCode="General" sourceLinked="1"/>
        <c:majorTickMark val="out"/>
        <c:minorTickMark val="none"/>
        <c:tickLblPos val="nextTo"/>
        <c:txPr>
          <a:bodyPr/>
          <a:lstStyle/>
          <a:p>
            <a:pPr>
              <a:defRPr lang="en-US"/>
            </a:pPr>
            <a:endParaRPr lang="en-US"/>
          </a:p>
        </c:txPr>
        <c:crossAx val="256743792"/>
        <c:crosses val="autoZero"/>
        <c:crossBetween val="midCat"/>
      </c:valAx>
      <c:valAx>
        <c:axId val="2567437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7434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22625.583632787162</c:v>
                </c:pt>
                <c:pt idx="1">
                  <c:v>19287.516630624352</c:v>
                </c:pt>
                <c:pt idx="2">
                  <c:v>20871.826786320336</c:v>
                </c:pt>
                <c:pt idx="3">
                  <c:v>24255.775174200237</c:v>
                </c:pt>
                <c:pt idx="4">
                  <c:v>26771.728463132153</c:v>
                </c:pt>
                <c:pt idx="5">
                  <c:v>25270.038328492079</c:v>
                </c:pt>
                <c:pt idx="6">
                  <c:v>25931.17602073028</c:v>
                </c:pt>
                <c:pt idx="7">
                  <c:v>26745.427026178932</c:v>
                </c:pt>
                <c:pt idx="8">
                  <c:v>27577.261610906193</c:v>
                </c:pt>
                <c:pt idx="9">
                  <c:v>28421.707423588894</c:v>
                </c:pt>
              </c:numCache>
            </c:numRef>
          </c:yVal>
          <c:smooth val="0"/>
        </c:ser>
        <c:dLbls>
          <c:showLegendKey val="0"/>
          <c:showVal val="0"/>
          <c:showCatName val="0"/>
          <c:showSerName val="0"/>
          <c:showPercent val="0"/>
          <c:showBubbleSize val="0"/>
        </c:dLbls>
        <c:axId val="256744576"/>
        <c:axId val="257209760"/>
      </c:scatterChart>
      <c:valAx>
        <c:axId val="256744576"/>
        <c:scaling>
          <c:orientation val="minMax"/>
        </c:scaling>
        <c:delete val="0"/>
        <c:axPos val="b"/>
        <c:numFmt formatCode="General" sourceLinked="1"/>
        <c:majorTickMark val="out"/>
        <c:minorTickMark val="none"/>
        <c:tickLblPos val="nextTo"/>
        <c:txPr>
          <a:bodyPr/>
          <a:lstStyle/>
          <a:p>
            <a:pPr>
              <a:defRPr lang="en-US"/>
            </a:pPr>
            <a:endParaRPr lang="en-US"/>
          </a:p>
        </c:txPr>
        <c:crossAx val="257209760"/>
        <c:crosses val="autoZero"/>
        <c:crossBetween val="midCat"/>
      </c:valAx>
      <c:valAx>
        <c:axId val="25720976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67445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7210936"/>
        <c:axId val="257211328"/>
      </c:scatterChart>
      <c:valAx>
        <c:axId val="257210936"/>
        <c:scaling>
          <c:orientation val="minMax"/>
        </c:scaling>
        <c:delete val="0"/>
        <c:axPos val="b"/>
        <c:numFmt formatCode="General" sourceLinked="1"/>
        <c:majorTickMark val="out"/>
        <c:minorTickMark val="none"/>
        <c:tickLblPos val="nextTo"/>
        <c:txPr>
          <a:bodyPr/>
          <a:lstStyle/>
          <a:p>
            <a:pPr>
              <a:defRPr lang="en-US"/>
            </a:pPr>
            <a:endParaRPr lang="en-US"/>
          </a:p>
        </c:txPr>
        <c:crossAx val="257211328"/>
        <c:crosses val="autoZero"/>
        <c:crossBetween val="midCat"/>
      </c:valAx>
      <c:valAx>
        <c:axId val="25721132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2109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56133784"/>
        <c:axId val="256134176"/>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22625.583632787162</c:v>
                </c:pt>
                <c:pt idx="1">
                  <c:v>19287.516630624352</c:v>
                </c:pt>
                <c:pt idx="2">
                  <c:v>20871.826786320336</c:v>
                </c:pt>
                <c:pt idx="3">
                  <c:v>24255.775174200237</c:v>
                </c:pt>
                <c:pt idx="4">
                  <c:v>26771.728463132153</c:v>
                </c:pt>
                <c:pt idx="5">
                  <c:v>25270.038328492079</c:v>
                </c:pt>
                <c:pt idx="6">
                  <c:v>25931.17602073028</c:v>
                </c:pt>
                <c:pt idx="7">
                  <c:v>26745.427026178932</c:v>
                </c:pt>
                <c:pt idx="8">
                  <c:v>27577.261610906193</c:v>
                </c:pt>
                <c:pt idx="9">
                  <c:v>28421.707423588894</c:v>
                </c:pt>
                <c:pt idx="10">
                  <c:v>0</c:v>
                </c:pt>
              </c:numCache>
            </c:numRef>
          </c:yVal>
          <c:smooth val="0"/>
        </c:ser>
        <c:dLbls>
          <c:showLegendKey val="0"/>
          <c:showVal val="0"/>
          <c:showCatName val="0"/>
          <c:showSerName val="0"/>
          <c:showPercent val="0"/>
          <c:showBubbleSize val="0"/>
        </c:dLbls>
        <c:axId val="256133784"/>
        <c:axId val="256134176"/>
      </c:scatterChart>
      <c:catAx>
        <c:axId val="256133784"/>
        <c:scaling>
          <c:orientation val="minMax"/>
        </c:scaling>
        <c:delete val="0"/>
        <c:axPos val="b"/>
        <c:majorTickMark val="out"/>
        <c:minorTickMark val="none"/>
        <c:tickLblPos val="nextTo"/>
        <c:txPr>
          <a:bodyPr/>
          <a:lstStyle/>
          <a:p>
            <a:pPr>
              <a:defRPr lang="en-US"/>
            </a:pPr>
            <a:endParaRPr lang="en-US"/>
          </a:p>
        </c:txPr>
        <c:crossAx val="256134176"/>
        <c:crosses val="autoZero"/>
        <c:auto val="1"/>
        <c:lblAlgn val="ctr"/>
        <c:lblOffset val="100"/>
        <c:noMultiLvlLbl val="0"/>
      </c:catAx>
      <c:valAx>
        <c:axId val="25613417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6133784"/>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134960"/>
        <c:axId val="256135352"/>
      </c:barChart>
      <c:catAx>
        <c:axId val="256134960"/>
        <c:scaling>
          <c:orientation val="minMax"/>
        </c:scaling>
        <c:delete val="0"/>
        <c:axPos val="b"/>
        <c:majorTickMark val="out"/>
        <c:minorTickMark val="none"/>
        <c:tickLblPos val="nextTo"/>
        <c:txPr>
          <a:bodyPr/>
          <a:lstStyle/>
          <a:p>
            <a:pPr>
              <a:defRPr lang="en-US"/>
            </a:pPr>
            <a:endParaRPr lang="en-US"/>
          </a:p>
        </c:txPr>
        <c:crossAx val="256135352"/>
        <c:crosses val="autoZero"/>
        <c:auto val="1"/>
        <c:lblAlgn val="ctr"/>
        <c:lblOffset val="100"/>
        <c:noMultiLvlLbl val="0"/>
      </c:catAx>
      <c:valAx>
        <c:axId val="2561353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1349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5681</c:v>
                </c:pt>
                <c:pt idx="1">
                  <c:v>3671</c:v>
                </c:pt>
                <c:pt idx="2">
                  <c:v>3772</c:v>
                </c:pt>
                <c:pt idx="3">
                  <c:v>4266</c:v>
                </c:pt>
                <c:pt idx="4">
                  <c:v>4996</c:v>
                </c:pt>
                <c:pt idx="5">
                  <c:v>5288</c:v>
                </c:pt>
                <c:pt idx="6">
                  <c:v>5316.7360057599999</c:v>
                </c:pt>
                <c:pt idx="7">
                  <c:v>5484.744863542016</c:v>
                </c:pt>
                <c:pt idx="8">
                  <c:v>5658.0628012299439</c:v>
                </c:pt>
                <c:pt idx="9">
                  <c:v>5831.3807389178701</c:v>
                </c:pt>
              </c:numCache>
            </c:numRef>
          </c:val>
        </c:ser>
        <c:dLbls>
          <c:showLegendKey val="0"/>
          <c:showVal val="0"/>
          <c:showCatName val="0"/>
          <c:showSerName val="0"/>
          <c:showPercent val="0"/>
          <c:showBubbleSize val="0"/>
        </c:dLbls>
        <c:gapWidth val="150"/>
        <c:axId val="256136136"/>
        <c:axId val="256136528"/>
      </c:barChart>
      <c:catAx>
        <c:axId val="256136136"/>
        <c:scaling>
          <c:orientation val="minMax"/>
        </c:scaling>
        <c:delete val="0"/>
        <c:axPos val="b"/>
        <c:majorTickMark val="out"/>
        <c:minorTickMark val="none"/>
        <c:tickLblPos val="nextTo"/>
        <c:txPr>
          <a:bodyPr/>
          <a:lstStyle/>
          <a:p>
            <a:pPr>
              <a:defRPr lang="en-US"/>
            </a:pPr>
            <a:endParaRPr lang="en-US"/>
          </a:p>
        </c:txPr>
        <c:crossAx val="256136528"/>
        <c:crosses val="autoZero"/>
        <c:auto val="1"/>
        <c:lblAlgn val="ctr"/>
        <c:lblOffset val="100"/>
        <c:noMultiLvlLbl val="0"/>
      </c:catAx>
      <c:valAx>
        <c:axId val="25613652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1361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82</c:v>
                </c:pt>
                <c:pt idx="1">
                  <c:v>78</c:v>
                </c:pt>
                <c:pt idx="2">
                  <c:v>68</c:v>
                </c:pt>
                <c:pt idx="3">
                  <c:v>60</c:v>
                </c:pt>
                <c:pt idx="4">
                  <c:v>72</c:v>
                </c:pt>
                <c:pt idx="5">
                  <c:v>91.374200000000002</c:v>
                </c:pt>
                <c:pt idx="6">
                  <c:v>91.491799999999998</c:v>
                </c:pt>
                <c:pt idx="7">
                  <c:v>91.609399999999994</c:v>
                </c:pt>
                <c:pt idx="8">
                  <c:v>91.727000000000004</c:v>
                </c:pt>
                <c:pt idx="9">
                  <c:v>91.8446</c:v>
                </c:pt>
              </c:numCache>
            </c:numRef>
          </c:val>
        </c:ser>
        <c:dLbls>
          <c:showLegendKey val="0"/>
          <c:showVal val="0"/>
          <c:showCatName val="0"/>
          <c:showSerName val="0"/>
          <c:showPercent val="0"/>
          <c:showBubbleSize val="0"/>
        </c:dLbls>
        <c:gapWidth val="150"/>
        <c:overlap val="100"/>
        <c:axId val="256137704"/>
        <c:axId val="256138096"/>
      </c:barChart>
      <c:catAx>
        <c:axId val="256137704"/>
        <c:scaling>
          <c:orientation val="minMax"/>
        </c:scaling>
        <c:delete val="0"/>
        <c:axPos val="b"/>
        <c:majorTickMark val="out"/>
        <c:minorTickMark val="none"/>
        <c:tickLblPos val="nextTo"/>
        <c:txPr>
          <a:bodyPr/>
          <a:lstStyle/>
          <a:p>
            <a:pPr>
              <a:defRPr lang="en-US"/>
            </a:pPr>
            <a:endParaRPr lang="en-US"/>
          </a:p>
        </c:txPr>
        <c:crossAx val="256138096"/>
        <c:crosses val="autoZero"/>
        <c:auto val="1"/>
        <c:lblAlgn val="ctr"/>
        <c:lblOffset val="100"/>
        <c:noMultiLvlLbl val="0"/>
      </c:catAx>
      <c:valAx>
        <c:axId val="2561380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1377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268</c:v>
                </c:pt>
                <c:pt idx="1">
                  <c:v>298</c:v>
                </c:pt>
                <c:pt idx="2">
                  <c:v>88</c:v>
                </c:pt>
                <c:pt idx="3">
                  <c:v>51</c:v>
                </c:pt>
                <c:pt idx="4">
                  <c:v>63</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138880"/>
        <c:axId val="256139272"/>
      </c:barChart>
      <c:catAx>
        <c:axId val="256138880"/>
        <c:scaling>
          <c:orientation val="minMax"/>
        </c:scaling>
        <c:delete val="0"/>
        <c:axPos val="b"/>
        <c:majorTickMark val="out"/>
        <c:minorTickMark val="none"/>
        <c:tickLblPos val="nextTo"/>
        <c:txPr>
          <a:bodyPr/>
          <a:lstStyle/>
          <a:p>
            <a:pPr>
              <a:defRPr lang="en-US"/>
            </a:pPr>
            <a:endParaRPr lang="en-US"/>
          </a:p>
        </c:txPr>
        <c:crossAx val="256139272"/>
        <c:crosses val="autoZero"/>
        <c:auto val="1"/>
        <c:lblAlgn val="ctr"/>
        <c:lblOffset val="100"/>
        <c:noMultiLvlLbl val="0"/>
      </c:catAx>
      <c:valAx>
        <c:axId val="2561392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1388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12635</c:v>
                </c:pt>
                <c:pt idx="1">
                  <c:v>13440</c:v>
                </c:pt>
                <c:pt idx="2">
                  <c:v>10353</c:v>
                </c:pt>
                <c:pt idx="3">
                  <c:v>9730</c:v>
                </c:pt>
                <c:pt idx="4">
                  <c:v>10371</c:v>
                </c:pt>
                <c:pt idx="5">
                  <c:v>14149.699999999999</c:v>
                </c:pt>
                <c:pt idx="6">
                  <c:v>14438.099999999999</c:v>
                </c:pt>
                <c:pt idx="7">
                  <c:v>14726.5</c:v>
                </c:pt>
                <c:pt idx="8">
                  <c:v>15014.9</c:v>
                </c:pt>
                <c:pt idx="9">
                  <c:v>15303.3</c:v>
                </c:pt>
              </c:numCache>
            </c:numRef>
          </c:val>
        </c:ser>
        <c:dLbls>
          <c:showLegendKey val="0"/>
          <c:showVal val="0"/>
          <c:showCatName val="0"/>
          <c:showSerName val="0"/>
          <c:showPercent val="0"/>
          <c:showBubbleSize val="0"/>
        </c:dLbls>
        <c:gapWidth val="150"/>
        <c:axId val="256140056"/>
        <c:axId val="256140448"/>
      </c:barChart>
      <c:catAx>
        <c:axId val="256140056"/>
        <c:scaling>
          <c:orientation val="minMax"/>
        </c:scaling>
        <c:delete val="0"/>
        <c:axPos val="b"/>
        <c:majorTickMark val="out"/>
        <c:minorTickMark val="none"/>
        <c:tickLblPos val="nextTo"/>
        <c:txPr>
          <a:bodyPr/>
          <a:lstStyle/>
          <a:p>
            <a:pPr>
              <a:defRPr lang="en-US"/>
            </a:pPr>
            <a:endParaRPr lang="en-US"/>
          </a:p>
        </c:txPr>
        <c:crossAx val="256140448"/>
        <c:crosses val="autoZero"/>
        <c:auto val="1"/>
        <c:lblAlgn val="ctr"/>
        <c:lblOffset val="100"/>
        <c:noMultiLvlLbl val="0"/>
      </c:catAx>
      <c:valAx>
        <c:axId val="2561404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1400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7</c:v>
                </c:pt>
                <c:pt idx="1">
                  <c:v>7</c:v>
                </c:pt>
                <c:pt idx="2">
                  <c:v>16</c:v>
                </c:pt>
                <c:pt idx="3">
                  <c:v>7</c:v>
                </c:pt>
                <c:pt idx="4">
                  <c:v>10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137312"/>
        <c:axId val="256871176"/>
      </c:barChart>
      <c:catAx>
        <c:axId val="256137312"/>
        <c:scaling>
          <c:orientation val="minMax"/>
        </c:scaling>
        <c:delete val="0"/>
        <c:axPos val="b"/>
        <c:majorTickMark val="out"/>
        <c:minorTickMark val="none"/>
        <c:tickLblPos val="nextTo"/>
        <c:txPr>
          <a:bodyPr/>
          <a:lstStyle/>
          <a:p>
            <a:pPr>
              <a:defRPr lang="en-US"/>
            </a:pPr>
            <a:endParaRPr lang="en-US"/>
          </a:p>
        </c:txPr>
        <c:crossAx val="256871176"/>
        <c:crosses val="autoZero"/>
        <c:auto val="1"/>
        <c:lblAlgn val="ctr"/>
        <c:lblOffset val="100"/>
        <c:noMultiLvlLbl val="0"/>
      </c:catAx>
      <c:valAx>
        <c:axId val="2568711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1373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row r="16">
          <cell r="B16">
            <v>3424</v>
          </cell>
          <cell r="G16">
            <v>23</v>
          </cell>
          <cell r="N16">
            <v>5681</v>
          </cell>
          <cell r="O16">
            <v>0</v>
          </cell>
          <cell r="P16">
            <v>82</v>
          </cell>
          <cell r="Q16">
            <v>12635</v>
          </cell>
          <cell r="R16">
            <v>268</v>
          </cell>
          <cell r="S16">
            <v>7348</v>
          </cell>
          <cell r="T16">
            <v>7</v>
          </cell>
          <cell r="U16">
            <v>405390</v>
          </cell>
          <cell r="V16">
            <v>8640860</v>
          </cell>
          <cell r="W16">
            <v>210700</v>
          </cell>
          <cell r="X16">
            <v>45415</v>
          </cell>
          <cell r="Z16">
            <v>24</v>
          </cell>
          <cell r="AA16">
            <v>147</v>
          </cell>
          <cell r="AB16">
            <v>32</v>
          </cell>
          <cell r="AC16">
            <v>15</v>
          </cell>
          <cell r="AD16">
            <v>5</v>
          </cell>
          <cell r="AE16">
            <v>4</v>
          </cell>
        </row>
        <row r="17">
          <cell r="B17">
            <v>2781</v>
          </cell>
          <cell r="G17">
            <v>0</v>
          </cell>
          <cell r="N17">
            <v>3671</v>
          </cell>
          <cell r="O17">
            <v>0</v>
          </cell>
          <cell r="P17">
            <v>78</v>
          </cell>
          <cell r="Q17">
            <v>13440</v>
          </cell>
          <cell r="R17">
            <v>298</v>
          </cell>
          <cell r="S17">
            <v>7498</v>
          </cell>
          <cell r="T17">
            <v>7</v>
          </cell>
          <cell r="U17">
            <v>415240</v>
          </cell>
          <cell r="V17">
            <v>8881634</v>
          </cell>
          <cell r="W17">
            <v>225036</v>
          </cell>
          <cell r="X17">
            <v>32800</v>
          </cell>
          <cell r="Z17">
            <v>20</v>
          </cell>
          <cell r="AA17">
            <v>106</v>
          </cell>
          <cell r="AB17">
            <v>12</v>
          </cell>
          <cell r="AC17">
            <v>11</v>
          </cell>
          <cell r="AD17">
            <v>3</v>
          </cell>
          <cell r="AE17">
            <v>2</v>
          </cell>
        </row>
        <row r="18">
          <cell r="B18">
            <v>3503</v>
          </cell>
          <cell r="G18">
            <v>190</v>
          </cell>
          <cell r="N18">
            <v>3772</v>
          </cell>
          <cell r="O18">
            <v>0</v>
          </cell>
          <cell r="P18">
            <v>68</v>
          </cell>
          <cell r="Q18">
            <v>10353</v>
          </cell>
          <cell r="R18">
            <v>88</v>
          </cell>
          <cell r="S18">
            <v>7942</v>
          </cell>
          <cell r="T18">
            <v>16</v>
          </cell>
          <cell r="U18">
            <v>465109</v>
          </cell>
          <cell r="V18">
            <v>8118500</v>
          </cell>
          <cell r="W18">
            <v>239085</v>
          </cell>
          <cell r="X18">
            <v>34272</v>
          </cell>
          <cell r="Z18">
            <v>16</v>
          </cell>
          <cell r="AA18">
            <v>169</v>
          </cell>
          <cell r="AB18">
            <v>23</v>
          </cell>
          <cell r="AC18">
            <v>12</v>
          </cell>
          <cell r="AD18">
            <v>1</v>
          </cell>
          <cell r="AE18">
            <v>1</v>
          </cell>
        </row>
        <row r="19">
          <cell r="B19">
            <v>4030</v>
          </cell>
          <cell r="G19">
            <v>120</v>
          </cell>
          <cell r="N19">
            <v>4266</v>
          </cell>
          <cell r="O19">
            <v>0</v>
          </cell>
          <cell r="P19">
            <v>60</v>
          </cell>
          <cell r="Q19">
            <v>9730</v>
          </cell>
          <cell r="R19">
            <v>51</v>
          </cell>
          <cell r="S19">
            <v>8071</v>
          </cell>
          <cell r="T19">
            <v>7</v>
          </cell>
          <cell r="U19">
            <v>432502</v>
          </cell>
          <cell r="V19">
            <v>11667271</v>
          </cell>
          <cell r="W19">
            <v>204361</v>
          </cell>
          <cell r="X19">
            <v>24423</v>
          </cell>
          <cell r="Z19">
            <v>31</v>
          </cell>
          <cell r="AA19">
            <v>85</v>
          </cell>
          <cell r="AB19">
            <v>20</v>
          </cell>
          <cell r="AC19">
            <v>17</v>
          </cell>
          <cell r="AD19">
            <v>1</v>
          </cell>
          <cell r="AE19">
            <v>0</v>
          </cell>
        </row>
        <row r="20">
          <cell r="B20">
            <v>3404</v>
          </cell>
          <cell r="G20">
            <v>104</v>
          </cell>
          <cell r="N20">
            <v>4996</v>
          </cell>
          <cell r="O20">
            <v>0</v>
          </cell>
          <cell r="P20">
            <v>72</v>
          </cell>
          <cell r="Q20">
            <v>10371</v>
          </cell>
          <cell r="R20">
            <v>63</v>
          </cell>
          <cell r="S20">
            <v>8907</v>
          </cell>
          <cell r="T20">
            <v>10</v>
          </cell>
          <cell r="U20">
            <v>479884</v>
          </cell>
          <cell r="V20">
            <v>17775680</v>
          </cell>
          <cell r="W20">
            <v>399637</v>
          </cell>
          <cell r="X20">
            <v>29905</v>
          </cell>
          <cell r="Z20">
            <v>1</v>
          </cell>
          <cell r="AA20">
            <v>139</v>
          </cell>
          <cell r="AB20">
            <v>14</v>
          </cell>
          <cell r="AC20">
            <v>12</v>
          </cell>
          <cell r="AD20">
            <v>2</v>
          </cell>
          <cell r="AE20">
            <v>0</v>
          </cell>
        </row>
        <row r="21">
          <cell r="B21">
            <v>4296.865730249825</v>
          </cell>
          <cell r="G21">
            <v>140.30331375017636</v>
          </cell>
          <cell r="N21">
            <v>5288</v>
          </cell>
          <cell r="O21"/>
          <cell r="P21">
            <v>91.374200000000002</v>
          </cell>
          <cell r="Q21">
            <v>14149.699999999999</v>
          </cell>
          <cell r="R21"/>
          <cell r="S21">
            <v>8857.0499999999993</v>
          </cell>
          <cell r="T21"/>
          <cell r="U21">
            <v>481120</v>
          </cell>
          <cell r="V21">
            <v>12296069</v>
          </cell>
          <cell r="W21">
            <v>272866.59999999998</v>
          </cell>
          <cell r="X21">
            <v>42567</v>
          </cell>
          <cell r="Z21"/>
          <cell r="AA21"/>
          <cell r="AB21"/>
          <cell r="AC21"/>
          <cell r="AD21"/>
          <cell r="AE21"/>
        </row>
        <row r="22">
          <cell r="B22">
            <v>4442.9591650783195</v>
          </cell>
          <cell r="G22">
            <v>145.07362641768239</v>
          </cell>
          <cell r="N22">
            <v>5316.7360057599999</v>
          </cell>
          <cell r="O22"/>
          <cell r="P22">
            <v>91.491799999999998</v>
          </cell>
          <cell r="Q22">
            <v>14438.099999999999</v>
          </cell>
          <cell r="R22"/>
          <cell r="S22">
            <v>9209</v>
          </cell>
          <cell r="T22"/>
          <cell r="U22">
            <v>491494</v>
          </cell>
          <cell r="V22">
            <v>12666426</v>
          </cell>
          <cell r="W22">
            <v>278961.40000000002</v>
          </cell>
          <cell r="X22">
            <v>43915</v>
          </cell>
          <cell r="Z22"/>
          <cell r="AA22"/>
          <cell r="AB22"/>
          <cell r="AC22"/>
          <cell r="AD22"/>
          <cell r="AE22"/>
        </row>
        <row r="23">
          <cell r="B23">
            <v>4594.0197766909823</v>
          </cell>
          <cell r="G23">
            <v>150.00612971588359</v>
          </cell>
          <cell r="N23">
            <v>5484.744863542016</v>
          </cell>
          <cell r="O23"/>
          <cell r="P23">
            <v>91.609399999999994</v>
          </cell>
          <cell r="Q23">
            <v>14726.5</v>
          </cell>
          <cell r="R23"/>
          <cell r="S23">
            <v>9560.9500000000007</v>
          </cell>
          <cell r="T23"/>
          <cell r="U23">
            <v>501868</v>
          </cell>
          <cell r="V23">
            <v>13036783</v>
          </cell>
          <cell r="W23">
            <v>285056.2</v>
          </cell>
          <cell r="X23">
            <v>45263</v>
          </cell>
          <cell r="Z23"/>
          <cell r="AA23"/>
          <cell r="AB23"/>
          <cell r="AC23"/>
          <cell r="AD23"/>
          <cell r="AE23"/>
        </row>
        <row r="24">
          <cell r="B24">
            <v>4750.216449098476</v>
          </cell>
          <cell r="G24">
            <v>155.10633812622365</v>
          </cell>
          <cell r="N24">
            <v>5658.0628012299439</v>
          </cell>
          <cell r="O24"/>
          <cell r="P24">
            <v>91.727000000000004</v>
          </cell>
          <cell r="Q24">
            <v>15014.9</v>
          </cell>
          <cell r="R24"/>
          <cell r="S24">
            <v>9912.9</v>
          </cell>
          <cell r="T24"/>
          <cell r="U24">
            <v>512242</v>
          </cell>
          <cell r="V24">
            <v>13407140</v>
          </cell>
          <cell r="W24">
            <v>291151</v>
          </cell>
          <cell r="X24">
            <v>46611</v>
          </cell>
          <cell r="Z24"/>
          <cell r="AA24"/>
          <cell r="AB24"/>
          <cell r="AC24"/>
          <cell r="AD24"/>
          <cell r="AE24"/>
        </row>
        <row r="25">
          <cell r="B25">
            <v>4911.7238083678249</v>
          </cell>
          <cell r="G25">
            <v>160.37995362251527</v>
          </cell>
          <cell r="N25">
            <v>5831.3807389178701</v>
          </cell>
          <cell r="O25"/>
          <cell r="P25">
            <v>91.8446</v>
          </cell>
          <cell r="Q25">
            <v>15303.3</v>
          </cell>
          <cell r="R25"/>
          <cell r="S25">
            <v>10264.85</v>
          </cell>
          <cell r="T25"/>
          <cell r="U25">
            <v>522616</v>
          </cell>
          <cell r="V25">
            <v>13777497</v>
          </cell>
          <cell r="W25">
            <v>297245.8</v>
          </cell>
          <cell r="X25">
            <v>47959</v>
          </cell>
          <cell r="Z25"/>
          <cell r="AA25"/>
          <cell r="AB25"/>
          <cell r="AC25"/>
          <cell r="AD25"/>
          <cell r="AE25"/>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row r="17">
          <cell r="F17">
            <v>1136</v>
          </cell>
        </row>
        <row r="18">
          <cell r="F18">
            <v>1262</v>
          </cell>
        </row>
        <row r="19">
          <cell r="F19">
            <v>1489</v>
          </cell>
        </row>
        <row r="20">
          <cell r="F20">
            <v>1469</v>
          </cell>
        </row>
        <row r="21">
          <cell r="F21">
            <v>1370</v>
          </cell>
        </row>
        <row r="22">
          <cell r="F22">
            <v>1370</v>
          </cell>
        </row>
        <row r="23">
          <cell r="F23">
            <v>1730.31</v>
          </cell>
        </row>
        <row r="24">
          <cell r="F24">
            <v>2185.3815299999997</v>
          </cell>
        </row>
        <row r="25">
          <cell r="F25">
            <v>2760.1368723899996</v>
          </cell>
        </row>
        <row r="26">
          <cell r="F26">
            <v>3486.0528698285693</v>
          </cell>
        </row>
      </sheetData>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3" t="s">
        <v>467</v>
      </c>
      <c r="G3" s="413"/>
      <c r="H3" s="413"/>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5"/>
      <c r="D3" s="494" t="s">
        <v>501</v>
      </c>
      <c r="E3" s="495" t="s">
        <v>502</v>
      </c>
      <c r="F3" s="495"/>
      <c r="G3" s="495"/>
      <c r="H3" s="495"/>
    </row>
    <row r="4" spans="3:8" x14ac:dyDescent="0.25">
      <c r="C4" s="395"/>
      <c r="D4" s="494"/>
      <c r="E4" s="396" t="s">
        <v>307</v>
      </c>
      <c r="F4" s="396" t="s">
        <v>503</v>
      </c>
      <c r="G4" s="396" t="s">
        <v>504</v>
      </c>
      <c r="H4" s="396" t="s">
        <v>505</v>
      </c>
    </row>
    <row r="5" spans="3:8" x14ac:dyDescent="0.25">
      <c r="C5" s="395"/>
      <c r="D5" s="395"/>
      <c r="E5" s="388"/>
      <c r="F5" s="388"/>
      <c r="G5" s="388"/>
      <c r="H5" s="388"/>
    </row>
    <row r="6" spans="3:8" x14ac:dyDescent="0.25">
      <c r="C6" s="397">
        <f>'Direct N2O'!A36</f>
        <v>2011</v>
      </c>
      <c r="D6" s="398">
        <f>'Direct N2O'!AA36*10^-3</f>
        <v>601.40032000000008</v>
      </c>
      <c r="E6" s="399">
        <f>(0.0075*0.3)+(0.1*0.01)</f>
        <v>3.2499999999999999E-3</v>
      </c>
      <c r="F6" s="389">
        <f>D6*E6</f>
        <v>1.9545510400000001</v>
      </c>
      <c r="G6" s="389">
        <f>F6*44/28</f>
        <v>3.071437348571429</v>
      </c>
      <c r="H6" s="389">
        <f>G6*298</f>
        <v>915.28832987428586</v>
      </c>
    </row>
    <row r="7" spans="3:8" x14ac:dyDescent="0.25">
      <c r="C7" s="397">
        <f>'Direct N2O'!A37</f>
        <v>2012</v>
      </c>
      <c r="D7" s="398">
        <f>'Direct N2O'!AA37*10^-3</f>
        <v>538.72394000000008</v>
      </c>
      <c r="E7" s="399">
        <f t="shared" ref="E7:E16" si="0">(0.0075*0.3)+(0.1*0.01)</f>
        <v>3.2499999999999999E-3</v>
      </c>
      <c r="F7" s="389">
        <f t="shared" ref="F7:F16" si="1">D7*E7</f>
        <v>1.7508528050000003</v>
      </c>
      <c r="G7" s="389">
        <f t="shared" ref="G7:G16" si="2">F7*44/28</f>
        <v>2.7513401221428575</v>
      </c>
      <c r="H7" s="389">
        <f t="shared" ref="H7:H16" si="3">G7*298</f>
        <v>819.89935639857151</v>
      </c>
    </row>
    <row r="8" spans="3:8" x14ac:dyDescent="0.25">
      <c r="C8" s="397">
        <f>'Direct N2O'!A38</f>
        <v>2013</v>
      </c>
      <c r="D8" s="398">
        <f>'Direct N2O'!AA38*10^-3</f>
        <v>663.68018000000006</v>
      </c>
      <c r="E8" s="399">
        <f t="shared" si="0"/>
        <v>3.2499999999999999E-3</v>
      </c>
      <c r="F8" s="389">
        <f t="shared" si="1"/>
        <v>2.1569605850000002</v>
      </c>
      <c r="G8" s="389">
        <f t="shared" si="2"/>
        <v>3.389509490714286</v>
      </c>
      <c r="H8" s="389">
        <f t="shared" si="3"/>
        <v>1010.0738282328572</v>
      </c>
    </row>
    <row r="9" spans="3:8" x14ac:dyDescent="0.25">
      <c r="C9" s="397">
        <f>'Direct N2O'!A39</f>
        <v>2014</v>
      </c>
      <c r="D9" s="398">
        <f>'Direct N2O'!AA39*10^-3</f>
        <v>727.38328000000001</v>
      </c>
      <c r="E9" s="399">
        <f t="shared" si="0"/>
        <v>3.2499999999999999E-3</v>
      </c>
      <c r="F9" s="389">
        <f t="shared" si="1"/>
        <v>2.3639956600000001</v>
      </c>
      <c r="G9" s="389">
        <f t="shared" si="2"/>
        <v>3.714850322857143</v>
      </c>
      <c r="H9" s="389">
        <f t="shared" si="3"/>
        <v>1107.0253962114286</v>
      </c>
    </row>
    <row r="10" spans="3:8" x14ac:dyDescent="0.25">
      <c r="C10" s="397">
        <f>'Direct N2O'!A40</f>
        <v>2015</v>
      </c>
      <c r="D10" s="398">
        <f>'Direct N2O'!AA40*10^-3</f>
        <v>633.53039999999999</v>
      </c>
      <c r="E10" s="399">
        <f t="shared" si="0"/>
        <v>3.2499999999999999E-3</v>
      </c>
      <c r="F10" s="389">
        <f t="shared" si="1"/>
        <v>2.0589738</v>
      </c>
      <c r="G10" s="389">
        <f t="shared" si="2"/>
        <v>3.2355302571428575</v>
      </c>
      <c r="H10" s="389">
        <f t="shared" si="3"/>
        <v>964.18801662857152</v>
      </c>
    </row>
    <row r="11" spans="3:8" x14ac:dyDescent="0.25">
      <c r="C11" s="397">
        <f>'Direct N2O'!A41</f>
        <v>2016</v>
      </c>
      <c r="D11" s="398">
        <f>'Direct N2O'!AA41*10^-3</f>
        <v>543.55351487660289</v>
      </c>
      <c r="E11" s="399">
        <f t="shared" si="0"/>
        <v>3.2499999999999999E-3</v>
      </c>
      <c r="F11" s="389">
        <f t="shared" si="1"/>
        <v>1.7665489233489593</v>
      </c>
      <c r="G11" s="389">
        <f t="shared" si="2"/>
        <v>2.7760054509769359</v>
      </c>
      <c r="H11" s="389">
        <f t="shared" si="3"/>
        <v>827.24962439112687</v>
      </c>
    </row>
    <row r="12" spans="3:8" x14ac:dyDescent="0.25">
      <c r="C12" s="397">
        <f>'Direct N2O'!A42</f>
        <v>2017</v>
      </c>
      <c r="D12" s="398">
        <f>'Direct N2O'!AA42*10^-3</f>
        <v>562.03433438240745</v>
      </c>
      <c r="E12" s="399">
        <f t="shared" si="0"/>
        <v>3.2499999999999999E-3</v>
      </c>
      <c r="F12" s="389">
        <f t="shared" si="1"/>
        <v>1.8266115867428241</v>
      </c>
      <c r="G12" s="389">
        <f t="shared" si="2"/>
        <v>2.870389636310152</v>
      </c>
      <c r="H12" s="389">
        <f t="shared" si="3"/>
        <v>855.37611162042526</v>
      </c>
    </row>
    <row r="13" spans="3:8" x14ac:dyDescent="0.25">
      <c r="C13" s="397">
        <f>'Direct N2O'!A43</f>
        <v>2018</v>
      </c>
      <c r="D13" s="398">
        <f>'Direct N2O'!AA43*10^-3</f>
        <v>581.1435017514093</v>
      </c>
      <c r="E13" s="399">
        <f t="shared" si="0"/>
        <v>3.2499999999999999E-3</v>
      </c>
      <c r="F13" s="389">
        <f t="shared" si="1"/>
        <v>1.8887163806920801</v>
      </c>
      <c r="G13" s="389">
        <f t="shared" si="2"/>
        <v>2.9679828839446971</v>
      </c>
      <c r="H13" s="389">
        <f t="shared" si="3"/>
        <v>884.4588994155198</v>
      </c>
    </row>
    <row r="14" spans="3:8" x14ac:dyDescent="0.25">
      <c r="C14" s="397">
        <f>'Direct N2O'!A44</f>
        <v>2019</v>
      </c>
      <c r="D14" s="398">
        <f>'Direct N2O'!AA44*10^-3</f>
        <v>600.90238081095731</v>
      </c>
      <c r="E14" s="399">
        <f t="shared" si="0"/>
        <v>3.2499999999999999E-3</v>
      </c>
      <c r="F14" s="389">
        <f t="shared" si="1"/>
        <v>1.9529327376356111</v>
      </c>
      <c r="G14" s="389">
        <f t="shared" si="2"/>
        <v>3.0688943019988173</v>
      </c>
      <c r="H14" s="389">
        <f t="shared" si="3"/>
        <v>914.53050199564757</v>
      </c>
    </row>
    <row r="15" spans="3:8" x14ac:dyDescent="0.25">
      <c r="C15" s="397">
        <f>'Direct N2O'!A45</f>
        <v>2020</v>
      </c>
      <c r="D15" s="398">
        <f>'Direct N2O'!AA45*10^-3</f>
        <v>621.33306175852988</v>
      </c>
      <c r="E15" s="399">
        <f t="shared" si="0"/>
        <v>3.2499999999999999E-3</v>
      </c>
      <c r="F15" s="389">
        <f t="shared" si="1"/>
        <v>2.0193324507152219</v>
      </c>
      <c r="G15" s="389">
        <f t="shared" si="2"/>
        <v>3.1732367082667774</v>
      </c>
      <c r="H15" s="389">
        <f t="shared" si="3"/>
        <v>945.6245390634997</v>
      </c>
    </row>
    <row r="16" spans="3:8" x14ac:dyDescent="0.25">
      <c r="C16" s="397">
        <f>'Direct N2O'!A46</f>
        <v>2021</v>
      </c>
      <c r="D16" s="398">
        <f>'Direct N2O'!AA46*10^-3</f>
        <v>0</v>
      </c>
      <c r="E16" s="399">
        <f t="shared" si="0"/>
        <v>3.2499999999999999E-3</v>
      </c>
      <c r="F16" s="389">
        <f t="shared" si="1"/>
        <v>0</v>
      </c>
      <c r="G16" s="389">
        <f t="shared" si="2"/>
        <v>0</v>
      </c>
      <c r="H16" s="389">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4"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2">
        <f>'Lahan sawah'!K11+'Lahan sawah'!K43+'Lahan sawah'!K68</f>
        <v>0.1973531949141171</v>
      </c>
      <c r="C5" s="68"/>
      <c r="D5" s="68"/>
      <c r="E5" s="233">
        <f>B5*21*10^3</f>
        <v>4144.4170931964591</v>
      </c>
    </row>
    <row r="6" spans="1:5" x14ac:dyDescent="0.25">
      <c r="A6" s="68" t="s">
        <v>395</v>
      </c>
      <c r="B6" s="232">
        <f>'Peternakan-CH4'!H23</f>
        <v>0.58968292999999994</v>
      </c>
      <c r="C6" s="68"/>
      <c r="D6" s="68"/>
      <c r="E6" s="233">
        <f>B6*21*10^3</f>
        <v>12383.34153</v>
      </c>
    </row>
    <row r="7" spans="1:5" x14ac:dyDescent="0.25">
      <c r="A7" s="68" t="s">
        <v>359</v>
      </c>
      <c r="B7" s="68"/>
      <c r="C7" s="232">
        <f>'Peternakan-N2O'!K23+'Peternakan-N2O'!Y23</f>
        <v>2681.2636198857144</v>
      </c>
      <c r="D7" s="68"/>
      <c r="E7" s="233">
        <f>C7*298*10^-3</f>
        <v>799.0165587259429</v>
      </c>
    </row>
    <row r="8" spans="1:5" x14ac:dyDescent="0.25">
      <c r="A8" s="68" t="s">
        <v>360</v>
      </c>
      <c r="B8" s="68"/>
      <c r="C8" s="68"/>
      <c r="D8" s="68">
        <f>'Kapur pertanian-CO2'!G15</f>
        <v>0</v>
      </c>
      <c r="E8" s="233">
        <f>D8*44/12</f>
        <v>0</v>
      </c>
    </row>
    <row r="9" spans="1:5" x14ac:dyDescent="0.25">
      <c r="A9" s="68" t="s">
        <v>361</v>
      </c>
      <c r="B9" s="68"/>
      <c r="C9" s="68"/>
      <c r="D9" s="234">
        <f>'Pupuk Urea-CO2'!E11</f>
        <v>261.47840000000002</v>
      </c>
      <c r="E9" s="233">
        <f>D9*44/12</f>
        <v>958.75413333333336</v>
      </c>
    </row>
    <row r="10" spans="1:5" x14ac:dyDescent="0.25">
      <c r="A10" s="68" t="s">
        <v>394</v>
      </c>
      <c r="B10" s="68"/>
      <c r="C10" s="234">
        <f>'Direct N2O'!G19</f>
        <v>11492.503314285716</v>
      </c>
      <c r="D10" s="68"/>
      <c r="E10" s="235">
        <f>C10*298*10^-3</f>
        <v>3424.7659876571433</v>
      </c>
    </row>
    <row r="11" spans="1:5" x14ac:dyDescent="0.25">
      <c r="A11" s="68"/>
      <c r="B11" s="68"/>
      <c r="C11" s="68"/>
      <c r="D11" s="68" t="s">
        <v>445</v>
      </c>
      <c r="E11" s="233">
        <f>SUM(E5:E10)</f>
        <v>21710.295302912877</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2">
        <f>'Lahan sawah'!K12+'Lahan sawah'!K44+'Lahan sawah'!K69</f>
        <v>0.16029183266827091</v>
      </c>
      <c r="C16" s="68"/>
      <c r="D16" s="68"/>
      <c r="E16" s="233">
        <f>B16*21*10^3</f>
        <v>3366.1284860336891</v>
      </c>
    </row>
    <row r="17" spans="1:5" x14ac:dyDescent="0.25">
      <c r="A17" s="68" t="s">
        <v>395</v>
      </c>
      <c r="B17" s="232">
        <f>'Peternakan-CH4'!P23</f>
        <v>0.49608193</v>
      </c>
      <c r="C17" s="68"/>
      <c r="D17" s="68"/>
      <c r="E17" s="233">
        <f>B17*21*10^3</f>
        <v>10417.720530000001</v>
      </c>
    </row>
    <row r="18" spans="1:5" x14ac:dyDescent="0.25">
      <c r="A18" s="68" t="s">
        <v>359</v>
      </c>
      <c r="B18" s="68"/>
      <c r="C18" s="232">
        <f>'Peternakan-N2O'!AK23+'Peternakan-N2O'!AY23</f>
        <v>2711.2144805742855</v>
      </c>
      <c r="D18" s="68"/>
      <c r="E18" s="233">
        <f>C18*298*10^-3</f>
        <v>807.94191521113703</v>
      </c>
    </row>
    <row r="19" spans="1:5" x14ac:dyDescent="0.25">
      <c r="A19" s="68" t="s">
        <v>360</v>
      </c>
      <c r="B19" s="68"/>
      <c r="C19" s="68"/>
      <c r="D19" s="68">
        <f>'Kapur pertanian-CO2'!G26</f>
        <v>0</v>
      </c>
      <c r="E19" s="233">
        <f>D19*44/12</f>
        <v>0</v>
      </c>
    </row>
    <row r="20" spans="1:5" x14ac:dyDescent="0.25">
      <c r="A20" s="68" t="s">
        <v>361</v>
      </c>
      <c r="B20" s="68"/>
      <c r="C20" s="68"/>
      <c r="D20" s="234">
        <f>'Pupuk Urea-CO2'!E12</f>
        <v>234.22780000000003</v>
      </c>
      <c r="E20" s="233">
        <f>D20*44/12</f>
        <v>858.83526666666683</v>
      </c>
    </row>
    <row r="21" spans="1:5" x14ac:dyDescent="0.25">
      <c r="A21" s="68" t="s">
        <v>394</v>
      </c>
      <c r="B21" s="68"/>
      <c r="C21" s="234">
        <f>'Direct N2O'!J19</f>
        <v>10124.131128571429</v>
      </c>
      <c r="D21" s="68"/>
      <c r="E21" s="235">
        <f>C21*298*10^-3</f>
        <v>3016.9910763142861</v>
      </c>
    </row>
    <row r="22" spans="1:5" x14ac:dyDescent="0.25">
      <c r="A22" s="68"/>
      <c r="B22" s="68"/>
      <c r="C22" s="68"/>
      <c r="D22" s="68" t="s">
        <v>446</v>
      </c>
      <c r="E22" s="233">
        <f>SUM(E16:E21)</f>
        <v>18467.61727422578</v>
      </c>
    </row>
    <row r="25" spans="1:5" x14ac:dyDescent="0.25">
      <c r="A25" t="s">
        <v>510</v>
      </c>
    </row>
    <row r="26" spans="1:5" x14ac:dyDescent="0.25">
      <c r="A26" s="68"/>
      <c r="B26" s="68" t="s">
        <v>363</v>
      </c>
      <c r="C26" s="68" t="s">
        <v>364</v>
      </c>
      <c r="D26" s="68" t="s">
        <v>365</v>
      </c>
      <c r="E26" s="68" t="s">
        <v>366</v>
      </c>
    </row>
    <row r="27" spans="1:5" x14ac:dyDescent="0.25">
      <c r="A27" s="68" t="s">
        <v>358</v>
      </c>
      <c r="B27" s="232">
        <f>'Lahan sawah'!K13+'Lahan sawah'!K45+'Lahan sawah'!K70</f>
        <v>0.2019066126706052</v>
      </c>
      <c r="C27" s="68"/>
      <c r="D27" s="68"/>
      <c r="E27" s="233">
        <f>B27*21*10^3</f>
        <v>4240.0388660827084</v>
      </c>
    </row>
    <row r="28" spans="1:5" x14ac:dyDescent="0.25">
      <c r="A28" s="68" t="s">
        <v>395</v>
      </c>
      <c r="B28" s="232">
        <f>'Peternakan-CH4'!X23</f>
        <v>0.48043061999999997</v>
      </c>
      <c r="C28" s="68"/>
      <c r="D28" s="68"/>
      <c r="E28" s="233">
        <f>B28*21*10^3</f>
        <v>10089.043020000001</v>
      </c>
    </row>
    <row r="29" spans="1:5" x14ac:dyDescent="0.25">
      <c r="A29" s="68" t="s">
        <v>359</v>
      </c>
      <c r="B29" s="68"/>
      <c r="C29" s="232">
        <f>'Peternakan-N2O'!BK23+'Peternakan-N2O'!BY23</f>
        <v>2497.2385589485716</v>
      </c>
      <c r="D29" s="68"/>
      <c r="E29" s="233">
        <f>C29*298*10^-3</f>
        <v>744.17709056667434</v>
      </c>
    </row>
    <row r="30" spans="1:5" x14ac:dyDescent="0.25">
      <c r="A30" s="68" t="s">
        <v>360</v>
      </c>
      <c r="B30" s="68"/>
      <c r="C30" s="68"/>
      <c r="D30" s="68">
        <f>'Kapur pertanian-CO2'!G37</f>
        <v>0</v>
      </c>
      <c r="E30" s="233">
        <f>D30*44/12</f>
        <v>0</v>
      </c>
    </row>
    <row r="31" spans="1:5" x14ac:dyDescent="0.25">
      <c r="A31" s="68" t="s">
        <v>361</v>
      </c>
      <c r="B31" s="68"/>
      <c r="C31" s="68"/>
      <c r="D31" s="234">
        <f>'Pupuk Urea-CO2'!E13</f>
        <v>288.55660000000006</v>
      </c>
      <c r="E31" s="233">
        <f>D31*44/12</f>
        <v>1058.0408666666669</v>
      </c>
    </row>
    <row r="32" spans="1:5" x14ac:dyDescent="0.25">
      <c r="A32" s="68" t="s">
        <v>394</v>
      </c>
      <c r="B32" s="68"/>
      <c r="C32" s="234">
        <f>'Direct N2O'!M19</f>
        <v>12518.299042857145</v>
      </c>
      <c r="D32" s="68"/>
      <c r="E32" s="235">
        <f>C32*298*10^-3</f>
        <v>3730.4531147714292</v>
      </c>
    </row>
    <row r="33" spans="1:5" x14ac:dyDescent="0.25">
      <c r="A33" s="68"/>
      <c r="B33" s="68"/>
      <c r="C33" s="68"/>
      <c r="D33" s="68" t="s">
        <v>447</v>
      </c>
      <c r="E33" s="233">
        <f>SUM(E27:E32)</f>
        <v>19861.75295808748</v>
      </c>
    </row>
    <row r="36" spans="1:5" x14ac:dyDescent="0.25">
      <c r="A36" t="s">
        <v>511</v>
      </c>
    </row>
    <row r="37" spans="1:5" x14ac:dyDescent="0.25">
      <c r="A37" s="68"/>
      <c r="B37" s="68" t="s">
        <v>363</v>
      </c>
      <c r="C37" s="68" t="s">
        <v>364</v>
      </c>
      <c r="D37" s="68" t="s">
        <v>365</v>
      </c>
      <c r="E37" s="68" t="s">
        <v>366</v>
      </c>
    </row>
    <row r="38" spans="1:5" x14ac:dyDescent="0.25">
      <c r="A38" s="68" t="s">
        <v>358</v>
      </c>
      <c r="B38" s="232">
        <f>'Lahan sawah'!K14+'Lahan sawah'!K46+'Lahan sawah'!K71</f>
        <v>0.23228194378034225</v>
      </c>
      <c r="C38" s="68"/>
      <c r="D38" s="68"/>
      <c r="E38" s="233">
        <f>B38*21*10^3</f>
        <v>4877.9208193871873</v>
      </c>
    </row>
    <row r="39" spans="1:5" x14ac:dyDescent="0.25">
      <c r="A39" s="68" t="s">
        <v>395</v>
      </c>
      <c r="B39" s="232">
        <f>'Peternakan-CH4'!AF23</f>
        <v>0.57052426999999994</v>
      </c>
      <c r="C39" s="68"/>
      <c r="D39" s="68"/>
      <c r="E39" s="233">
        <f>B39*21*10^3</f>
        <v>11981.009669999999</v>
      </c>
    </row>
    <row r="40" spans="1:5" x14ac:dyDescent="0.25">
      <c r="A40" s="68" t="s">
        <v>359</v>
      </c>
      <c r="B40" s="68"/>
      <c r="C40" s="232">
        <f>'Peternakan-N2O'!CK23+'Peternakan-N2O'!CY23</f>
        <v>3381.8846301428571</v>
      </c>
      <c r="D40" s="68"/>
      <c r="E40" s="233">
        <f>C40*298*10^-3</f>
        <v>1007.8016197825715</v>
      </c>
    </row>
    <row r="41" spans="1:5" x14ac:dyDescent="0.25">
      <c r="A41" s="68" t="s">
        <v>360</v>
      </c>
      <c r="B41" s="68"/>
      <c r="C41" s="68"/>
      <c r="D41" s="68">
        <f>'Kapur pertanian-CO2'!G48</f>
        <v>0</v>
      </c>
      <c r="E41" s="233">
        <f>D41*44/12</f>
        <v>0</v>
      </c>
    </row>
    <row r="42" spans="1:5" x14ac:dyDescent="0.25">
      <c r="A42" s="68" t="s">
        <v>361</v>
      </c>
      <c r="B42" s="68"/>
      <c r="C42" s="68"/>
      <c r="D42" s="234">
        <f>'Pupuk Urea-CO2'!E14</f>
        <v>316.25360000000001</v>
      </c>
      <c r="E42" s="233">
        <f>D42*44/12</f>
        <v>1159.5965333333334</v>
      </c>
    </row>
    <row r="43" spans="1:5" x14ac:dyDescent="0.25">
      <c r="A43" s="68" t="s">
        <v>394</v>
      </c>
      <c r="B43" s="68"/>
      <c r="C43" s="234">
        <f>'Direct N2O'!P19</f>
        <v>13833.627971428572</v>
      </c>
      <c r="D43" s="68"/>
      <c r="E43" s="235">
        <f>C43*298*10^-3</f>
        <v>4122.4211354857143</v>
      </c>
    </row>
    <row r="44" spans="1:5" x14ac:dyDescent="0.25">
      <c r="A44" s="68"/>
      <c r="B44" s="68"/>
      <c r="C44" s="68"/>
      <c r="D44" s="68" t="s">
        <v>448</v>
      </c>
      <c r="E44" s="233">
        <f>SUM(E38:E43)</f>
        <v>23148.749777988807</v>
      </c>
    </row>
    <row r="47" spans="1:5" x14ac:dyDescent="0.25">
      <c r="A47" t="s">
        <v>512</v>
      </c>
    </row>
    <row r="48" spans="1:5" x14ac:dyDescent="0.25">
      <c r="A48" s="68"/>
      <c r="B48" s="68" t="s">
        <v>363</v>
      </c>
      <c r="C48" s="68" t="s">
        <v>364</v>
      </c>
      <c r="D48" s="68" t="s">
        <v>365</v>
      </c>
      <c r="E48" s="68" t="s">
        <v>366</v>
      </c>
    </row>
    <row r="49" spans="1:5" x14ac:dyDescent="0.25">
      <c r="A49" s="68" t="s">
        <v>358</v>
      </c>
      <c r="B49" s="232">
        <f>'Lahan sawah'!K15+'Lahan sawah'!K47+'Lahan sawah'!K72</f>
        <v>0.19620043092513276</v>
      </c>
      <c r="C49" s="68"/>
      <c r="D49" s="68"/>
      <c r="E49" s="233">
        <f>B49*21*10^3</f>
        <v>4120.2090494277882</v>
      </c>
    </row>
    <row r="50" spans="1:5" x14ac:dyDescent="0.25">
      <c r="A50" s="68" t="s">
        <v>395</v>
      </c>
      <c r="B50" s="232">
        <f>'Peternakan-CH4'!AN23</f>
        <v>0.74353624000000007</v>
      </c>
      <c r="C50" s="68"/>
      <c r="D50" s="68"/>
      <c r="E50" s="233">
        <f>B50*21*10^3</f>
        <v>15614.261040000003</v>
      </c>
    </row>
    <row r="51" spans="1:5" x14ac:dyDescent="0.25">
      <c r="A51" s="68" t="s">
        <v>359</v>
      </c>
      <c r="B51" s="68"/>
      <c r="C51" s="232">
        <f>'Peternakan-N2O'!DK23+'Peternakan-N2O'!DY23</f>
        <v>5004.7720918171435</v>
      </c>
      <c r="D51" s="68"/>
      <c r="E51" s="233">
        <f>C51*298*10^-3</f>
        <v>1491.4220833615088</v>
      </c>
    </row>
    <row r="52" spans="1:5" x14ac:dyDescent="0.25">
      <c r="A52" s="68" t="s">
        <v>360</v>
      </c>
      <c r="B52" s="68"/>
      <c r="C52" s="68"/>
      <c r="D52" s="68">
        <f>'Kapur pertanian-CO2'!G59</f>
        <v>0</v>
      </c>
      <c r="E52" s="233">
        <f>D52*44/12</f>
        <v>0</v>
      </c>
    </row>
    <row r="53" spans="1:5" x14ac:dyDescent="0.25">
      <c r="A53" s="68" t="s">
        <v>361</v>
      </c>
      <c r="B53" s="68"/>
      <c r="C53" s="68"/>
      <c r="D53" s="234">
        <f>'Pupuk Urea-CO2'!E15</f>
        <v>275.44800000000004</v>
      </c>
      <c r="E53" s="233">
        <f>D53*44/12</f>
        <v>1009.9760000000001</v>
      </c>
    </row>
    <row r="54" spans="1:5" x14ac:dyDescent="0.25">
      <c r="A54" s="68" t="s">
        <v>394</v>
      </c>
      <c r="B54" s="68"/>
      <c r="C54" s="234">
        <f>'Direct N2O'!S19</f>
        <v>11985.477428571428</v>
      </c>
      <c r="D54" s="68"/>
      <c r="E54" s="235">
        <f>C54*298*10^-3</f>
        <v>3571.6722737142859</v>
      </c>
    </row>
    <row r="55" spans="1:5" x14ac:dyDescent="0.25">
      <c r="A55" s="68"/>
      <c r="B55" s="68"/>
      <c r="C55" s="68"/>
      <c r="D55" s="68" t="s">
        <v>449</v>
      </c>
      <c r="E55" s="233">
        <f>SUM(E49:E54)</f>
        <v>25807.540446503583</v>
      </c>
    </row>
    <row r="58" spans="1:5" x14ac:dyDescent="0.25">
      <c r="A58" t="s">
        <v>513</v>
      </c>
    </row>
    <row r="59" spans="1:5" x14ac:dyDescent="0.25">
      <c r="A59" s="68"/>
      <c r="B59" s="68" t="s">
        <v>363</v>
      </c>
      <c r="C59" s="68" t="s">
        <v>364</v>
      </c>
      <c r="D59" s="68" t="s">
        <v>365</v>
      </c>
      <c r="E59" s="68" t="s">
        <v>366</v>
      </c>
    </row>
    <row r="60" spans="1:5" x14ac:dyDescent="0.25">
      <c r="A60" s="68" t="s">
        <v>358</v>
      </c>
      <c r="B60" s="232">
        <f>'Lahan sawah'!K16+'Lahan sawah'!K48+'Lahan sawah'!K73</f>
        <v>0.24766360396664247</v>
      </c>
      <c r="C60" s="68"/>
      <c r="D60" s="68"/>
      <c r="E60" s="233">
        <f>B60*21*10^3</f>
        <v>5200.9356832994918</v>
      </c>
    </row>
    <row r="61" spans="1:5" x14ac:dyDescent="0.25">
      <c r="A61" s="68" t="s">
        <v>395</v>
      </c>
      <c r="B61" s="232">
        <f>'Peternakan-CH4'!AV23</f>
        <v>0.66560261539999988</v>
      </c>
      <c r="C61" s="68"/>
      <c r="D61" s="68"/>
      <c r="E61" s="233">
        <f>B61*21*10^3</f>
        <v>13977.654923399998</v>
      </c>
    </row>
    <row r="62" spans="1:5" x14ac:dyDescent="0.25">
      <c r="A62" s="68" t="s">
        <v>359</v>
      </c>
      <c r="B62" s="68"/>
      <c r="C62" s="304">
        <f>'Peternakan-N2O'!EK23+'Peternakan-N2O'!EY23</f>
        <v>3653.2382916216002</v>
      </c>
      <c r="D62" s="68"/>
      <c r="E62" s="233">
        <f>C62*298*10^-3</f>
        <v>1088.6650109032369</v>
      </c>
    </row>
    <row r="63" spans="1:5" x14ac:dyDescent="0.25">
      <c r="A63" s="68" t="s">
        <v>360</v>
      </c>
      <c r="B63" s="68"/>
      <c r="C63" s="68"/>
      <c r="D63" s="68">
        <f>'Kapur pertanian-CO2'!G70</f>
        <v>0</v>
      </c>
      <c r="E63" s="233">
        <f>D63*44/12</f>
        <v>0</v>
      </c>
    </row>
    <row r="64" spans="1:5" x14ac:dyDescent="0.25">
      <c r="A64" s="68" t="s">
        <v>361</v>
      </c>
      <c r="B64" s="68"/>
      <c r="C64" s="68"/>
      <c r="D64" s="234">
        <f>'Pupuk Urea-CO2'!E16</f>
        <v>236.3276151637404</v>
      </c>
      <c r="E64" s="233">
        <f>D64*44/12</f>
        <v>866.53458893371487</v>
      </c>
    </row>
    <row r="65" spans="1:5" x14ac:dyDescent="0.25">
      <c r="A65" s="68" t="s">
        <v>394</v>
      </c>
      <c r="B65" s="68"/>
      <c r="C65" s="234">
        <f>'Direct N2O'!V19</f>
        <v>11104.021803907746</v>
      </c>
      <c r="D65" s="68"/>
      <c r="E65" s="235">
        <f>C65*298*10^-3</f>
        <v>3308.9984975645089</v>
      </c>
    </row>
    <row r="66" spans="1:5" x14ac:dyDescent="0.25">
      <c r="A66" s="68"/>
      <c r="B66" s="68"/>
      <c r="C66" s="68"/>
      <c r="D66" s="68" t="s">
        <v>450</v>
      </c>
      <c r="E66" s="233">
        <f>SUM(E60:E65)</f>
        <v>24442.788704100953</v>
      </c>
    </row>
    <row r="69" spans="1:5" x14ac:dyDescent="0.25">
      <c r="A69" t="s">
        <v>514</v>
      </c>
    </row>
    <row r="70" spans="1:5" x14ac:dyDescent="0.25">
      <c r="A70" s="68"/>
      <c r="B70" s="68" t="s">
        <v>363</v>
      </c>
      <c r="C70" s="68" t="s">
        <v>364</v>
      </c>
      <c r="D70" s="68" t="s">
        <v>365</v>
      </c>
      <c r="E70" s="68" t="s">
        <v>366</v>
      </c>
    </row>
    <row r="71" spans="1:5" x14ac:dyDescent="0.25">
      <c r="A71" s="68" t="s">
        <v>358</v>
      </c>
      <c r="B71" s="232">
        <f>'Lahan sawah'!K17+'Lahan sawah'!K49+'Lahan sawah'!K74</f>
        <v>0.25608416650150834</v>
      </c>
      <c r="C71" s="68"/>
      <c r="D71" s="68"/>
      <c r="E71" s="233">
        <f>B71*21*10^3</f>
        <v>5377.7674965316746</v>
      </c>
    </row>
    <row r="72" spans="1:5" x14ac:dyDescent="0.25">
      <c r="A72" s="68" t="s">
        <v>395</v>
      </c>
      <c r="B72" s="232">
        <f>'Peternakan-CH4'!BD23</f>
        <v>0.67907317087648</v>
      </c>
      <c r="C72" s="68"/>
      <c r="D72" s="68"/>
      <c r="E72" s="233">
        <f>B72*21*10^3</f>
        <v>14260.536588406079</v>
      </c>
    </row>
    <row r="73" spans="1:5" x14ac:dyDescent="0.25">
      <c r="A73" s="68" t="s">
        <v>359</v>
      </c>
      <c r="B73" s="68"/>
      <c r="C73" s="304">
        <f>'Peternakan-N2O'!FK23+'Peternakan-N2O'!FY23</f>
        <v>3758.371183667578</v>
      </c>
      <c r="D73" s="68"/>
      <c r="E73" s="233">
        <f>C73*298*10^-3</f>
        <v>1119.9946127329383</v>
      </c>
    </row>
    <row r="74" spans="1:5" x14ac:dyDescent="0.25">
      <c r="A74" s="68" t="s">
        <v>360</v>
      </c>
      <c r="B74" s="68"/>
      <c r="C74" s="68"/>
      <c r="D74" s="68">
        <f>'Kapur pertanian-CO2'!G81</f>
        <v>0</v>
      </c>
      <c r="E74" s="233">
        <f>D74*44/12</f>
        <v>0</v>
      </c>
    </row>
    <row r="75" spans="1:5" x14ac:dyDescent="0.25">
      <c r="A75" s="68" t="s">
        <v>361</v>
      </c>
      <c r="B75" s="68"/>
      <c r="C75" s="68"/>
      <c r="D75" s="234">
        <f>'Pupuk Urea-CO2'!E17</f>
        <v>244.36275407930759</v>
      </c>
      <c r="E75" s="233">
        <f>D75*44/12</f>
        <v>895.9967649574611</v>
      </c>
    </row>
    <row r="76" spans="1:5" x14ac:dyDescent="0.25">
      <c r="A76" s="68" t="s">
        <v>394</v>
      </c>
      <c r="B76" s="68"/>
      <c r="C76" s="234">
        <f>'Direct N2O'!Y19</f>
        <v>11481.55854524061</v>
      </c>
      <c r="D76" s="68"/>
      <c r="E76" s="235">
        <f>C76*298*10^-3</f>
        <v>3421.504446481702</v>
      </c>
    </row>
    <row r="77" spans="1:5" x14ac:dyDescent="0.25">
      <c r="A77" s="68"/>
      <c r="B77" s="68"/>
      <c r="C77" s="68"/>
      <c r="D77" s="68" t="s">
        <v>451</v>
      </c>
      <c r="E77" s="233">
        <f>SUM(E71:E76)</f>
        <v>25075.799909109854</v>
      </c>
    </row>
    <row r="80" spans="1:5" x14ac:dyDescent="0.25">
      <c r="A80" t="s">
        <v>515</v>
      </c>
    </row>
    <row r="81" spans="1:5" x14ac:dyDescent="0.25">
      <c r="A81" s="68"/>
      <c r="B81" s="68" t="s">
        <v>363</v>
      </c>
      <c r="C81" s="68" t="s">
        <v>364</v>
      </c>
      <c r="D81" s="68" t="s">
        <v>365</v>
      </c>
      <c r="E81" s="68" t="s">
        <v>366</v>
      </c>
    </row>
    <row r="82" spans="1:5" x14ac:dyDescent="0.25">
      <c r="A82" s="68" t="s">
        <v>358</v>
      </c>
      <c r="B82" s="232">
        <f>'Lahan sawah'!K18+'Lahan sawah'!K50+'Lahan sawah'!K75</f>
        <v>0.26479102816255962</v>
      </c>
      <c r="C82" s="68"/>
      <c r="D82" s="68"/>
      <c r="E82" s="233">
        <f>B82*21*10^3</f>
        <v>5560.6115914137517</v>
      </c>
    </row>
    <row r="83" spans="1:5" x14ac:dyDescent="0.25">
      <c r="A83" s="68" t="s">
        <v>395</v>
      </c>
      <c r="B83" s="232">
        <f>'Peternakan-CH4'!BL23</f>
        <v>0.69922882325001667</v>
      </c>
      <c r="C83" s="68"/>
      <c r="D83" s="68"/>
      <c r="E83" s="233">
        <f>B83*21*10^3</f>
        <v>14683.805288250349</v>
      </c>
    </row>
    <row r="84" spans="1:5" x14ac:dyDescent="0.25">
      <c r="A84" s="68" t="s">
        <v>359</v>
      </c>
      <c r="B84" s="68"/>
      <c r="C84" s="232">
        <f>'Peternakan-N2O'!GK23+'Peternakan-N2O'!GY23</f>
        <v>3866.6274982255482</v>
      </c>
      <c r="D84" s="68"/>
      <c r="E84" s="233">
        <f>C84*298*10^-3</f>
        <v>1152.2549944712134</v>
      </c>
    </row>
    <row r="85" spans="1:5" x14ac:dyDescent="0.25">
      <c r="A85" s="68" t="s">
        <v>360</v>
      </c>
      <c r="B85" s="68"/>
      <c r="C85" s="68"/>
      <c r="D85" s="68">
        <f>'Kapur pertanian-CO2'!G92</f>
        <v>0</v>
      </c>
      <c r="E85" s="233">
        <f>D85*44/12</f>
        <v>0</v>
      </c>
    </row>
    <row r="86" spans="1:5" x14ac:dyDescent="0.25">
      <c r="A86" s="68" t="s">
        <v>361</v>
      </c>
      <c r="B86" s="68"/>
      <c r="C86" s="68"/>
      <c r="D86" s="234">
        <f>'Pupuk Urea-CO2'!E18</f>
        <v>252.67108771800406</v>
      </c>
      <c r="E86" s="233">
        <f>D86*44/12</f>
        <v>926.46065496601489</v>
      </c>
    </row>
    <row r="87" spans="1:5" x14ac:dyDescent="0.25">
      <c r="A87" s="68" t="s">
        <v>394</v>
      </c>
      <c r="B87" s="68"/>
      <c r="C87" s="234">
        <f>'Direct N2O'!AB19</f>
        <v>11871.931535778789</v>
      </c>
      <c r="D87" s="68"/>
      <c r="E87" s="235">
        <f>C87*298*10^-3</f>
        <v>3537.8355976620792</v>
      </c>
    </row>
    <row r="88" spans="1:5" x14ac:dyDescent="0.25">
      <c r="A88" s="68"/>
      <c r="B88" s="68"/>
      <c r="C88" s="68"/>
      <c r="D88" s="68" t="s">
        <v>452</v>
      </c>
      <c r="E88" s="233">
        <f>SUM(E82:E87)</f>
        <v>25860.968126763411</v>
      </c>
    </row>
    <row r="91" spans="1:5" x14ac:dyDescent="0.25">
      <c r="A91" t="s">
        <v>516</v>
      </c>
    </row>
    <row r="92" spans="1:5" x14ac:dyDescent="0.25">
      <c r="A92" s="68"/>
      <c r="B92" s="68" t="s">
        <v>363</v>
      </c>
      <c r="C92" s="68" t="s">
        <v>364</v>
      </c>
      <c r="D92" s="68" t="s">
        <v>365</v>
      </c>
      <c r="E92" s="68" t="s">
        <v>366</v>
      </c>
    </row>
    <row r="93" spans="1:5" x14ac:dyDescent="0.25">
      <c r="A93" s="68" t="s">
        <v>358</v>
      </c>
      <c r="B93" s="232">
        <f>'Lahan sawah'!K19+'Lahan sawah'!K51+'Lahan sawah'!K76</f>
        <v>0.27379392312008666</v>
      </c>
      <c r="C93" s="68"/>
      <c r="D93" s="68"/>
      <c r="E93" s="233">
        <f>B93*21*10^3</f>
        <v>5749.6723855218197</v>
      </c>
    </row>
    <row r="94" spans="1:5" x14ac:dyDescent="0.25">
      <c r="A94" s="68" t="s">
        <v>395</v>
      </c>
      <c r="B94" s="232">
        <f>'Peternakan-CH4'!BT23</f>
        <v>0.71963931145903726</v>
      </c>
      <c r="C94" s="68"/>
      <c r="D94" s="68"/>
      <c r="E94" s="233">
        <f>B94*21*10^3</f>
        <v>15112.425540639782</v>
      </c>
    </row>
    <row r="95" spans="1:5" x14ac:dyDescent="0.25">
      <c r="A95" s="68" t="s">
        <v>359</v>
      </c>
      <c r="B95" s="68"/>
      <c r="C95" s="232">
        <f>'Peternakan-N2O'!HK23+'Peternakan-N2O'!HY23</f>
        <v>3975.002877622469</v>
      </c>
      <c r="D95" s="68"/>
      <c r="E95" s="233">
        <f>C95*298*10^-3</f>
        <v>1184.5508575314959</v>
      </c>
    </row>
    <row r="96" spans="1:5" x14ac:dyDescent="0.25">
      <c r="A96" s="68" t="s">
        <v>360</v>
      </c>
      <c r="B96" s="68"/>
      <c r="C96" s="68"/>
      <c r="D96" s="68">
        <f>'Kapur pertanian-CO2'!G103</f>
        <v>0</v>
      </c>
      <c r="E96" s="233">
        <f>D96*44/12</f>
        <v>0</v>
      </c>
    </row>
    <row r="97" spans="1:5" x14ac:dyDescent="0.25">
      <c r="A97" s="68" t="s">
        <v>361</v>
      </c>
      <c r="B97" s="68"/>
      <c r="C97" s="68"/>
      <c r="D97" s="234">
        <f>'Pupuk Urea-CO2'!E19</f>
        <v>261.26190470041621</v>
      </c>
      <c r="E97" s="233">
        <f>D97*44/12</f>
        <v>957.96031723485942</v>
      </c>
    </row>
    <row r="98" spans="1:5" x14ac:dyDescent="0.25">
      <c r="A98" s="68" t="s">
        <v>394</v>
      </c>
      <c r="B98" s="68"/>
      <c r="C98" s="234">
        <f>'Direct N2O'!AE19</f>
        <v>12275.577207995271</v>
      </c>
      <c r="D98" s="68"/>
      <c r="E98" s="235">
        <f>C98*298*10^-3</f>
        <v>3658.1220079825907</v>
      </c>
    </row>
    <row r="99" spans="1:5" x14ac:dyDescent="0.25">
      <c r="A99" s="68"/>
      <c r="B99" s="68"/>
      <c r="C99" s="68"/>
      <c r="D99" s="68" t="s">
        <v>453</v>
      </c>
      <c r="E99" s="233">
        <f>SUM(E93:E98)</f>
        <v>26662.731108910546</v>
      </c>
    </row>
    <row r="102" spans="1:5" x14ac:dyDescent="0.25">
      <c r="A102" t="s">
        <v>517</v>
      </c>
    </row>
    <row r="103" spans="1:5" x14ac:dyDescent="0.25">
      <c r="A103" s="68"/>
      <c r="B103" s="68" t="s">
        <v>363</v>
      </c>
      <c r="C103" s="68" t="s">
        <v>364</v>
      </c>
      <c r="D103" s="68" t="s">
        <v>365</v>
      </c>
      <c r="E103" s="68" t="s">
        <v>366</v>
      </c>
    </row>
    <row r="104" spans="1:5" x14ac:dyDescent="0.25">
      <c r="A104" s="68" t="s">
        <v>358</v>
      </c>
      <c r="B104" s="232">
        <f>'Lahan sawah'!K20+'Lahan sawah'!K52+'Lahan sawah'!K77</f>
        <v>0.28310291650616964</v>
      </c>
      <c r="C104" s="68"/>
      <c r="D104" s="68"/>
      <c r="E104" s="233">
        <f>B104*21*10^3</f>
        <v>5945.1612466295628</v>
      </c>
    </row>
    <row r="105" spans="1:5" x14ac:dyDescent="0.25">
      <c r="A105" s="68" t="s">
        <v>395</v>
      </c>
      <c r="B105" s="232">
        <f>'Peternakan-CH4'!CB23</f>
        <v>0.74004979966805773</v>
      </c>
      <c r="C105" s="68"/>
      <c r="D105" s="68"/>
      <c r="E105" s="233">
        <f>B105*21*10^3</f>
        <v>15541.045793029212</v>
      </c>
    </row>
    <row r="106" spans="1:5" x14ac:dyDescent="0.25">
      <c r="A106" s="68" t="s">
        <v>359</v>
      </c>
      <c r="B106" s="68"/>
      <c r="C106" s="232">
        <f>'Peternakan-N2O'!IK23+'Peternakan-N2O'!IY23</f>
        <v>4083.3782570193903</v>
      </c>
      <c r="D106" s="68"/>
      <c r="E106" s="233">
        <f>C106*298*10^-3</f>
        <v>1216.8467205917784</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270.14480946023036</v>
      </c>
      <c r="E108" s="233">
        <f>D108*44/12</f>
        <v>990.53096802084474</v>
      </c>
    </row>
    <row r="109" spans="1:5" x14ac:dyDescent="0.25">
      <c r="A109" s="68" t="s">
        <v>394</v>
      </c>
      <c r="B109" s="68"/>
      <c r="C109" s="234">
        <f>'Direct N2O'!AH19</f>
        <v>12692.94683306711</v>
      </c>
      <c r="D109" s="68"/>
      <c r="E109" s="235">
        <f>C109*298*10^-3</f>
        <v>3782.4981562539988</v>
      </c>
    </row>
    <row r="110" spans="1:5" x14ac:dyDescent="0.25">
      <c r="A110" s="68"/>
      <c r="B110" s="68"/>
      <c r="C110" s="68"/>
      <c r="D110" s="68" t="s">
        <v>454</v>
      </c>
      <c r="E110" s="233">
        <f>SUM(E104:E109)</f>
        <v>27476.082884525393</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7" t="s">
        <v>518</v>
      </c>
      <c r="B124" s="497"/>
      <c r="C124" s="497"/>
      <c r="D124" s="497"/>
      <c r="E124" s="497"/>
      <c r="F124" s="497"/>
      <c r="G124" s="497"/>
      <c r="H124" s="497"/>
      <c r="I124" s="497"/>
      <c r="J124" s="497"/>
      <c r="K124" s="497"/>
      <c r="L124" s="497"/>
    </row>
    <row r="125" spans="1:22" x14ac:dyDescent="0.25">
      <c r="A125" s="178" t="s">
        <v>520</v>
      </c>
    </row>
    <row r="126" spans="1:22" x14ac:dyDescent="0.25">
      <c r="A126" s="243"/>
      <c r="B126" s="496" t="s">
        <v>434</v>
      </c>
      <c r="C126" s="496"/>
      <c r="D126" s="496"/>
      <c r="E126" s="496"/>
      <c r="F126" s="496"/>
      <c r="G126" s="496"/>
      <c r="H126" s="496"/>
      <c r="I126" s="496"/>
      <c r="J126" s="496"/>
      <c r="K126" s="496"/>
      <c r="L126" s="496"/>
    </row>
    <row r="127" spans="1:22" x14ac:dyDescent="0.25">
      <c r="A127" s="243" t="s">
        <v>424</v>
      </c>
      <c r="B127" s="244">
        <f>'Direct N2O'!D52</f>
        <v>2011</v>
      </c>
      <c r="C127" s="400">
        <f>'Direct N2O'!E52</f>
        <v>2012</v>
      </c>
      <c r="D127" s="400">
        <f>'Direct N2O'!F52</f>
        <v>2013</v>
      </c>
      <c r="E127" s="400">
        <f>'Direct N2O'!G52</f>
        <v>2014</v>
      </c>
      <c r="F127" s="400">
        <f>'Direct N2O'!H52</f>
        <v>2015</v>
      </c>
      <c r="G127" s="400">
        <f>'Direct N2O'!I52</f>
        <v>2016</v>
      </c>
      <c r="H127" s="400">
        <f>'Direct N2O'!J52</f>
        <v>2017</v>
      </c>
      <c r="I127" s="400">
        <f>'Direct N2O'!K52</f>
        <v>2018</v>
      </c>
      <c r="J127" s="400">
        <f>'Direct N2O'!L52</f>
        <v>2019</v>
      </c>
      <c r="K127" s="400">
        <f>'Direct N2O'!M52</f>
        <v>2020</v>
      </c>
      <c r="L127" s="400"/>
      <c r="M127" s="250"/>
      <c r="N127" s="250"/>
      <c r="O127" s="250"/>
      <c r="P127" s="250"/>
      <c r="Q127" s="250"/>
      <c r="R127" s="250"/>
      <c r="S127" s="250"/>
      <c r="T127" s="250"/>
      <c r="U127" s="250"/>
      <c r="V127" s="250"/>
    </row>
    <row r="128" spans="1:22" x14ac:dyDescent="0.25">
      <c r="A128" s="68" t="s">
        <v>358</v>
      </c>
      <c r="B128" s="393">
        <f>E5</f>
        <v>4144.4170931964591</v>
      </c>
      <c r="C128" s="393">
        <f t="shared" ref="C128:C133" si="0">E16</f>
        <v>3366.1284860336891</v>
      </c>
      <c r="D128" s="393">
        <f t="shared" ref="D128:D132" si="1">E27</f>
        <v>4240.0388660827084</v>
      </c>
      <c r="E128" s="393">
        <f>E38</f>
        <v>4877.9208193871873</v>
      </c>
      <c r="F128" s="393">
        <f>E49</f>
        <v>4120.2090494277882</v>
      </c>
      <c r="G128" s="393">
        <f>E60</f>
        <v>5200.9356832994918</v>
      </c>
      <c r="H128" s="393">
        <f>E71</f>
        <v>5377.7674965316746</v>
      </c>
      <c r="I128" s="393">
        <f>E82</f>
        <v>5560.6115914137517</v>
      </c>
      <c r="J128" s="393">
        <f>E93</f>
        <v>5749.6723855218197</v>
      </c>
      <c r="K128" s="393">
        <f>E104</f>
        <v>5945.1612466295628</v>
      </c>
      <c r="L128" s="393">
        <f t="shared" ref="L128:L133" si="2">E115</f>
        <v>0</v>
      </c>
    </row>
    <row r="129" spans="1:12" x14ac:dyDescent="0.25">
      <c r="A129" s="68" t="s">
        <v>395</v>
      </c>
      <c r="B129" s="393">
        <f t="shared" ref="B129:B133" si="3">E6</f>
        <v>12383.34153</v>
      </c>
      <c r="C129" s="393">
        <f t="shared" si="0"/>
        <v>10417.720530000001</v>
      </c>
      <c r="D129" s="393">
        <f t="shared" si="1"/>
        <v>10089.043020000001</v>
      </c>
      <c r="E129" s="393">
        <f t="shared" ref="E129:E133" si="4">E39</f>
        <v>11981.009669999999</v>
      </c>
      <c r="F129" s="393">
        <f t="shared" ref="F129:F133" si="5">E50</f>
        <v>15614.261040000003</v>
      </c>
      <c r="G129" s="393">
        <f t="shared" ref="G129:G133" si="6">E61</f>
        <v>13977.654923399998</v>
      </c>
      <c r="H129" s="393">
        <f t="shared" ref="H129:H133" si="7">E72</f>
        <v>14260.536588406079</v>
      </c>
      <c r="I129" s="393">
        <f t="shared" ref="I129:I133" si="8">E83</f>
        <v>14683.805288250349</v>
      </c>
      <c r="J129" s="393">
        <f t="shared" ref="J129:J133" si="9">E94</f>
        <v>15112.425540639782</v>
      </c>
      <c r="K129" s="393">
        <f t="shared" ref="K129:K133" si="10">E105</f>
        <v>15541.045793029212</v>
      </c>
      <c r="L129" s="393">
        <f t="shared" si="2"/>
        <v>0</v>
      </c>
    </row>
    <row r="130" spans="1:12" x14ac:dyDescent="0.25">
      <c r="A130" s="68" t="s">
        <v>359</v>
      </c>
      <c r="B130" s="393">
        <f t="shared" si="3"/>
        <v>799.0165587259429</v>
      </c>
      <c r="C130" s="393">
        <f t="shared" si="0"/>
        <v>807.94191521113703</v>
      </c>
      <c r="D130" s="393">
        <f t="shared" si="1"/>
        <v>744.17709056667434</v>
      </c>
      <c r="E130" s="393">
        <f t="shared" si="4"/>
        <v>1007.8016197825715</v>
      </c>
      <c r="F130" s="393">
        <f t="shared" si="5"/>
        <v>1491.4220833615088</v>
      </c>
      <c r="G130" s="393">
        <f t="shared" si="6"/>
        <v>1088.6650109032369</v>
      </c>
      <c r="H130" s="393">
        <f t="shared" si="7"/>
        <v>1119.9946127329383</v>
      </c>
      <c r="I130" s="393">
        <f t="shared" si="8"/>
        <v>1152.2549944712134</v>
      </c>
      <c r="J130" s="393">
        <f t="shared" si="9"/>
        <v>1184.5508575314959</v>
      </c>
      <c r="K130" s="393">
        <f t="shared" si="10"/>
        <v>1216.8467205917784</v>
      </c>
      <c r="L130" s="393">
        <f t="shared" si="2"/>
        <v>0</v>
      </c>
    </row>
    <row r="131" spans="1:12" x14ac:dyDescent="0.25">
      <c r="A131" s="68" t="s">
        <v>360</v>
      </c>
      <c r="B131" s="393">
        <f t="shared" si="3"/>
        <v>0</v>
      </c>
      <c r="C131" s="393">
        <f t="shared" si="0"/>
        <v>0</v>
      </c>
      <c r="D131" s="393">
        <f t="shared" si="1"/>
        <v>0</v>
      </c>
      <c r="E131" s="393">
        <f t="shared" si="4"/>
        <v>0</v>
      </c>
      <c r="F131" s="393">
        <f t="shared" si="5"/>
        <v>0</v>
      </c>
      <c r="G131" s="393">
        <f t="shared" si="6"/>
        <v>0</v>
      </c>
      <c r="H131" s="393">
        <f t="shared" si="7"/>
        <v>0</v>
      </c>
      <c r="I131" s="393">
        <f t="shared" si="8"/>
        <v>0</v>
      </c>
      <c r="J131" s="393">
        <f t="shared" si="9"/>
        <v>0</v>
      </c>
      <c r="K131" s="393">
        <f t="shared" si="10"/>
        <v>0</v>
      </c>
      <c r="L131" s="393">
        <f t="shared" si="2"/>
        <v>0</v>
      </c>
    </row>
    <row r="132" spans="1:12" x14ac:dyDescent="0.25">
      <c r="A132" s="68" t="s">
        <v>361</v>
      </c>
      <c r="B132" s="393">
        <f t="shared" si="3"/>
        <v>958.75413333333336</v>
      </c>
      <c r="C132" s="393">
        <f t="shared" si="0"/>
        <v>858.83526666666683</v>
      </c>
      <c r="D132" s="393">
        <f t="shared" si="1"/>
        <v>1058.0408666666669</v>
      </c>
      <c r="E132" s="393">
        <f t="shared" si="4"/>
        <v>1159.5965333333334</v>
      </c>
      <c r="F132" s="393">
        <f t="shared" si="5"/>
        <v>1009.9760000000001</v>
      </c>
      <c r="G132" s="393">
        <f t="shared" si="6"/>
        <v>866.53458893371487</v>
      </c>
      <c r="H132" s="393">
        <f t="shared" si="7"/>
        <v>895.9967649574611</v>
      </c>
      <c r="I132" s="393">
        <f t="shared" si="8"/>
        <v>926.46065496601489</v>
      </c>
      <c r="J132" s="393">
        <f t="shared" si="9"/>
        <v>957.96031723485942</v>
      </c>
      <c r="K132" s="393">
        <f t="shared" si="10"/>
        <v>990.53096802084474</v>
      </c>
      <c r="L132" s="393">
        <f t="shared" si="2"/>
        <v>0</v>
      </c>
    </row>
    <row r="133" spans="1:12" x14ac:dyDescent="0.25">
      <c r="A133" s="68" t="s">
        <v>394</v>
      </c>
      <c r="B133" s="393">
        <f t="shared" si="3"/>
        <v>3424.7659876571433</v>
      </c>
      <c r="C133" s="393">
        <f t="shared" si="0"/>
        <v>3016.9910763142861</v>
      </c>
      <c r="D133" s="393">
        <f>E32</f>
        <v>3730.4531147714292</v>
      </c>
      <c r="E133" s="393">
        <f t="shared" si="4"/>
        <v>4122.4211354857143</v>
      </c>
      <c r="F133" s="393">
        <f t="shared" si="5"/>
        <v>3571.6722737142859</v>
      </c>
      <c r="G133" s="393">
        <f t="shared" si="6"/>
        <v>3308.9984975645089</v>
      </c>
      <c r="H133" s="393">
        <f t="shared" si="7"/>
        <v>3421.504446481702</v>
      </c>
      <c r="I133" s="393">
        <f t="shared" si="8"/>
        <v>3537.8355976620792</v>
      </c>
      <c r="J133" s="393">
        <f t="shared" si="9"/>
        <v>3658.1220079825907</v>
      </c>
      <c r="K133" s="393">
        <f t="shared" si="10"/>
        <v>3782.4981562539988</v>
      </c>
      <c r="L133" s="393">
        <f t="shared" si="2"/>
        <v>0</v>
      </c>
    </row>
    <row r="134" spans="1:12" x14ac:dyDescent="0.25">
      <c r="A134" s="68" t="s">
        <v>506</v>
      </c>
      <c r="B134" s="393">
        <f>'Un-Direct N2O'!H6</f>
        <v>915.28832987428586</v>
      </c>
      <c r="C134" s="393">
        <f>'Un-Direct N2O'!H7</f>
        <v>819.89935639857151</v>
      </c>
      <c r="D134" s="393">
        <f>'Un-Direct N2O'!H8</f>
        <v>1010.0738282328572</v>
      </c>
      <c r="E134" s="393">
        <f>'Un-Direct N2O'!H9</f>
        <v>1107.0253962114286</v>
      </c>
      <c r="F134" s="393">
        <f>'Un-Direct N2O'!H10</f>
        <v>964.18801662857152</v>
      </c>
      <c r="G134" s="393">
        <f>'Un-Direct N2O'!H11</f>
        <v>827.24962439112687</v>
      </c>
      <c r="H134" s="393">
        <f>'Un-Direct N2O'!H12</f>
        <v>855.37611162042526</v>
      </c>
      <c r="I134" s="393">
        <f>'Un-Direct N2O'!H13</f>
        <v>884.4588994155198</v>
      </c>
      <c r="J134" s="393">
        <f>'Un-Direct N2O'!H14</f>
        <v>914.53050199564757</v>
      </c>
      <c r="K134" s="393">
        <f>'Un-Direct N2O'!H15</f>
        <v>945.6245390634997</v>
      </c>
      <c r="L134" s="393">
        <f>'Un-Direct N2O'!H16</f>
        <v>0</v>
      </c>
    </row>
    <row r="135" spans="1:12" x14ac:dyDescent="0.25">
      <c r="A135" s="245" t="s">
        <v>435</v>
      </c>
      <c r="B135" s="394">
        <f>SUM(B128:B134)</f>
        <v>22625.583632787162</v>
      </c>
      <c r="C135" s="394">
        <f t="shared" ref="C135:L135" si="11">SUM(C128:C134)</f>
        <v>19287.516630624352</v>
      </c>
      <c r="D135" s="394">
        <f t="shared" si="11"/>
        <v>20871.826786320336</v>
      </c>
      <c r="E135" s="394">
        <f t="shared" si="11"/>
        <v>24255.775174200237</v>
      </c>
      <c r="F135" s="394">
        <f t="shared" si="11"/>
        <v>26771.728463132153</v>
      </c>
      <c r="G135" s="394">
        <f t="shared" si="11"/>
        <v>25270.038328492079</v>
      </c>
      <c r="H135" s="394">
        <f t="shared" si="11"/>
        <v>25931.17602073028</v>
      </c>
      <c r="I135" s="394">
        <f t="shared" si="11"/>
        <v>26745.427026178932</v>
      </c>
      <c r="J135" s="394">
        <f t="shared" si="11"/>
        <v>27577.261610906193</v>
      </c>
      <c r="K135" s="394">
        <f t="shared" si="11"/>
        <v>28421.707423588894</v>
      </c>
      <c r="L135" s="394">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8" t="s">
        <v>456</v>
      </c>
      <c r="C3" s="418"/>
      <c r="D3" s="418"/>
      <c r="E3" s="418"/>
      <c r="F3" s="418"/>
      <c r="G3" s="418"/>
      <c r="H3" s="418"/>
      <c r="I3" s="418"/>
      <c r="J3" s="418"/>
      <c r="K3" s="418"/>
      <c r="L3" s="419"/>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5681</v>
      </c>
      <c r="C6" s="230">
        <f>'Peternakan-CH4'!D28</f>
        <v>3671</v>
      </c>
      <c r="D6" s="230">
        <f>'Peternakan-CH4'!E28</f>
        <v>3772</v>
      </c>
      <c r="E6" s="230">
        <f>'Peternakan-CH4'!F28</f>
        <v>4266</v>
      </c>
      <c r="F6" s="230">
        <f>'Peternakan-CH4'!G28</f>
        <v>4996</v>
      </c>
      <c r="G6" s="230">
        <f>'Peternakan-CH4'!H28</f>
        <v>5288</v>
      </c>
      <c r="H6" s="230">
        <f>'Peternakan-CH4'!I28</f>
        <v>5316.7360057599999</v>
      </c>
      <c r="I6" s="230">
        <f>'Peternakan-CH4'!J28</f>
        <v>5484.744863542016</v>
      </c>
      <c r="J6" s="230">
        <f>'Peternakan-CH4'!K28</f>
        <v>5658.0628012299439</v>
      </c>
      <c r="K6" s="230">
        <f>'Peternakan-CH4'!L28</f>
        <v>5831.3807389178701</v>
      </c>
      <c r="L6" s="226"/>
    </row>
    <row r="7" spans="1:12" x14ac:dyDescent="0.25">
      <c r="A7" s="56" t="s">
        <v>22</v>
      </c>
      <c r="B7" s="230">
        <f>'Peternakan-CH4'!C29</f>
        <v>82</v>
      </c>
      <c r="C7" s="230">
        <f>'Peternakan-CH4'!D29</f>
        <v>78</v>
      </c>
      <c r="D7" s="230">
        <f>'Peternakan-CH4'!E29</f>
        <v>68</v>
      </c>
      <c r="E7" s="230">
        <f>'Peternakan-CH4'!F29</f>
        <v>60</v>
      </c>
      <c r="F7" s="230">
        <f>'Peternakan-CH4'!G29</f>
        <v>72</v>
      </c>
      <c r="G7" s="230">
        <f>'Peternakan-CH4'!H29</f>
        <v>91.374200000000002</v>
      </c>
      <c r="H7" s="230">
        <f>'Peternakan-CH4'!I29</f>
        <v>91.491799999999998</v>
      </c>
      <c r="I7" s="230">
        <f>'Peternakan-CH4'!J29</f>
        <v>91.609399999999994</v>
      </c>
      <c r="J7" s="230">
        <f>'Peternakan-CH4'!K29</f>
        <v>91.727000000000004</v>
      </c>
      <c r="K7" s="230">
        <f>'Peternakan-CH4'!L29</f>
        <v>91.8446</v>
      </c>
      <c r="L7" s="226"/>
    </row>
    <row r="8" spans="1:12" x14ac:dyDescent="0.25">
      <c r="A8" s="56" t="s">
        <v>65</v>
      </c>
      <c r="B8" s="230">
        <f>'Peternakan-CH4'!C30</f>
        <v>268</v>
      </c>
      <c r="C8" s="230">
        <f>'Peternakan-CH4'!D30</f>
        <v>298</v>
      </c>
      <c r="D8" s="230">
        <f>'Peternakan-CH4'!E30</f>
        <v>88</v>
      </c>
      <c r="E8" s="230">
        <f>'Peternakan-CH4'!F30</f>
        <v>51</v>
      </c>
      <c r="F8" s="230">
        <f>'Peternakan-CH4'!G30</f>
        <v>63</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12635</v>
      </c>
      <c r="C9" s="230">
        <f>'Peternakan-CH4'!D31</f>
        <v>13440</v>
      </c>
      <c r="D9" s="230">
        <f>'Peternakan-CH4'!E31</f>
        <v>10353</v>
      </c>
      <c r="E9" s="230">
        <f>'Peternakan-CH4'!F31</f>
        <v>9730</v>
      </c>
      <c r="F9" s="230">
        <f>'Peternakan-CH4'!G31</f>
        <v>10371</v>
      </c>
      <c r="G9" s="230">
        <f>'Peternakan-CH4'!H31</f>
        <v>14149.699999999999</v>
      </c>
      <c r="H9" s="230">
        <f>'Peternakan-CH4'!I31</f>
        <v>14438.099999999999</v>
      </c>
      <c r="I9" s="230">
        <f>'Peternakan-CH4'!J31</f>
        <v>14726.5</v>
      </c>
      <c r="J9" s="230">
        <f>'Peternakan-CH4'!K31</f>
        <v>15014.9</v>
      </c>
      <c r="K9" s="230">
        <f>'Peternakan-CH4'!L31</f>
        <v>15303.3</v>
      </c>
      <c r="L9" s="226"/>
    </row>
    <row r="10" spans="1:12" x14ac:dyDescent="0.25">
      <c r="A10" s="56" t="s">
        <v>24</v>
      </c>
      <c r="B10" s="230">
        <f>'Peternakan-CH4'!C32</f>
        <v>7</v>
      </c>
      <c r="C10" s="230">
        <f>'Peternakan-CH4'!D32</f>
        <v>7</v>
      </c>
      <c r="D10" s="230">
        <f>'Peternakan-CH4'!E32</f>
        <v>16</v>
      </c>
      <c r="E10" s="230">
        <f>'Peternakan-CH4'!F32</f>
        <v>7</v>
      </c>
      <c r="F10" s="230">
        <f>'Peternakan-CH4'!G32</f>
        <v>10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405390</v>
      </c>
      <c r="C11" s="230">
        <f>'Peternakan-CH4'!D33</f>
        <v>415240</v>
      </c>
      <c r="D11" s="230">
        <f>'Peternakan-CH4'!E33</f>
        <v>465109</v>
      </c>
      <c r="E11" s="230">
        <f>'Peternakan-CH4'!F33</f>
        <v>432502</v>
      </c>
      <c r="F11" s="230">
        <f>'Peternakan-CH4'!G33</f>
        <v>479884</v>
      </c>
      <c r="G11" s="230">
        <f>'Peternakan-CH4'!H33</f>
        <v>481120</v>
      </c>
      <c r="H11" s="230">
        <f>'Peternakan-CH4'!I33</f>
        <v>491494</v>
      </c>
      <c r="I11" s="230">
        <f>'Peternakan-CH4'!J33</f>
        <v>501868</v>
      </c>
      <c r="J11" s="230">
        <f>'Peternakan-CH4'!K33</f>
        <v>512242</v>
      </c>
      <c r="K11" s="230">
        <f>'Peternakan-CH4'!L33</f>
        <v>522616</v>
      </c>
      <c r="L11" s="226"/>
    </row>
    <row r="12" spans="1:12" x14ac:dyDescent="0.25">
      <c r="A12" s="56" t="s">
        <v>73</v>
      </c>
      <c r="B12" s="230">
        <f>'Peternakan-CH4'!C34</f>
        <v>8640860</v>
      </c>
      <c r="C12" s="230">
        <f>'Peternakan-CH4'!D34</f>
        <v>8881634</v>
      </c>
      <c r="D12" s="230">
        <f>'Peternakan-CH4'!E34</f>
        <v>8118500</v>
      </c>
      <c r="E12" s="230">
        <f>'Peternakan-CH4'!F34</f>
        <v>11667271</v>
      </c>
      <c r="F12" s="230">
        <f>'Peternakan-CH4'!G34</f>
        <v>17775680</v>
      </c>
      <c r="G12" s="230">
        <f>'Peternakan-CH4'!H34</f>
        <v>12296069</v>
      </c>
      <c r="H12" s="230">
        <f>'Peternakan-CH4'!I34</f>
        <v>12666426</v>
      </c>
      <c r="I12" s="230">
        <f>'Peternakan-CH4'!J34</f>
        <v>13036783</v>
      </c>
      <c r="J12" s="230">
        <f>'Peternakan-CH4'!K34</f>
        <v>13407140</v>
      </c>
      <c r="K12" s="230">
        <f>'Peternakan-CH4'!L34</f>
        <v>13777497</v>
      </c>
      <c r="L12" s="226"/>
    </row>
    <row r="13" spans="1:12" x14ac:dyDescent="0.25">
      <c r="A13" s="56" t="s">
        <v>74</v>
      </c>
      <c r="B13" s="230">
        <f>'Peternakan-CH4'!C35</f>
        <v>210700</v>
      </c>
      <c r="C13" s="230">
        <f>'Peternakan-CH4'!D35</f>
        <v>225036</v>
      </c>
      <c r="D13" s="230">
        <f>'Peternakan-CH4'!E35</f>
        <v>239085</v>
      </c>
      <c r="E13" s="230">
        <f>'Peternakan-CH4'!F35</f>
        <v>204361</v>
      </c>
      <c r="F13" s="230">
        <f>'Peternakan-CH4'!G35</f>
        <v>399637</v>
      </c>
      <c r="G13" s="230">
        <f>'Peternakan-CH4'!H35</f>
        <v>272866.59999999998</v>
      </c>
      <c r="H13" s="230">
        <f>'Peternakan-CH4'!I35</f>
        <v>278961.40000000002</v>
      </c>
      <c r="I13" s="230">
        <f>'Peternakan-CH4'!J35</f>
        <v>285056.2</v>
      </c>
      <c r="J13" s="230">
        <f>'Peternakan-CH4'!K35</f>
        <v>291151</v>
      </c>
      <c r="K13" s="230">
        <f>'Peternakan-CH4'!L35</f>
        <v>297245.8</v>
      </c>
      <c r="L13" s="226"/>
    </row>
    <row r="14" spans="1:12" x14ac:dyDescent="0.25">
      <c r="A14" s="56" t="s">
        <v>75</v>
      </c>
      <c r="B14" s="230">
        <f>'Peternakan-CH4'!C36</f>
        <v>45415</v>
      </c>
      <c r="C14" s="230">
        <f>'Peternakan-CH4'!D36</f>
        <v>32800</v>
      </c>
      <c r="D14" s="230">
        <f>'Peternakan-CH4'!E36</f>
        <v>34272</v>
      </c>
      <c r="E14" s="230">
        <f>'Peternakan-CH4'!F36</f>
        <v>24423</v>
      </c>
      <c r="F14" s="230">
        <f>'Peternakan-CH4'!G36</f>
        <v>29905</v>
      </c>
      <c r="G14" s="230">
        <f>'Peternakan-CH4'!H36</f>
        <v>42567</v>
      </c>
      <c r="H14" s="230">
        <f>'Peternakan-CH4'!I36</f>
        <v>43915</v>
      </c>
      <c r="I14" s="230">
        <f>'Peternakan-CH4'!J36</f>
        <v>45263</v>
      </c>
      <c r="J14" s="230">
        <f>'Peternakan-CH4'!K36</f>
        <v>46611</v>
      </c>
      <c r="K14" s="230">
        <f>'Peternakan-CH4'!L36</f>
        <v>47959</v>
      </c>
      <c r="L14" s="226"/>
    </row>
    <row r="17" spans="1:2" x14ac:dyDescent="0.25">
      <c r="A17" s="236" t="s">
        <v>426</v>
      </c>
    </row>
    <row r="18" spans="1:2" s="237" customFormat="1" x14ac:dyDescent="0.25">
      <c r="A18" s="238" t="s">
        <v>396</v>
      </c>
      <c r="B18" s="239" t="s">
        <v>427</v>
      </c>
    </row>
    <row r="19" spans="1:2" x14ac:dyDescent="0.25">
      <c r="A19" s="228">
        <v>2011</v>
      </c>
      <c r="B19" s="241">
        <f>'Lahan sawah'!D11</f>
        <v>2054.4</v>
      </c>
    </row>
    <row r="20" spans="1:2" x14ac:dyDescent="0.25">
      <c r="A20" s="229">
        <v>2012</v>
      </c>
      <c r="B20" s="241">
        <f>'Lahan sawah'!D12</f>
        <v>1668.6</v>
      </c>
    </row>
    <row r="21" spans="1:2" x14ac:dyDescent="0.25">
      <c r="A21" s="228">
        <v>2013</v>
      </c>
      <c r="B21" s="241">
        <f>'Lahan sawah'!D13</f>
        <v>2101.7999999999997</v>
      </c>
    </row>
    <row r="22" spans="1:2" x14ac:dyDescent="0.25">
      <c r="A22" s="229">
        <v>2014</v>
      </c>
      <c r="B22" s="241">
        <f>'Lahan sawah'!D14</f>
        <v>2418</v>
      </c>
    </row>
    <row r="23" spans="1:2" x14ac:dyDescent="0.25">
      <c r="A23" s="229">
        <v>2015</v>
      </c>
      <c r="B23" s="241">
        <f>'Lahan sawah'!D15</f>
        <v>2042.3999999999999</v>
      </c>
    </row>
    <row r="24" spans="1:2" x14ac:dyDescent="0.25">
      <c r="A24" s="228">
        <v>2016</v>
      </c>
      <c r="B24" s="241">
        <f>'Lahan sawah'!D16</f>
        <v>2578.1194381498949</v>
      </c>
    </row>
    <row r="25" spans="1:2" x14ac:dyDescent="0.25">
      <c r="A25" s="229">
        <v>2017</v>
      </c>
      <c r="B25" s="241">
        <f>'Lahan sawah'!D17</f>
        <v>2665.7754990469916</v>
      </c>
    </row>
    <row r="26" spans="1:2" x14ac:dyDescent="0.25">
      <c r="A26" s="229">
        <v>2018</v>
      </c>
      <c r="B26" s="241">
        <f>'Lahan sawah'!D18</f>
        <v>2756.4118660145891</v>
      </c>
    </row>
    <row r="27" spans="1:2" x14ac:dyDescent="0.25">
      <c r="A27" s="228">
        <v>2019</v>
      </c>
      <c r="B27" s="241">
        <f>'Lahan sawah'!D19</f>
        <v>2850.1298694590855</v>
      </c>
    </row>
    <row r="28" spans="1:2" x14ac:dyDescent="0.25">
      <c r="A28" s="229">
        <v>2020</v>
      </c>
      <c r="B28" s="241">
        <f>'Lahan sawah'!D20</f>
        <v>2947.0342850206948</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23</v>
      </c>
    </row>
    <row r="35" spans="1:2" x14ac:dyDescent="0.25">
      <c r="A35" s="229">
        <v>2012</v>
      </c>
      <c r="B35" s="241">
        <f>'Direct N2O'!C37</f>
        <v>0</v>
      </c>
    </row>
    <row r="36" spans="1:2" x14ac:dyDescent="0.25">
      <c r="A36" s="228">
        <v>2013</v>
      </c>
      <c r="B36" s="241">
        <f>'Direct N2O'!C38</f>
        <v>190</v>
      </c>
    </row>
    <row r="37" spans="1:2" x14ac:dyDescent="0.25">
      <c r="A37" s="229">
        <v>2014</v>
      </c>
      <c r="B37" s="241">
        <f>'Direct N2O'!C39</f>
        <v>120</v>
      </c>
    </row>
    <row r="38" spans="1:2" x14ac:dyDescent="0.25">
      <c r="A38" s="229">
        <v>2015</v>
      </c>
      <c r="B38" s="241">
        <f>'Direct N2O'!C40</f>
        <v>104</v>
      </c>
    </row>
    <row r="39" spans="1:2" x14ac:dyDescent="0.25">
      <c r="A39" s="228">
        <v>2016</v>
      </c>
      <c r="B39" s="241">
        <f>'Direct N2O'!C41</f>
        <v>140.30331375017636</v>
      </c>
    </row>
    <row r="40" spans="1:2" x14ac:dyDescent="0.25">
      <c r="A40" s="229">
        <v>2017</v>
      </c>
      <c r="B40" s="241">
        <f>'Direct N2O'!C42</f>
        <v>145.07362641768239</v>
      </c>
    </row>
    <row r="41" spans="1:2" x14ac:dyDescent="0.25">
      <c r="A41" s="229">
        <v>2018</v>
      </c>
      <c r="B41" s="241">
        <f>'Direct N2O'!C43</f>
        <v>150.00612971588359</v>
      </c>
    </row>
    <row r="42" spans="1:2" x14ac:dyDescent="0.25">
      <c r="A42" s="228">
        <v>2019</v>
      </c>
      <c r="B42" s="241">
        <f>'Direct N2O'!C44</f>
        <v>155.10633812622365</v>
      </c>
    </row>
    <row r="43" spans="1:2" x14ac:dyDescent="0.25">
      <c r="A43" s="229">
        <v>2020</v>
      </c>
      <c r="B43" s="241">
        <f>'Direct N2O'!C45</f>
        <v>160.37995362251527</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227</v>
      </c>
    </row>
    <row r="50" spans="1:2" x14ac:dyDescent="0.25">
      <c r="A50" s="229">
        <v>2012</v>
      </c>
      <c r="B50" s="241">
        <f>'Direct N2O'!E37</f>
        <v>154</v>
      </c>
    </row>
    <row r="51" spans="1:2" x14ac:dyDescent="0.25">
      <c r="A51" s="228">
        <v>2013</v>
      </c>
      <c r="B51" s="241">
        <f>'Direct N2O'!E38</f>
        <v>222</v>
      </c>
    </row>
    <row r="52" spans="1:2" x14ac:dyDescent="0.25">
      <c r="A52" s="229">
        <v>2014</v>
      </c>
      <c r="B52" s="241">
        <f>'Direct N2O'!E39</f>
        <v>154</v>
      </c>
    </row>
    <row r="53" spans="1:2" x14ac:dyDescent="0.25">
      <c r="A53" s="229">
        <v>2015</v>
      </c>
      <c r="B53" s="241">
        <f>'Direct N2O'!E40</f>
        <v>168</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7" t="s">
        <v>443</v>
      </c>
      <c r="B78" s="497"/>
      <c r="C78" s="497"/>
      <c r="D78" s="497"/>
      <c r="E78" s="497"/>
      <c r="F78" s="497"/>
      <c r="G78" s="497"/>
      <c r="H78" s="497"/>
      <c r="I78" s="497"/>
      <c r="J78" s="497"/>
      <c r="K78" s="497"/>
      <c r="L78" s="497"/>
    </row>
    <row r="79" spans="1:12" x14ac:dyDescent="0.25">
      <c r="A79" s="178"/>
    </row>
    <row r="80" spans="1:12" x14ac:dyDescent="0.25">
      <c r="A80" s="247"/>
      <c r="B80" s="499" t="s">
        <v>434</v>
      </c>
      <c r="C80" s="499"/>
      <c r="D80" s="499"/>
      <c r="E80" s="499"/>
      <c r="F80" s="499"/>
      <c r="G80" s="499"/>
      <c r="H80" s="499"/>
      <c r="I80" s="499"/>
      <c r="J80" s="499"/>
      <c r="K80" s="499"/>
      <c r="L80" s="499"/>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4144.4170931964591</v>
      </c>
      <c r="C82" s="248">
        <f>'Perhitungan ke CO2-eq'!C128</f>
        <v>3366.1284860336891</v>
      </c>
      <c r="D82" s="248">
        <f>'Perhitungan ke CO2-eq'!D128</f>
        <v>4240.0388660827084</v>
      </c>
      <c r="E82" s="248">
        <f>'Perhitungan ke CO2-eq'!E128</f>
        <v>4877.9208193871873</v>
      </c>
      <c r="F82" s="248">
        <f>'Perhitungan ke CO2-eq'!F128</f>
        <v>4120.2090494277882</v>
      </c>
      <c r="G82" s="248">
        <f>'Perhitungan ke CO2-eq'!G128</f>
        <v>5200.9356832994918</v>
      </c>
      <c r="H82" s="248">
        <f>'Perhitungan ke CO2-eq'!H128</f>
        <v>5377.7674965316746</v>
      </c>
      <c r="I82" s="248">
        <f>'Perhitungan ke CO2-eq'!I128</f>
        <v>5560.6115914137517</v>
      </c>
      <c r="J82" s="248">
        <f>'Perhitungan ke CO2-eq'!J128</f>
        <v>5749.6723855218197</v>
      </c>
      <c r="K82" s="248">
        <f>'Perhitungan ke CO2-eq'!K128</f>
        <v>5945.1612466295628</v>
      </c>
      <c r="L82" s="248">
        <f>'Perhitungan ke CO2-eq'!L128</f>
        <v>0</v>
      </c>
    </row>
    <row r="83" spans="1:12" ht="60" x14ac:dyDescent="0.25">
      <c r="A83" s="242" t="s">
        <v>436</v>
      </c>
      <c r="B83" s="248">
        <f>'Perhitungan ke CO2-eq'!B129</f>
        <v>12383.34153</v>
      </c>
      <c r="C83" s="248">
        <f>'Perhitungan ke CO2-eq'!C129</f>
        <v>10417.720530000001</v>
      </c>
      <c r="D83" s="248">
        <f>'Perhitungan ke CO2-eq'!D129</f>
        <v>10089.043020000001</v>
      </c>
      <c r="E83" s="248">
        <f>'Perhitungan ke CO2-eq'!E129</f>
        <v>11981.009669999999</v>
      </c>
      <c r="F83" s="248">
        <f>'Perhitungan ke CO2-eq'!F129</f>
        <v>15614.261040000003</v>
      </c>
      <c r="G83" s="248">
        <f>'Perhitungan ke CO2-eq'!G129</f>
        <v>13977.654923399998</v>
      </c>
      <c r="H83" s="248">
        <f>'Perhitungan ke CO2-eq'!H129</f>
        <v>14260.536588406079</v>
      </c>
      <c r="I83" s="248">
        <f>'Perhitungan ke CO2-eq'!I129</f>
        <v>14683.805288250349</v>
      </c>
      <c r="J83" s="248">
        <f>'Perhitungan ke CO2-eq'!J129</f>
        <v>15112.425540639782</v>
      </c>
      <c r="K83" s="248">
        <f>'Perhitungan ke CO2-eq'!K129</f>
        <v>15541.045793029212</v>
      </c>
      <c r="L83" s="248">
        <f>'Perhitungan ke CO2-eq'!L129</f>
        <v>0</v>
      </c>
    </row>
    <row r="84" spans="1:12" ht="60" x14ac:dyDescent="0.25">
      <c r="A84" s="242" t="s">
        <v>437</v>
      </c>
      <c r="B84" s="248">
        <f>'Perhitungan ke CO2-eq'!B130</f>
        <v>799.0165587259429</v>
      </c>
      <c r="C84" s="248">
        <f>'Perhitungan ke CO2-eq'!C130</f>
        <v>807.94191521113703</v>
      </c>
      <c r="D84" s="248">
        <f>'Perhitungan ke CO2-eq'!D130</f>
        <v>744.17709056667434</v>
      </c>
      <c r="E84" s="248">
        <f>'Perhitungan ke CO2-eq'!E130</f>
        <v>1007.8016197825715</v>
      </c>
      <c r="F84" s="248">
        <f>'Perhitungan ke CO2-eq'!F130</f>
        <v>1491.4220833615088</v>
      </c>
      <c r="G84" s="248">
        <f>'Perhitungan ke CO2-eq'!G130</f>
        <v>1088.6650109032369</v>
      </c>
      <c r="H84" s="248">
        <f>'Perhitungan ke CO2-eq'!H130</f>
        <v>1119.9946127329383</v>
      </c>
      <c r="I84" s="248">
        <f>'Perhitungan ke CO2-eq'!I130</f>
        <v>1152.2549944712134</v>
      </c>
      <c r="J84" s="248">
        <f>'Perhitungan ke CO2-eq'!J130</f>
        <v>1184.5508575314959</v>
      </c>
      <c r="K84" s="248">
        <f>'Perhitungan ke CO2-eq'!K130</f>
        <v>1216.8467205917784</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958.75413333333336</v>
      </c>
      <c r="C86" s="248">
        <f>'Perhitungan ke CO2-eq'!C132</f>
        <v>858.83526666666683</v>
      </c>
      <c r="D86" s="248">
        <f>'Perhitungan ke CO2-eq'!D132</f>
        <v>1058.0408666666669</v>
      </c>
      <c r="E86" s="248">
        <f>'Perhitungan ke CO2-eq'!E132</f>
        <v>1159.5965333333334</v>
      </c>
      <c r="F86" s="248">
        <f>'Perhitungan ke CO2-eq'!F132</f>
        <v>1009.9760000000001</v>
      </c>
      <c r="G86" s="248">
        <f>'Perhitungan ke CO2-eq'!G132</f>
        <v>866.53458893371487</v>
      </c>
      <c r="H86" s="248">
        <f>'Perhitungan ke CO2-eq'!H132</f>
        <v>895.9967649574611</v>
      </c>
      <c r="I86" s="248">
        <f>'Perhitungan ke CO2-eq'!I132</f>
        <v>926.46065496601489</v>
      </c>
      <c r="J86" s="248">
        <f>'Perhitungan ke CO2-eq'!J132</f>
        <v>957.96031723485942</v>
      </c>
      <c r="K86" s="248">
        <f>'Perhitungan ke CO2-eq'!K132</f>
        <v>990.53096802084474</v>
      </c>
      <c r="L86" s="248">
        <f>'Perhitungan ke CO2-eq'!L132</f>
        <v>0</v>
      </c>
    </row>
    <row r="87" spans="1:12" ht="45" x14ac:dyDescent="0.25">
      <c r="A87" s="242" t="s">
        <v>440</v>
      </c>
      <c r="B87" s="248">
        <f>'Perhitungan ke CO2-eq'!B133</f>
        <v>3424.7659876571433</v>
      </c>
      <c r="C87" s="248">
        <f>'Perhitungan ke CO2-eq'!C133</f>
        <v>3016.9910763142861</v>
      </c>
      <c r="D87" s="248">
        <f>'Perhitungan ke CO2-eq'!D133</f>
        <v>3730.4531147714292</v>
      </c>
      <c r="E87" s="248">
        <f>'Perhitungan ke CO2-eq'!E133</f>
        <v>4122.4211354857143</v>
      </c>
      <c r="F87" s="248">
        <f>'Perhitungan ke CO2-eq'!F133</f>
        <v>3571.6722737142859</v>
      </c>
      <c r="G87" s="248">
        <f>'Perhitungan ke CO2-eq'!G133</f>
        <v>3308.9984975645089</v>
      </c>
      <c r="H87" s="248">
        <f>'Perhitungan ke CO2-eq'!H133</f>
        <v>3421.504446481702</v>
      </c>
      <c r="I87" s="248">
        <f>'Perhitungan ke CO2-eq'!I133</f>
        <v>3537.8355976620792</v>
      </c>
      <c r="J87" s="248">
        <f>'Perhitungan ke CO2-eq'!J133</f>
        <v>3658.1220079825907</v>
      </c>
      <c r="K87" s="248">
        <f>'Perhitungan ke CO2-eq'!K133</f>
        <v>3782.4981562539988</v>
      </c>
      <c r="L87" s="248">
        <f>'Perhitungan ke CO2-eq'!L133</f>
        <v>0</v>
      </c>
    </row>
    <row r="88" spans="1:12" s="178" customFormat="1" ht="45" x14ac:dyDescent="0.25">
      <c r="A88" s="246" t="s">
        <v>441</v>
      </c>
      <c r="B88" s="249">
        <f>'Perhitungan ke CO2-eq'!B135</f>
        <v>22625.583632787162</v>
      </c>
      <c r="C88" s="249">
        <f>'Perhitungan ke CO2-eq'!C135</f>
        <v>19287.516630624352</v>
      </c>
      <c r="D88" s="249">
        <f>'Perhitungan ke CO2-eq'!D135</f>
        <v>20871.826786320336</v>
      </c>
      <c r="E88" s="249">
        <f>'Perhitungan ke CO2-eq'!E135</f>
        <v>24255.775174200237</v>
      </c>
      <c r="F88" s="249">
        <f>'Perhitungan ke CO2-eq'!F135</f>
        <v>26771.728463132153</v>
      </c>
      <c r="G88" s="249">
        <f>'Perhitungan ke CO2-eq'!G135</f>
        <v>25270.038328492079</v>
      </c>
      <c r="H88" s="249">
        <f>'Perhitungan ke CO2-eq'!H135</f>
        <v>25931.17602073028</v>
      </c>
      <c r="I88" s="249">
        <f>'Perhitungan ke CO2-eq'!I135</f>
        <v>26745.427026178932</v>
      </c>
      <c r="J88" s="249">
        <f>'Perhitungan ke CO2-eq'!J135</f>
        <v>27577.261610906193</v>
      </c>
      <c r="K88" s="249">
        <f>'Perhitungan ke CO2-eq'!K135</f>
        <v>28421.707423588894</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2011</v>
      </c>
      <c r="J1" s="231" t="s">
        <v>396</v>
      </c>
      <c r="K1" s="231">
        <v>2012</v>
      </c>
      <c r="R1" s="231" t="s">
        <v>396</v>
      </c>
      <c r="S1" s="231">
        <v>2013</v>
      </c>
      <c r="Z1" s="231" t="s">
        <v>396</v>
      </c>
      <c r="AA1" s="231">
        <v>2014</v>
      </c>
      <c r="AH1" s="231" t="s">
        <v>396</v>
      </c>
      <c r="AI1" s="231">
        <v>2015</v>
      </c>
      <c r="AP1" s="231" t="s">
        <v>396</v>
      </c>
      <c r="AQ1" s="231">
        <v>2016</v>
      </c>
      <c r="AX1" s="231" t="s">
        <v>396</v>
      </c>
      <c r="AY1" s="231">
        <v>2017</v>
      </c>
      <c r="BF1" s="231" t="s">
        <v>396</v>
      </c>
      <c r="BG1" s="231">
        <v>2018</v>
      </c>
      <c r="BN1" s="231" t="s">
        <v>396</v>
      </c>
      <c r="BO1" s="231">
        <v>2019</v>
      </c>
      <c r="BV1" s="231" t="s">
        <v>396</v>
      </c>
      <c r="BW1" s="231">
        <v>2020</v>
      </c>
      <c r="CD1" s="231" t="s">
        <v>396</v>
      </c>
      <c r="CE1" s="231">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4" t="s">
        <v>4</v>
      </c>
      <c r="D6" s="416"/>
      <c r="E6" s="49" t="s">
        <v>9</v>
      </c>
      <c r="F6" s="414" t="s">
        <v>17</v>
      </c>
      <c r="G6" s="415"/>
      <c r="H6" s="209"/>
      <c r="J6" s="48" t="s">
        <v>3</v>
      </c>
      <c r="K6" s="414" t="s">
        <v>4</v>
      </c>
      <c r="L6" s="416"/>
      <c r="M6" s="49" t="s">
        <v>9</v>
      </c>
      <c r="N6" s="414" t="s">
        <v>17</v>
      </c>
      <c r="O6" s="415"/>
      <c r="P6" s="209"/>
      <c r="R6" s="48" t="s">
        <v>3</v>
      </c>
      <c r="S6" s="414" t="s">
        <v>4</v>
      </c>
      <c r="T6" s="416"/>
      <c r="U6" s="49" t="s">
        <v>9</v>
      </c>
      <c r="V6" s="414" t="s">
        <v>17</v>
      </c>
      <c r="W6" s="415"/>
      <c r="X6" s="209"/>
      <c r="Z6" s="48" t="s">
        <v>3</v>
      </c>
      <c r="AA6" s="414" t="s">
        <v>4</v>
      </c>
      <c r="AB6" s="416"/>
      <c r="AC6" s="49" t="s">
        <v>9</v>
      </c>
      <c r="AD6" s="414" t="s">
        <v>17</v>
      </c>
      <c r="AE6" s="415"/>
      <c r="AF6" s="209"/>
      <c r="AH6" s="48" t="s">
        <v>3</v>
      </c>
      <c r="AI6" s="414" t="s">
        <v>4</v>
      </c>
      <c r="AJ6" s="416"/>
      <c r="AK6" s="49" t="s">
        <v>9</v>
      </c>
      <c r="AL6" s="414" t="s">
        <v>17</v>
      </c>
      <c r="AM6" s="415"/>
      <c r="AN6" s="209"/>
      <c r="AP6" s="48" t="s">
        <v>3</v>
      </c>
      <c r="AQ6" s="414" t="s">
        <v>4</v>
      </c>
      <c r="AR6" s="416"/>
      <c r="AS6" s="49" t="s">
        <v>9</v>
      </c>
      <c r="AT6" s="414" t="s">
        <v>17</v>
      </c>
      <c r="AU6" s="415"/>
      <c r="AV6" s="209"/>
      <c r="AX6" s="48" t="s">
        <v>3</v>
      </c>
      <c r="AY6" s="414" t="s">
        <v>4</v>
      </c>
      <c r="AZ6" s="416"/>
      <c r="BA6" s="49" t="s">
        <v>9</v>
      </c>
      <c r="BB6" s="414" t="s">
        <v>17</v>
      </c>
      <c r="BC6" s="415"/>
      <c r="BD6" s="209"/>
      <c r="BF6" s="48" t="s">
        <v>3</v>
      </c>
      <c r="BG6" s="414" t="s">
        <v>4</v>
      </c>
      <c r="BH6" s="416"/>
      <c r="BI6" s="49" t="s">
        <v>9</v>
      </c>
      <c r="BJ6" s="414" t="s">
        <v>17</v>
      </c>
      <c r="BK6" s="415"/>
      <c r="BL6" s="209"/>
      <c r="BN6" s="48" t="s">
        <v>3</v>
      </c>
      <c r="BO6" s="414" t="s">
        <v>4</v>
      </c>
      <c r="BP6" s="416"/>
      <c r="BQ6" s="49" t="s">
        <v>9</v>
      </c>
      <c r="BR6" s="414" t="s">
        <v>17</v>
      </c>
      <c r="BS6" s="415"/>
      <c r="BT6" s="209"/>
      <c r="BV6" s="48" t="s">
        <v>3</v>
      </c>
      <c r="BW6" s="414" t="s">
        <v>4</v>
      </c>
      <c r="BX6" s="416"/>
      <c r="BY6" s="49" t="s">
        <v>9</v>
      </c>
      <c r="BZ6" s="414" t="s">
        <v>17</v>
      </c>
      <c r="CA6" s="415"/>
      <c r="CB6" s="209"/>
      <c r="CD6" s="48" t="s">
        <v>3</v>
      </c>
      <c r="CE6" s="414" t="s">
        <v>4</v>
      </c>
      <c r="CF6" s="416"/>
      <c r="CG6" s="49" t="s">
        <v>9</v>
      </c>
      <c r="CH6" s="414" t="s">
        <v>17</v>
      </c>
      <c r="CI6" s="415"/>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5681</v>
      </c>
      <c r="D13" s="87">
        <f>'EF peternakan'!$C$5</f>
        <v>47</v>
      </c>
      <c r="E13" s="43">
        <f t="shared" ref="E13:E18" si="20">C13*D13*10^-6</f>
        <v>0.26700699999999999</v>
      </c>
      <c r="F13" s="88">
        <f>'EF peternakan'!$C$15</f>
        <v>1</v>
      </c>
      <c r="G13" s="204">
        <f t="shared" ref="G13:G18" si="21">C13*F13*10^-6</f>
        <v>5.6809999999999994E-3</v>
      </c>
      <c r="H13" s="175">
        <f t="shared" ref="H13:H18" si="22">E13+G13</f>
        <v>0.27268799999999999</v>
      </c>
      <c r="J13" s="46" t="s">
        <v>71</v>
      </c>
      <c r="K13" s="86">
        <f t="shared" ref="K13:K17" si="23">D28</f>
        <v>3671</v>
      </c>
      <c r="L13" s="87">
        <f>'EF peternakan'!$C$5</f>
        <v>47</v>
      </c>
      <c r="M13" s="43">
        <f t="shared" si="0"/>
        <v>0.172537</v>
      </c>
      <c r="N13" s="88">
        <f>'EF peternakan'!$C$15</f>
        <v>1</v>
      </c>
      <c r="O13" s="204">
        <f t="shared" si="1"/>
        <v>3.6709999999999998E-3</v>
      </c>
      <c r="P13" s="175">
        <f t="shared" ref="P13:P18" si="24">M13+O13</f>
        <v>0.176208</v>
      </c>
      <c r="R13" s="46" t="s">
        <v>71</v>
      </c>
      <c r="S13" s="86">
        <f t="shared" ref="S13:S17" si="25">E28</f>
        <v>3772</v>
      </c>
      <c r="T13" s="87">
        <f>'EF peternakan'!$C$5</f>
        <v>47</v>
      </c>
      <c r="U13" s="43">
        <f t="shared" si="2"/>
        <v>0.177284</v>
      </c>
      <c r="V13" s="88">
        <f>'EF peternakan'!$C$15</f>
        <v>1</v>
      </c>
      <c r="W13" s="204">
        <f t="shared" si="3"/>
        <v>3.7719999999999997E-3</v>
      </c>
      <c r="X13" s="175">
        <f t="shared" ref="X13:X18" si="26">U13+W13</f>
        <v>0.18105599999999999</v>
      </c>
      <c r="Z13" s="46" t="s">
        <v>71</v>
      </c>
      <c r="AA13" s="86">
        <f t="shared" ref="AA13:AA17" si="27">F28</f>
        <v>4266</v>
      </c>
      <c r="AB13" s="87">
        <f>'EF peternakan'!$C$5</f>
        <v>47</v>
      </c>
      <c r="AC13" s="43">
        <f t="shared" si="4"/>
        <v>0.20050199999999999</v>
      </c>
      <c r="AD13" s="88">
        <f>'EF peternakan'!$C$15</f>
        <v>1</v>
      </c>
      <c r="AE13" s="204">
        <f t="shared" si="5"/>
        <v>4.2659999999999998E-3</v>
      </c>
      <c r="AF13" s="175">
        <f t="shared" ref="AF13:AF18" si="28">AC13+AE13</f>
        <v>0.20476799999999998</v>
      </c>
      <c r="AH13" s="46" t="s">
        <v>71</v>
      </c>
      <c r="AI13" s="86">
        <f t="shared" ref="AI13:AI17" si="29">G28</f>
        <v>4996</v>
      </c>
      <c r="AJ13" s="87">
        <f>'EF peternakan'!$C$5</f>
        <v>47</v>
      </c>
      <c r="AK13" s="43">
        <f t="shared" si="6"/>
        <v>0.23481199999999999</v>
      </c>
      <c r="AL13" s="88">
        <f>'EF peternakan'!$C$15</f>
        <v>1</v>
      </c>
      <c r="AM13" s="204">
        <f t="shared" si="7"/>
        <v>4.9959999999999996E-3</v>
      </c>
      <c r="AN13" s="175">
        <f t="shared" ref="AN13:AN18" si="30">AK13+AM13</f>
        <v>0.23980799999999999</v>
      </c>
      <c r="AP13" s="46" t="s">
        <v>71</v>
      </c>
      <c r="AQ13" s="86">
        <f t="shared" ref="AQ13:AQ17" si="31">H28</f>
        <v>5288</v>
      </c>
      <c r="AR13" s="87">
        <f>'EF peternakan'!$C$5</f>
        <v>47</v>
      </c>
      <c r="AS13" s="43">
        <f t="shared" si="8"/>
        <v>0.24853599999999998</v>
      </c>
      <c r="AT13" s="88">
        <f>'EF peternakan'!$C$15</f>
        <v>1</v>
      </c>
      <c r="AU13" s="204">
        <f t="shared" si="9"/>
        <v>5.2880000000000002E-3</v>
      </c>
      <c r="AV13" s="175">
        <f t="shared" ref="AV13:AV18" si="32">AS13+AU13</f>
        <v>0.25382399999999999</v>
      </c>
      <c r="AX13" s="46" t="s">
        <v>71</v>
      </c>
      <c r="AY13" s="86">
        <f t="shared" ref="AY13:AY17" si="33">I28</f>
        <v>5316.7360057599999</v>
      </c>
      <c r="AZ13" s="87">
        <f>'EF peternakan'!$C$5</f>
        <v>47</v>
      </c>
      <c r="BA13" s="43">
        <f t="shared" si="10"/>
        <v>0.24988659227071999</v>
      </c>
      <c r="BB13" s="88">
        <f>'EF peternakan'!$C$15</f>
        <v>1</v>
      </c>
      <c r="BC13" s="204">
        <f t="shared" si="11"/>
        <v>5.31673600576E-3</v>
      </c>
      <c r="BD13" s="175">
        <f t="shared" ref="BD13:BD18" si="34">BA13+BC13</f>
        <v>0.25520332827648001</v>
      </c>
      <c r="BF13" s="46" t="s">
        <v>71</v>
      </c>
      <c r="BG13" s="86">
        <f t="shared" ref="BG13:BG17" si="35">J28</f>
        <v>5484.744863542016</v>
      </c>
      <c r="BH13" s="87">
        <f>'EF peternakan'!$C$5</f>
        <v>47</v>
      </c>
      <c r="BI13" s="43">
        <f t="shared" si="12"/>
        <v>0.25778300858647474</v>
      </c>
      <c r="BJ13" s="88">
        <f>'EF peternakan'!$C$15</f>
        <v>1</v>
      </c>
      <c r="BK13" s="204">
        <f t="shared" si="13"/>
        <v>5.4847448635420154E-3</v>
      </c>
      <c r="BL13" s="175">
        <f t="shared" ref="BL13:BL18" si="36">BI13+BK13</f>
        <v>0.26326775345001674</v>
      </c>
      <c r="BN13" s="46" t="s">
        <v>71</v>
      </c>
      <c r="BO13" s="86">
        <f t="shared" ref="BO13:BO17" si="37">K28</f>
        <v>5658.0628012299439</v>
      </c>
      <c r="BP13" s="87">
        <f>'EF peternakan'!$C$5</f>
        <v>47</v>
      </c>
      <c r="BQ13" s="43">
        <f t="shared" si="14"/>
        <v>0.26592895165780733</v>
      </c>
      <c r="BR13" s="88">
        <f>'EF peternakan'!$C$15</f>
        <v>1</v>
      </c>
      <c r="BS13" s="204">
        <f t="shared" si="15"/>
        <v>5.6580628012299437E-3</v>
      </c>
      <c r="BT13" s="175">
        <f t="shared" ref="BT13:BT18" si="38">BQ13+BS13</f>
        <v>0.27158701445903727</v>
      </c>
      <c r="BV13" s="46" t="s">
        <v>71</v>
      </c>
      <c r="BW13" s="86">
        <f t="shared" ref="BW13:BW17" si="39">L28</f>
        <v>5831.3807389178701</v>
      </c>
      <c r="BX13" s="87">
        <f>'EF peternakan'!$C$5</f>
        <v>47</v>
      </c>
      <c r="BY13" s="43">
        <f t="shared" si="16"/>
        <v>0.27407489472913987</v>
      </c>
      <c r="BZ13" s="88">
        <f>'EF peternakan'!$C$15</f>
        <v>1</v>
      </c>
      <c r="CA13" s="204">
        <f t="shared" si="17"/>
        <v>5.8313807389178702E-3</v>
      </c>
      <c r="CB13" s="175">
        <f t="shared" ref="CB13:CB18" si="40">BY13+CA13</f>
        <v>0.27990627546805774</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82</v>
      </c>
      <c r="D14" s="87">
        <f>'EF peternakan'!$C$7</f>
        <v>55</v>
      </c>
      <c r="E14" s="43">
        <f t="shared" si="20"/>
        <v>4.5100000000000001E-3</v>
      </c>
      <c r="F14" s="88">
        <f>'EF peternakan'!$C$17</f>
        <v>2</v>
      </c>
      <c r="G14" s="204">
        <f t="shared" si="21"/>
        <v>1.64E-4</v>
      </c>
      <c r="H14" s="175">
        <f t="shared" si="22"/>
        <v>4.6740000000000002E-3</v>
      </c>
      <c r="J14" s="46" t="s">
        <v>22</v>
      </c>
      <c r="K14" s="86">
        <f t="shared" si="23"/>
        <v>78</v>
      </c>
      <c r="L14" s="87">
        <f>'EF peternakan'!$C$7</f>
        <v>55</v>
      </c>
      <c r="M14" s="43">
        <f t="shared" si="0"/>
        <v>4.2899999999999995E-3</v>
      </c>
      <c r="N14" s="88">
        <f>'EF peternakan'!$C$17</f>
        <v>2</v>
      </c>
      <c r="O14" s="204">
        <f t="shared" si="1"/>
        <v>1.56E-4</v>
      </c>
      <c r="P14" s="175">
        <f t="shared" si="24"/>
        <v>4.4459999999999994E-3</v>
      </c>
      <c r="R14" s="46" t="s">
        <v>22</v>
      </c>
      <c r="S14" s="86">
        <f t="shared" si="25"/>
        <v>68</v>
      </c>
      <c r="T14" s="87">
        <f>'EF peternakan'!$C$7</f>
        <v>55</v>
      </c>
      <c r="U14" s="43">
        <f t="shared" si="2"/>
        <v>3.7399999999999998E-3</v>
      </c>
      <c r="V14" s="88">
        <f>'EF peternakan'!$C$17</f>
        <v>2</v>
      </c>
      <c r="W14" s="204">
        <f t="shared" si="3"/>
        <v>1.36E-4</v>
      </c>
      <c r="X14" s="175">
        <f t="shared" si="26"/>
        <v>3.8759999999999997E-3</v>
      </c>
      <c r="Z14" s="46" t="s">
        <v>22</v>
      </c>
      <c r="AA14" s="86">
        <f t="shared" si="27"/>
        <v>60</v>
      </c>
      <c r="AB14" s="87">
        <f>'EF peternakan'!$C$7</f>
        <v>55</v>
      </c>
      <c r="AC14" s="43">
        <f t="shared" si="4"/>
        <v>3.3E-3</v>
      </c>
      <c r="AD14" s="88">
        <f>'EF peternakan'!$C$17</f>
        <v>2</v>
      </c>
      <c r="AE14" s="204">
        <f t="shared" si="5"/>
        <v>1.1999999999999999E-4</v>
      </c>
      <c r="AF14" s="175">
        <f t="shared" si="28"/>
        <v>3.4199999999999999E-3</v>
      </c>
      <c r="AH14" s="46" t="s">
        <v>22</v>
      </c>
      <c r="AI14" s="86">
        <f t="shared" si="29"/>
        <v>72</v>
      </c>
      <c r="AJ14" s="87">
        <f>'EF peternakan'!$C$7</f>
        <v>55</v>
      </c>
      <c r="AK14" s="43">
        <f t="shared" si="6"/>
        <v>3.96E-3</v>
      </c>
      <c r="AL14" s="88">
        <f>'EF peternakan'!$C$17</f>
        <v>2</v>
      </c>
      <c r="AM14" s="204">
        <f t="shared" si="7"/>
        <v>1.44E-4</v>
      </c>
      <c r="AN14" s="175">
        <f t="shared" si="30"/>
        <v>4.104E-3</v>
      </c>
      <c r="AP14" s="46" t="s">
        <v>22</v>
      </c>
      <c r="AQ14" s="86">
        <f t="shared" si="31"/>
        <v>91.374200000000002</v>
      </c>
      <c r="AR14" s="87">
        <f>'EF peternakan'!$C$7</f>
        <v>55</v>
      </c>
      <c r="AS14" s="43">
        <f t="shared" si="8"/>
        <v>5.0255810000000003E-3</v>
      </c>
      <c r="AT14" s="88">
        <f>'EF peternakan'!$C$17</f>
        <v>2</v>
      </c>
      <c r="AU14" s="204">
        <f t="shared" si="9"/>
        <v>1.8274839999999999E-4</v>
      </c>
      <c r="AV14" s="175">
        <f t="shared" si="32"/>
        <v>5.2083294000000004E-3</v>
      </c>
      <c r="AX14" s="46" t="s">
        <v>22</v>
      </c>
      <c r="AY14" s="86">
        <f t="shared" si="33"/>
        <v>91.491799999999998</v>
      </c>
      <c r="AZ14" s="87">
        <f>'EF peternakan'!$C$7</f>
        <v>55</v>
      </c>
      <c r="BA14" s="43">
        <f t="shared" si="10"/>
        <v>5.0320489999999994E-3</v>
      </c>
      <c r="BB14" s="88">
        <f>'EF peternakan'!$C$17</f>
        <v>2</v>
      </c>
      <c r="BC14" s="204">
        <f t="shared" si="11"/>
        <v>1.8298359999999999E-4</v>
      </c>
      <c r="BD14" s="175">
        <f t="shared" si="34"/>
        <v>5.215032599999999E-3</v>
      </c>
      <c r="BF14" s="46" t="s">
        <v>22</v>
      </c>
      <c r="BG14" s="86">
        <f t="shared" si="35"/>
        <v>91.609399999999994</v>
      </c>
      <c r="BH14" s="87">
        <f>'EF peternakan'!$C$7</f>
        <v>55</v>
      </c>
      <c r="BI14" s="43">
        <f t="shared" si="12"/>
        <v>5.0385169999999993E-3</v>
      </c>
      <c r="BJ14" s="88">
        <f>'EF peternakan'!$C$17</f>
        <v>2</v>
      </c>
      <c r="BK14" s="204">
        <f t="shared" si="13"/>
        <v>1.8321879999999997E-4</v>
      </c>
      <c r="BL14" s="175">
        <f t="shared" si="36"/>
        <v>5.2217357999999993E-3</v>
      </c>
      <c r="BN14" s="46" t="s">
        <v>22</v>
      </c>
      <c r="BO14" s="86">
        <f t="shared" si="37"/>
        <v>91.727000000000004</v>
      </c>
      <c r="BP14" s="87">
        <f>'EF peternakan'!$C$7</f>
        <v>55</v>
      </c>
      <c r="BQ14" s="43">
        <f t="shared" si="14"/>
        <v>5.0449850000000001E-3</v>
      </c>
      <c r="BR14" s="88">
        <f>'EF peternakan'!$C$17</f>
        <v>2</v>
      </c>
      <c r="BS14" s="204">
        <f t="shared" si="15"/>
        <v>1.83454E-4</v>
      </c>
      <c r="BT14" s="175">
        <f t="shared" si="38"/>
        <v>5.2284389999999997E-3</v>
      </c>
      <c r="BV14" s="46" t="s">
        <v>22</v>
      </c>
      <c r="BW14" s="86">
        <f t="shared" si="39"/>
        <v>91.8446</v>
      </c>
      <c r="BX14" s="87">
        <f>'EF peternakan'!$C$7</f>
        <v>55</v>
      </c>
      <c r="BY14" s="43">
        <f t="shared" si="16"/>
        <v>5.051453E-3</v>
      </c>
      <c r="BZ14" s="88">
        <f>'EF peternakan'!$C$17</f>
        <v>2</v>
      </c>
      <c r="CA14" s="204">
        <f t="shared" si="17"/>
        <v>1.836892E-4</v>
      </c>
      <c r="CB14" s="175">
        <f t="shared" si="40"/>
        <v>5.2351422E-3</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268</v>
      </c>
      <c r="D15" s="87">
        <f>'EF peternakan'!$C$8</f>
        <v>5</v>
      </c>
      <c r="E15" s="43">
        <f t="shared" si="20"/>
        <v>1.34E-3</v>
      </c>
      <c r="F15" s="88">
        <f>'EF peternakan'!$C$18</f>
        <v>0.2</v>
      </c>
      <c r="G15" s="204">
        <f t="shared" si="21"/>
        <v>5.3600000000000002E-5</v>
      </c>
      <c r="H15" s="175">
        <f t="shared" si="22"/>
        <v>1.3936E-3</v>
      </c>
      <c r="J15" s="46" t="s">
        <v>65</v>
      </c>
      <c r="K15" s="86">
        <f t="shared" si="23"/>
        <v>298</v>
      </c>
      <c r="L15" s="87">
        <f>'EF peternakan'!$C$8</f>
        <v>5</v>
      </c>
      <c r="M15" s="43">
        <f t="shared" si="0"/>
        <v>1.49E-3</v>
      </c>
      <c r="N15" s="88">
        <f>'EF peternakan'!$C$18</f>
        <v>0.2</v>
      </c>
      <c r="O15" s="204">
        <f t="shared" si="1"/>
        <v>5.9599999999999999E-5</v>
      </c>
      <c r="P15" s="175">
        <f t="shared" si="24"/>
        <v>1.5495999999999999E-3</v>
      </c>
      <c r="R15" s="46" t="s">
        <v>65</v>
      </c>
      <c r="S15" s="86">
        <f t="shared" si="25"/>
        <v>88</v>
      </c>
      <c r="T15" s="87">
        <f>'EF peternakan'!$C$8</f>
        <v>5</v>
      </c>
      <c r="U15" s="43">
        <f t="shared" si="2"/>
        <v>4.3999999999999996E-4</v>
      </c>
      <c r="V15" s="88">
        <f>'EF peternakan'!$C$18</f>
        <v>0.2</v>
      </c>
      <c r="W15" s="204">
        <f t="shared" si="3"/>
        <v>1.7600000000000001E-5</v>
      </c>
      <c r="X15" s="175">
        <f t="shared" si="26"/>
        <v>4.5759999999999996E-4</v>
      </c>
      <c r="Z15" s="46" t="s">
        <v>65</v>
      </c>
      <c r="AA15" s="86">
        <f t="shared" si="27"/>
        <v>51</v>
      </c>
      <c r="AB15" s="87">
        <f>'EF peternakan'!$C$8</f>
        <v>5</v>
      </c>
      <c r="AC15" s="43">
        <f t="shared" si="4"/>
        <v>2.5499999999999996E-4</v>
      </c>
      <c r="AD15" s="88">
        <f>'EF peternakan'!$C$18</f>
        <v>0.2</v>
      </c>
      <c r="AE15" s="204">
        <f t="shared" si="5"/>
        <v>1.0200000000000001E-5</v>
      </c>
      <c r="AF15" s="175">
        <f t="shared" si="28"/>
        <v>2.6519999999999994E-4</v>
      </c>
      <c r="AH15" s="46" t="s">
        <v>65</v>
      </c>
      <c r="AI15" s="86">
        <f t="shared" si="29"/>
        <v>63</v>
      </c>
      <c r="AJ15" s="87">
        <f>'EF peternakan'!$C$8</f>
        <v>5</v>
      </c>
      <c r="AK15" s="43">
        <f t="shared" si="6"/>
        <v>3.1499999999999996E-4</v>
      </c>
      <c r="AL15" s="88">
        <f>'EF peternakan'!$C$18</f>
        <v>0.2</v>
      </c>
      <c r="AM15" s="204">
        <f t="shared" si="7"/>
        <v>1.2600000000000001E-5</v>
      </c>
      <c r="AN15" s="175">
        <f t="shared" si="30"/>
        <v>3.2759999999999994E-4</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12635</v>
      </c>
      <c r="D16" s="87">
        <f>'EF peternakan'!$C$9</f>
        <v>5</v>
      </c>
      <c r="E16" s="43">
        <f t="shared" si="20"/>
        <v>6.3174999999999995E-2</v>
      </c>
      <c r="F16" s="88">
        <f>'EF peternakan'!$C$19</f>
        <v>0.22</v>
      </c>
      <c r="G16" s="204">
        <f t="shared" si="21"/>
        <v>2.7796999999999995E-3</v>
      </c>
      <c r="H16" s="175">
        <f t="shared" si="22"/>
        <v>6.5954699999999991E-2</v>
      </c>
      <c r="J16" s="46" t="s">
        <v>23</v>
      </c>
      <c r="K16" s="86">
        <f t="shared" si="23"/>
        <v>13440</v>
      </c>
      <c r="L16" s="87">
        <f>'EF peternakan'!$C$9</f>
        <v>5</v>
      </c>
      <c r="M16" s="43">
        <f t="shared" si="0"/>
        <v>6.7199999999999996E-2</v>
      </c>
      <c r="N16" s="88">
        <f>'EF peternakan'!$C$19</f>
        <v>0.22</v>
      </c>
      <c r="O16" s="204">
        <f t="shared" si="1"/>
        <v>2.9567999999999999E-3</v>
      </c>
      <c r="P16" s="175">
        <f t="shared" si="24"/>
        <v>7.0156799999999991E-2</v>
      </c>
      <c r="R16" s="46" t="s">
        <v>23</v>
      </c>
      <c r="S16" s="86">
        <f t="shared" si="25"/>
        <v>10353</v>
      </c>
      <c r="T16" s="87">
        <f>'EF peternakan'!$C$9</f>
        <v>5</v>
      </c>
      <c r="U16" s="43">
        <f t="shared" si="2"/>
        <v>5.1764999999999999E-2</v>
      </c>
      <c r="V16" s="88">
        <f>'EF peternakan'!$C$19</f>
        <v>0.22</v>
      </c>
      <c r="W16" s="204">
        <f t="shared" si="3"/>
        <v>2.2776599999999999E-3</v>
      </c>
      <c r="X16" s="175">
        <f t="shared" si="26"/>
        <v>5.4042659999999999E-2</v>
      </c>
      <c r="Z16" s="46" t="s">
        <v>23</v>
      </c>
      <c r="AA16" s="86">
        <f t="shared" si="27"/>
        <v>9730</v>
      </c>
      <c r="AB16" s="87">
        <f>'EF peternakan'!$C$9</f>
        <v>5</v>
      </c>
      <c r="AC16" s="43">
        <f t="shared" si="4"/>
        <v>4.8649999999999999E-2</v>
      </c>
      <c r="AD16" s="88">
        <f>'EF peternakan'!$C$19</f>
        <v>0.22</v>
      </c>
      <c r="AE16" s="204">
        <f t="shared" si="5"/>
        <v>2.1405999999999999E-3</v>
      </c>
      <c r="AF16" s="175">
        <f t="shared" si="28"/>
        <v>5.0790599999999998E-2</v>
      </c>
      <c r="AH16" s="46" t="s">
        <v>23</v>
      </c>
      <c r="AI16" s="86">
        <f t="shared" si="29"/>
        <v>10371</v>
      </c>
      <c r="AJ16" s="87">
        <f>'EF peternakan'!$C$9</f>
        <v>5</v>
      </c>
      <c r="AK16" s="43">
        <f t="shared" si="6"/>
        <v>5.1854999999999998E-2</v>
      </c>
      <c r="AL16" s="88">
        <f>'EF peternakan'!$C$19</f>
        <v>0.22</v>
      </c>
      <c r="AM16" s="204">
        <f t="shared" si="7"/>
        <v>2.2816199999999998E-3</v>
      </c>
      <c r="AN16" s="175">
        <f t="shared" si="30"/>
        <v>5.4136619999999996E-2</v>
      </c>
      <c r="AP16" s="46" t="s">
        <v>23</v>
      </c>
      <c r="AQ16" s="86">
        <f t="shared" si="31"/>
        <v>14149.699999999999</v>
      </c>
      <c r="AR16" s="87">
        <f>'EF peternakan'!$C$9</f>
        <v>5</v>
      </c>
      <c r="AS16" s="43">
        <f t="shared" si="8"/>
        <v>7.0748499999999992E-2</v>
      </c>
      <c r="AT16" s="88">
        <f>'EF peternakan'!$C$19</f>
        <v>0.22</v>
      </c>
      <c r="AU16" s="204">
        <f t="shared" si="9"/>
        <v>3.1129339999999995E-3</v>
      </c>
      <c r="AV16" s="175">
        <f t="shared" si="32"/>
        <v>7.386143399999999E-2</v>
      </c>
      <c r="AX16" s="46" t="s">
        <v>23</v>
      </c>
      <c r="AY16" s="86">
        <f t="shared" si="33"/>
        <v>14438.099999999999</v>
      </c>
      <c r="AZ16" s="87">
        <f>'EF peternakan'!$C$9</f>
        <v>5</v>
      </c>
      <c r="BA16" s="43">
        <f t="shared" si="10"/>
        <v>7.2190499999999991E-2</v>
      </c>
      <c r="BB16" s="88">
        <f>'EF peternakan'!$C$19</f>
        <v>0.22</v>
      </c>
      <c r="BC16" s="204">
        <f t="shared" si="11"/>
        <v>3.1763819999999993E-3</v>
      </c>
      <c r="BD16" s="175">
        <f t="shared" si="34"/>
        <v>7.5366881999999996E-2</v>
      </c>
      <c r="BF16" s="46" t="s">
        <v>23</v>
      </c>
      <c r="BG16" s="86">
        <f t="shared" si="35"/>
        <v>14726.5</v>
      </c>
      <c r="BH16" s="87">
        <f>'EF peternakan'!$C$9</f>
        <v>5</v>
      </c>
      <c r="BI16" s="43">
        <f t="shared" si="12"/>
        <v>7.3632500000000004E-2</v>
      </c>
      <c r="BJ16" s="88">
        <f>'EF peternakan'!$C$19</f>
        <v>0.22</v>
      </c>
      <c r="BK16" s="204">
        <f t="shared" si="13"/>
        <v>3.23983E-3</v>
      </c>
      <c r="BL16" s="175">
        <f t="shared" si="36"/>
        <v>7.6872330000000003E-2</v>
      </c>
      <c r="BN16" s="46" t="s">
        <v>23</v>
      </c>
      <c r="BO16" s="86">
        <f t="shared" si="37"/>
        <v>15014.9</v>
      </c>
      <c r="BP16" s="87">
        <f>'EF peternakan'!$C$9</f>
        <v>5</v>
      </c>
      <c r="BQ16" s="43">
        <f t="shared" si="14"/>
        <v>7.5074500000000002E-2</v>
      </c>
      <c r="BR16" s="88">
        <f>'EF peternakan'!$C$19</f>
        <v>0.22</v>
      </c>
      <c r="BS16" s="204">
        <f t="shared" si="15"/>
        <v>3.3032779999999998E-3</v>
      </c>
      <c r="BT16" s="175">
        <f t="shared" si="38"/>
        <v>7.8377778000000009E-2</v>
      </c>
      <c r="BV16" s="46" t="s">
        <v>23</v>
      </c>
      <c r="BW16" s="86">
        <f t="shared" si="39"/>
        <v>15303.3</v>
      </c>
      <c r="BX16" s="87">
        <f>'EF peternakan'!$C$9</f>
        <v>5</v>
      </c>
      <c r="BY16" s="43">
        <f t="shared" si="16"/>
        <v>7.6516500000000001E-2</v>
      </c>
      <c r="BZ16" s="88">
        <f>'EF peternakan'!$C$19</f>
        <v>0.22</v>
      </c>
      <c r="CA16" s="204">
        <f t="shared" si="17"/>
        <v>3.3667259999999996E-3</v>
      </c>
      <c r="CB16" s="175">
        <f t="shared" si="40"/>
        <v>7.9883226000000002E-2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7</v>
      </c>
      <c r="D17" s="87">
        <f>'EF peternakan'!$C$11</f>
        <v>18</v>
      </c>
      <c r="E17" s="43">
        <f t="shared" si="20"/>
        <v>1.26E-4</v>
      </c>
      <c r="F17" s="88">
        <f>'EF peternakan'!$C$21</f>
        <v>2.19</v>
      </c>
      <c r="G17" s="204">
        <f t="shared" si="21"/>
        <v>1.5330000000000001E-5</v>
      </c>
      <c r="H17" s="175">
        <f t="shared" si="22"/>
        <v>1.4133E-4</v>
      </c>
      <c r="J17" s="46" t="s">
        <v>24</v>
      </c>
      <c r="K17" s="86">
        <f t="shared" si="23"/>
        <v>7</v>
      </c>
      <c r="L17" s="87">
        <f>'EF peternakan'!$C$11</f>
        <v>18</v>
      </c>
      <c r="M17" s="43">
        <f t="shared" si="0"/>
        <v>1.26E-4</v>
      </c>
      <c r="N17" s="88">
        <f>'EF peternakan'!$C$21</f>
        <v>2.19</v>
      </c>
      <c r="O17" s="204">
        <f t="shared" si="1"/>
        <v>1.5330000000000001E-5</v>
      </c>
      <c r="P17" s="175">
        <f t="shared" si="24"/>
        <v>1.4133E-4</v>
      </c>
      <c r="R17" s="46" t="s">
        <v>24</v>
      </c>
      <c r="S17" s="86">
        <f t="shared" si="25"/>
        <v>16</v>
      </c>
      <c r="T17" s="87">
        <f>'EF peternakan'!$C$11</f>
        <v>18</v>
      </c>
      <c r="U17" s="43">
        <f t="shared" si="2"/>
        <v>2.8800000000000001E-4</v>
      </c>
      <c r="V17" s="88">
        <f>'EF peternakan'!$C$21</f>
        <v>2.19</v>
      </c>
      <c r="W17" s="204">
        <f t="shared" si="3"/>
        <v>3.5039999999999997E-5</v>
      </c>
      <c r="X17" s="175">
        <f t="shared" si="26"/>
        <v>3.2304000000000002E-4</v>
      </c>
      <c r="Z17" s="46" t="s">
        <v>24</v>
      </c>
      <c r="AA17" s="86">
        <f t="shared" si="27"/>
        <v>7</v>
      </c>
      <c r="AB17" s="87">
        <f>'EF peternakan'!$C$11</f>
        <v>18</v>
      </c>
      <c r="AC17" s="43">
        <f t="shared" si="4"/>
        <v>1.26E-4</v>
      </c>
      <c r="AD17" s="88">
        <f>'EF peternakan'!$C$21</f>
        <v>2.19</v>
      </c>
      <c r="AE17" s="204">
        <f t="shared" si="5"/>
        <v>1.5330000000000001E-5</v>
      </c>
      <c r="AF17" s="175">
        <f t="shared" si="28"/>
        <v>1.4133E-4</v>
      </c>
      <c r="AH17" s="46" t="s">
        <v>24</v>
      </c>
      <c r="AI17" s="86">
        <f t="shared" si="29"/>
        <v>10</v>
      </c>
      <c r="AJ17" s="87">
        <f>'EF peternakan'!$C$11</f>
        <v>18</v>
      </c>
      <c r="AK17" s="43">
        <f t="shared" si="6"/>
        <v>1.7999999999999998E-4</v>
      </c>
      <c r="AL17" s="88">
        <f>'EF peternakan'!$C$21</f>
        <v>2.19</v>
      </c>
      <c r="AM17" s="204">
        <f t="shared" si="7"/>
        <v>2.1899999999999997E-5</v>
      </c>
      <c r="AN17" s="175">
        <f t="shared" si="30"/>
        <v>2.0189999999999997E-4</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7348</v>
      </c>
      <c r="D18" s="87">
        <f>'EF peternakan'!$C$10</f>
        <v>1</v>
      </c>
      <c r="E18" s="43">
        <f t="shared" si="20"/>
        <v>7.3479999999999995E-3</v>
      </c>
      <c r="F18" s="88">
        <f>'EF peternakan'!$C$20</f>
        <v>7</v>
      </c>
      <c r="G18" s="204">
        <f t="shared" si="21"/>
        <v>5.1435999999999996E-2</v>
      </c>
      <c r="H18" s="175">
        <f t="shared" si="22"/>
        <v>5.8783999999999996E-2</v>
      </c>
      <c r="J18" s="269" t="s">
        <v>66</v>
      </c>
      <c r="K18" s="86">
        <f>$D37</f>
        <v>7498</v>
      </c>
      <c r="L18" s="87">
        <f>'EF peternakan'!$C$10</f>
        <v>1</v>
      </c>
      <c r="M18" s="43"/>
      <c r="N18" s="88">
        <f>'EF peternakan'!$C$20</f>
        <v>7</v>
      </c>
      <c r="O18" s="204">
        <f t="shared" si="1"/>
        <v>5.2485999999999998E-2</v>
      </c>
      <c r="P18" s="175">
        <f t="shared" si="24"/>
        <v>5.2485999999999998E-2</v>
      </c>
      <c r="R18" s="269" t="s">
        <v>66</v>
      </c>
      <c r="S18" s="86">
        <f>E37</f>
        <v>7942</v>
      </c>
      <c r="T18" s="87">
        <f>'EF peternakan'!$C$10</f>
        <v>1</v>
      </c>
      <c r="U18" s="43">
        <f t="shared" si="2"/>
        <v>7.9419999999999994E-3</v>
      </c>
      <c r="V18" s="88">
        <f>'EF peternakan'!$C$20</f>
        <v>7</v>
      </c>
      <c r="W18" s="204">
        <f t="shared" si="3"/>
        <v>5.5593999999999998E-2</v>
      </c>
      <c r="X18" s="175">
        <f t="shared" si="26"/>
        <v>6.3535999999999995E-2</v>
      </c>
      <c r="Z18" s="269" t="s">
        <v>66</v>
      </c>
      <c r="AA18" s="86">
        <f>F37</f>
        <v>8071</v>
      </c>
      <c r="AB18" s="87">
        <f>'EF peternakan'!$C$10</f>
        <v>1</v>
      </c>
      <c r="AC18" s="43">
        <f t="shared" si="4"/>
        <v>8.071E-3</v>
      </c>
      <c r="AD18" s="88">
        <f>'EF peternakan'!$C$20</f>
        <v>7</v>
      </c>
      <c r="AE18" s="204">
        <f t="shared" si="5"/>
        <v>5.6496999999999999E-2</v>
      </c>
      <c r="AF18" s="175">
        <f t="shared" si="28"/>
        <v>6.4568E-2</v>
      </c>
      <c r="AH18" s="269" t="s">
        <v>66</v>
      </c>
      <c r="AI18" s="86">
        <f>G37</f>
        <v>8907</v>
      </c>
      <c r="AJ18" s="87">
        <f>'EF peternakan'!$C$10</f>
        <v>1</v>
      </c>
      <c r="AK18" s="43">
        <f t="shared" si="6"/>
        <v>8.907E-3</v>
      </c>
      <c r="AL18" s="88">
        <f>'EF peternakan'!$C$20</f>
        <v>7</v>
      </c>
      <c r="AM18" s="204">
        <f>AI18*AL18*10^-6</f>
        <v>6.2348999999999995E-2</v>
      </c>
      <c r="AN18" s="175">
        <f t="shared" si="30"/>
        <v>7.1256E-2</v>
      </c>
      <c r="AP18" s="269" t="s">
        <v>66</v>
      </c>
      <c r="AQ18" s="86">
        <f>H37</f>
        <v>8857.0499999999993</v>
      </c>
      <c r="AR18" s="87">
        <f>'EF peternakan'!$C$10</f>
        <v>1</v>
      </c>
      <c r="AS18" s="43">
        <f t="shared" si="8"/>
        <v>8.8570499999999983E-3</v>
      </c>
      <c r="AT18" s="88">
        <f>'EF peternakan'!$C$20</f>
        <v>7</v>
      </c>
      <c r="AU18" s="204">
        <f t="shared" si="9"/>
        <v>6.1999349999999988E-2</v>
      </c>
      <c r="AV18" s="175">
        <f t="shared" si="32"/>
        <v>7.0856399999999986E-2</v>
      </c>
      <c r="AX18" s="269" t="s">
        <v>66</v>
      </c>
      <c r="AY18" s="86">
        <f>I37</f>
        <v>9209</v>
      </c>
      <c r="AZ18" s="87">
        <f>'EF peternakan'!$C$10</f>
        <v>1</v>
      </c>
      <c r="BA18" s="43">
        <f t="shared" si="10"/>
        <v>9.2090000000000002E-3</v>
      </c>
      <c r="BB18" s="88">
        <f>'EF peternakan'!$C$20</f>
        <v>7</v>
      </c>
      <c r="BC18" s="204">
        <f t="shared" si="11"/>
        <v>6.4462999999999993E-2</v>
      </c>
      <c r="BD18" s="175">
        <f t="shared" si="34"/>
        <v>7.3671999999999987E-2</v>
      </c>
      <c r="BF18" s="269" t="s">
        <v>66</v>
      </c>
      <c r="BG18" s="86">
        <f>J37</f>
        <v>9560.9500000000007</v>
      </c>
      <c r="BH18" s="87">
        <f>'EF peternakan'!$C$10</f>
        <v>1</v>
      </c>
      <c r="BI18" s="43">
        <f t="shared" si="12"/>
        <v>9.5609500000000004E-3</v>
      </c>
      <c r="BJ18" s="88">
        <f>'EF peternakan'!$C$20</f>
        <v>7</v>
      </c>
      <c r="BK18" s="204">
        <f t="shared" si="13"/>
        <v>6.6926650000000004E-2</v>
      </c>
      <c r="BL18" s="175">
        <f t="shared" si="36"/>
        <v>7.6487600000000003E-2</v>
      </c>
      <c r="BN18" s="269" t="s">
        <v>461</v>
      </c>
      <c r="BO18" s="86">
        <f>K37</f>
        <v>9912.9</v>
      </c>
      <c r="BP18" s="87">
        <f>'EF peternakan'!$C$10</f>
        <v>1</v>
      </c>
      <c r="BQ18" s="43">
        <f t="shared" si="14"/>
        <v>9.9128999999999988E-3</v>
      </c>
      <c r="BR18" s="88">
        <f>'EF peternakan'!$C$20</f>
        <v>7</v>
      </c>
      <c r="BS18" s="204">
        <f t="shared" si="15"/>
        <v>6.9390300000000002E-2</v>
      </c>
      <c r="BT18" s="175">
        <f t="shared" si="38"/>
        <v>7.9303200000000004E-2</v>
      </c>
      <c r="BV18" s="269" t="s">
        <v>461</v>
      </c>
      <c r="BW18" s="86">
        <f>L37</f>
        <v>10264.85</v>
      </c>
      <c r="BX18" s="87">
        <f>'EF peternakan'!$C$10</f>
        <v>1</v>
      </c>
      <c r="BY18" s="43">
        <f t="shared" si="16"/>
        <v>1.0264850000000001E-2</v>
      </c>
      <c r="BZ18" s="88">
        <f>'EF peternakan'!$C$20</f>
        <v>7</v>
      </c>
      <c r="CA18" s="204">
        <f t="shared" si="17"/>
        <v>7.185395E-2</v>
      </c>
      <c r="CB18" s="175">
        <f t="shared" si="40"/>
        <v>8.2118800000000006E-2</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405390</v>
      </c>
      <c r="D19" s="9"/>
      <c r="E19" s="12"/>
      <c r="F19" s="88">
        <f>'EF peternakan'!$C$22</f>
        <v>0.02</v>
      </c>
      <c r="G19" s="204">
        <f t="shared" ref="G19:G22" si="44">C19*F19*10^-6</f>
        <v>8.1078000000000001E-3</v>
      </c>
      <c r="H19" s="175">
        <f t="shared" ref="H19:H22" si="45">E19+G19</f>
        <v>8.1078000000000001E-3</v>
      </c>
      <c r="J19" s="46" t="s">
        <v>67</v>
      </c>
      <c r="K19" s="44">
        <f>D33</f>
        <v>415240</v>
      </c>
      <c r="L19" s="9"/>
      <c r="M19" s="12"/>
      <c r="N19" s="88">
        <f>'EF peternakan'!$C$22</f>
        <v>0.02</v>
      </c>
      <c r="O19" s="204">
        <f t="shared" ref="O19:O22" si="46">K19*N19*10^-6</f>
        <v>8.3047999999999993E-3</v>
      </c>
      <c r="P19" s="175">
        <f t="shared" ref="P19:P22" si="47">M19+O19</f>
        <v>8.3047999999999993E-3</v>
      </c>
      <c r="R19" s="46" t="s">
        <v>67</v>
      </c>
      <c r="S19" s="44">
        <f>E33</f>
        <v>465109</v>
      </c>
      <c r="T19" s="9"/>
      <c r="U19" s="12"/>
      <c r="V19" s="88">
        <f>'EF peternakan'!$C$22</f>
        <v>0.02</v>
      </c>
      <c r="W19" s="204">
        <f t="shared" ref="W19:W22" si="48">S19*V19*10^-6</f>
        <v>9.3021800000000002E-3</v>
      </c>
      <c r="X19" s="175">
        <f t="shared" ref="X19:X22" si="49">U19+W19</f>
        <v>9.3021800000000002E-3</v>
      </c>
      <c r="Z19" s="46" t="s">
        <v>67</v>
      </c>
      <c r="AA19" s="44">
        <f>F33</f>
        <v>432502</v>
      </c>
      <c r="AB19" s="9"/>
      <c r="AC19" s="12"/>
      <c r="AD19" s="88">
        <f>'EF peternakan'!$C$22</f>
        <v>0.02</v>
      </c>
      <c r="AE19" s="204">
        <f t="shared" ref="AE19:AE22" si="50">AA19*AD19*10^-6</f>
        <v>8.6500400000000012E-3</v>
      </c>
      <c r="AF19" s="175">
        <f t="shared" ref="AF19:AF22" si="51">AC19+AE19</f>
        <v>8.6500400000000012E-3</v>
      </c>
      <c r="AH19" s="46" t="s">
        <v>67</v>
      </c>
      <c r="AI19" s="44">
        <f>G33</f>
        <v>479884</v>
      </c>
      <c r="AJ19" s="9"/>
      <c r="AK19" s="12"/>
      <c r="AL19" s="88">
        <f>'EF peternakan'!$C$22</f>
        <v>0.02</v>
      </c>
      <c r="AM19" s="204">
        <f t="shared" ref="AM19:AM22" si="52">AI19*AL19*10^-6</f>
        <v>9.5976799999999991E-3</v>
      </c>
      <c r="AN19" s="175">
        <f t="shared" ref="AN19:AN22" si="53">AK19+AM19</f>
        <v>9.5976799999999991E-3</v>
      </c>
      <c r="AP19" s="46" t="s">
        <v>67</v>
      </c>
      <c r="AQ19" s="44">
        <f>H33</f>
        <v>481120</v>
      </c>
      <c r="AR19" s="9"/>
      <c r="AS19" s="12"/>
      <c r="AT19" s="88">
        <f>'EF peternakan'!$C$22</f>
        <v>0.02</v>
      </c>
      <c r="AU19" s="204">
        <f t="shared" ref="AU19:AU21" si="54">AQ19*AT19*10^-6</f>
        <v>9.6223999999999997E-3</v>
      </c>
      <c r="AV19" s="175">
        <f t="shared" ref="AV19:AV21" si="55">AS19+AU19</f>
        <v>9.6223999999999997E-3</v>
      </c>
      <c r="AX19" s="46" t="s">
        <v>67</v>
      </c>
      <c r="AY19" s="44">
        <f>I33</f>
        <v>491494</v>
      </c>
      <c r="AZ19" s="9"/>
      <c r="BA19" s="12"/>
      <c r="BB19" s="88">
        <f>'EF peternakan'!$C$22</f>
        <v>0.02</v>
      </c>
      <c r="BC19" s="204">
        <f t="shared" ref="BC19:BC22" si="56">AY19*BB19*10^-6</f>
        <v>9.8298800000000009E-3</v>
      </c>
      <c r="BD19" s="175">
        <f t="shared" ref="BD19:BD22" si="57">BA19+BC19</f>
        <v>9.8298800000000009E-3</v>
      </c>
      <c r="BF19" s="46" t="s">
        <v>67</v>
      </c>
      <c r="BG19" s="44">
        <f>J33</f>
        <v>501868</v>
      </c>
      <c r="BH19" s="9"/>
      <c r="BI19" s="12"/>
      <c r="BJ19" s="88">
        <f>'EF peternakan'!$C$22</f>
        <v>0.02</v>
      </c>
      <c r="BK19" s="204">
        <f t="shared" ref="BK19:BK22" si="58">BG19*BJ19*10^-6</f>
        <v>1.003736E-2</v>
      </c>
      <c r="BL19" s="175">
        <f t="shared" ref="BL19:BL22" si="59">BI19+BK19</f>
        <v>1.003736E-2</v>
      </c>
      <c r="BN19" s="46" t="s">
        <v>67</v>
      </c>
      <c r="BO19" s="44">
        <f>K33</f>
        <v>512242</v>
      </c>
      <c r="BP19" s="9"/>
      <c r="BQ19" s="12"/>
      <c r="BR19" s="88">
        <f>'EF peternakan'!$C$22</f>
        <v>0.02</v>
      </c>
      <c r="BS19" s="204">
        <f t="shared" ref="BS19:BS22" si="60">BO19*BR19*10^-6</f>
        <v>1.024484E-2</v>
      </c>
      <c r="BT19" s="175">
        <f t="shared" ref="BT19:BT22" si="61">BQ19+BS19</f>
        <v>1.024484E-2</v>
      </c>
      <c r="BV19" s="46" t="s">
        <v>67</v>
      </c>
      <c r="BW19" s="44">
        <f>L33</f>
        <v>522616</v>
      </c>
      <c r="BX19" s="9"/>
      <c r="BY19" s="12"/>
      <c r="BZ19" s="88">
        <f>'EF peternakan'!$C$22</f>
        <v>0.02</v>
      </c>
      <c r="CA19" s="204">
        <f t="shared" ref="CA19:CA22" si="62">BW19*BZ19*10^-6</f>
        <v>1.0452319999999999E-2</v>
      </c>
      <c r="CB19" s="175">
        <f t="shared" ref="CB19:CB22" si="63">BY19+CA19</f>
        <v>1.0452319999999999E-2</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8640860</v>
      </c>
      <c r="D20" s="9"/>
      <c r="E20" s="12"/>
      <c r="F20" s="88">
        <f>'EF peternakan'!$C$23</f>
        <v>0.02</v>
      </c>
      <c r="G20" s="204">
        <f t="shared" si="44"/>
        <v>0.1728172</v>
      </c>
      <c r="H20" s="175">
        <f t="shared" si="45"/>
        <v>0.1728172</v>
      </c>
      <c r="J20" s="46" t="s">
        <v>68</v>
      </c>
      <c r="K20" s="44">
        <f t="shared" ref="K20:K21" si="67">D34</f>
        <v>8881634</v>
      </c>
      <c r="L20" s="9"/>
      <c r="M20" s="12"/>
      <c r="N20" s="88">
        <f>'EF peternakan'!$C$23</f>
        <v>0.02</v>
      </c>
      <c r="O20" s="204">
        <f t="shared" si="46"/>
        <v>0.17763267999999999</v>
      </c>
      <c r="P20" s="175">
        <f t="shared" si="47"/>
        <v>0.17763267999999999</v>
      </c>
      <c r="R20" s="46" t="s">
        <v>68</v>
      </c>
      <c r="S20" s="44">
        <f t="shared" ref="S20:S21" si="68">E34</f>
        <v>8118500</v>
      </c>
      <c r="T20" s="9"/>
      <c r="U20" s="12"/>
      <c r="V20" s="88">
        <f>'EF peternakan'!$C$23</f>
        <v>0.02</v>
      </c>
      <c r="W20" s="204">
        <f t="shared" si="48"/>
        <v>0.16236999999999999</v>
      </c>
      <c r="X20" s="175">
        <f t="shared" si="49"/>
        <v>0.16236999999999999</v>
      </c>
      <c r="Z20" s="46" t="s">
        <v>68</v>
      </c>
      <c r="AA20" s="44">
        <f t="shared" ref="AA20:AA21" si="69">F34</f>
        <v>11667271</v>
      </c>
      <c r="AB20" s="9"/>
      <c r="AC20" s="12"/>
      <c r="AD20" s="88">
        <f>'EF peternakan'!$C$23</f>
        <v>0.02</v>
      </c>
      <c r="AE20" s="204">
        <f t="shared" si="50"/>
        <v>0.23334542</v>
      </c>
      <c r="AF20" s="175">
        <f t="shared" si="51"/>
        <v>0.23334542</v>
      </c>
      <c r="AH20" s="46" t="s">
        <v>68</v>
      </c>
      <c r="AI20" s="44">
        <f>G34</f>
        <v>17775680</v>
      </c>
      <c r="AJ20" s="9"/>
      <c r="AK20" s="12"/>
      <c r="AL20" s="88">
        <f>'EF peternakan'!$C$23</f>
        <v>0.02</v>
      </c>
      <c r="AM20" s="204">
        <f t="shared" si="52"/>
        <v>0.35551360000000004</v>
      </c>
      <c r="AN20" s="175">
        <f t="shared" si="53"/>
        <v>0.35551360000000004</v>
      </c>
      <c r="AP20" s="46" t="s">
        <v>68</v>
      </c>
      <c r="AQ20" s="44">
        <f>H34</f>
        <v>12296069</v>
      </c>
      <c r="AR20" s="9"/>
      <c r="AS20" s="12"/>
      <c r="AT20" s="88">
        <f>'EF peternakan'!$C$23</f>
        <v>0.02</v>
      </c>
      <c r="AU20" s="204">
        <f t="shared" si="54"/>
        <v>0.24592137999999999</v>
      </c>
      <c r="AV20" s="175">
        <f t="shared" si="55"/>
        <v>0.24592137999999999</v>
      </c>
      <c r="AX20" s="46" t="s">
        <v>68</v>
      </c>
      <c r="AY20" s="44">
        <f>I34</f>
        <v>12666426</v>
      </c>
      <c r="AZ20" s="9"/>
      <c r="BA20" s="12"/>
      <c r="BB20" s="88">
        <f>'EF peternakan'!$C$23</f>
        <v>0.02</v>
      </c>
      <c r="BC20" s="204">
        <f t="shared" si="56"/>
        <v>0.25332852</v>
      </c>
      <c r="BD20" s="175">
        <f t="shared" si="57"/>
        <v>0.25332852</v>
      </c>
      <c r="BF20" s="46" t="s">
        <v>68</v>
      </c>
      <c r="BG20" s="44">
        <f>J34</f>
        <v>13036783</v>
      </c>
      <c r="BH20" s="9"/>
      <c r="BI20" s="12"/>
      <c r="BJ20" s="88">
        <f>'EF peternakan'!$C$23</f>
        <v>0.02</v>
      </c>
      <c r="BK20" s="204">
        <f t="shared" si="58"/>
        <v>0.26073565999999998</v>
      </c>
      <c r="BL20" s="175">
        <f t="shared" si="59"/>
        <v>0.26073565999999998</v>
      </c>
      <c r="BN20" s="46" t="s">
        <v>68</v>
      </c>
      <c r="BO20" s="44">
        <f>K34</f>
        <v>13407140</v>
      </c>
      <c r="BP20" s="9"/>
      <c r="BQ20" s="12"/>
      <c r="BR20" s="88">
        <f>'EF peternakan'!$C$23</f>
        <v>0.02</v>
      </c>
      <c r="BS20" s="204">
        <f t="shared" si="60"/>
        <v>0.26814279999999996</v>
      </c>
      <c r="BT20" s="175">
        <f t="shared" si="61"/>
        <v>0.26814279999999996</v>
      </c>
      <c r="BV20" s="46" t="s">
        <v>68</v>
      </c>
      <c r="BW20" s="44">
        <f>L34</f>
        <v>13777497</v>
      </c>
      <c r="BX20" s="9"/>
      <c r="BY20" s="12"/>
      <c r="BZ20" s="88">
        <f>'EF peternakan'!$C$23</f>
        <v>0.02</v>
      </c>
      <c r="CA20" s="204">
        <f t="shared" si="62"/>
        <v>0.27554993999999999</v>
      </c>
      <c r="CB20" s="175">
        <f t="shared" si="63"/>
        <v>0.27554993999999999</v>
      </c>
      <c r="CD20" s="46" t="s">
        <v>68</v>
      </c>
      <c r="CE20" s="44">
        <f>M34</f>
        <v>0</v>
      </c>
      <c r="CF20" s="9"/>
      <c r="CG20" s="12"/>
      <c r="CH20" s="88">
        <f>'EF peternakan'!$C$23</f>
        <v>0.02</v>
      </c>
      <c r="CI20" s="204">
        <f t="shared" si="64"/>
        <v>0</v>
      </c>
      <c r="CJ20" s="175">
        <f t="shared" si="65"/>
        <v>0</v>
      </c>
    </row>
    <row r="21" spans="2:88" x14ac:dyDescent="0.25">
      <c r="B21" s="46" t="s">
        <v>69</v>
      </c>
      <c r="C21" s="44">
        <f t="shared" si="66"/>
        <v>210700</v>
      </c>
      <c r="D21" s="9"/>
      <c r="E21" s="12"/>
      <c r="F21" s="88">
        <f>'EF peternakan'!$C$24</f>
        <v>0.02</v>
      </c>
      <c r="G21" s="204">
        <f t="shared" si="44"/>
        <v>4.2139999999999999E-3</v>
      </c>
      <c r="H21" s="175">
        <f t="shared" si="45"/>
        <v>4.2139999999999999E-3</v>
      </c>
      <c r="J21" s="46" t="s">
        <v>69</v>
      </c>
      <c r="K21" s="44">
        <f t="shared" si="67"/>
        <v>225036</v>
      </c>
      <c r="L21" s="9"/>
      <c r="M21" s="12"/>
      <c r="N21" s="88">
        <f>'EF peternakan'!$C$24</f>
        <v>0.02</v>
      </c>
      <c r="O21" s="204">
        <f t="shared" si="46"/>
        <v>4.5007199999999997E-3</v>
      </c>
      <c r="P21" s="175">
        <f t="shared" si="47"/>
        <v>4.5007199999999997E-3</v>
      </c>
      <c r="R21" s="46" t="s">
        <v>69</v>
      </c>
      <c r="S21" s="44">
        <f t="shared" si="68"/>
        <v>239085</v>
      </c>
      <c r="T21" s="9"/>
      <c r="U21" s="12"/>
      <c r="V21" s="88">
        <f>'EF peternakan'!$C$24</f>
        <v>0.02</v>
      </c>
      <c r="W21" s="204">
        <f t="shared" si="48"/>
        <v>4.7816999999999998E-3</v>
      </c>
      <c r="X21" s="175">
        <f t="shared" si="49"/>
        <v>4.7816999999999998E-3</v>
      </c>
      <c r="Z21" s="46" t="s">
        <v>69</v>
      </c>
      <c r="AA21" s="44">
        <f t="shared" si="69"/>
        <v>204361</v>
      </c>
      <c r="AB21" s="9"/>
      <c r="AC21" s="12"/>
      <c r="AD21" s="88">
        <f>'EF peternakan'!$C$24</f>
        <v>0.02</v>
      </c>
      <c r="AE21" s="204">
        <f t="shared" si="50"/>
        <v>4.0872199999999999E-3</v>
      </c>
      <c r="AF21" s="175">
        <f t="shared" si="51"/>
        <v>4.0872199999999999E-3</v>
      </c>
      <c r="AH21" s="46" t="s">
        <v>69</v>
      </c>
      <c r="AI21" s="44">
        <f>G35</f>
        <v>399637</v>
      </c>
      <c r="AJ21" s="9"/>
      <c r="AK21" s="12"/>
      <c r="AL21" s="88">
        <f>'EF peternakan'!$C$24</f>
        <v>0.02</v>
      </c>
      <c r="AM21" s="204">
        <f t="shared" si="52"/>
        <v>7.9927399999999999E-3</v>
      </c>
      <c r="AN21" s="175">
        <f t="shared" si="53"/>
        <v>7.9927399999999999E-3</v>
      </c>
      <c r="AP21" s="46" t="s">
        <v>69</v>
      </c>
      <c r="AQ21" s="44">
        <f>H35</f>
        <v>272866.59999999998</v>
      </c>
      <c r="AR21" s="9"/>
      <c r="AS21" s="12"/>
      <c r="AT21" s="88">
        <f>'EF peternakan'!$C$24</f>
        <v>0.02</v>
      </c>
      <c r="AU21" s="204">
        <f t="shared" si="54"/>
        <v>5.4573319999999988E-3</v>
      </c>
      <c r="AV21" s="175">
        <f t="shared" si="55"/>
        <v>5.4573319999999988E-3</v>
      </c>
      <c r="AX21" s="46" t="s">
        <v>69</v>
      </c>
      <c r="AY21" s="44">
        <f>I35</f>
        <v>278961.40000000002</v>
      </c>
      <c r="AZ21" s="9"/>
      <c r="BA21" s="12"/>
      <c r="BB21" s="88">
        <f>'EF peternakan'!$C$24</f>
        <v>0.02</v>
      </c>
      <c r="BC21" s="204">
        <f t="shared" si="56"/>
        <v>5.5792280000000003E-3</v>
      </c>
      <c r="BD21" s="175">
        <f t="shared" si="57"/>
        <v>5.5792280000000003E-3</v>
      </c>
      <c r="BF21" s="46" t="s">
        <v>69</v>
      </c>
      <c r="BG21" s="44">
        <f>J35</f>
        <v>285056.2</v>
      </c>
      <c r="BH21" s="9"/>
      <c r="BI21" s="12"/>
      <c r="BJ21" s="88">
        <f>'EF peternakan'!$C$24</f>
        <v>0.02</v>
      </c>
      <c r="BK21" s="204">
        <f t="shared" si="58"/>
        <v>5.7011240000000001E-3</v>
      </c>
      <c r="BL21" s="175">
        <f t="shared" si="59"/>
        <v>5.7011240000000001E-3</v>
      </c>
      <c r="BN21" s="46" t="s">
        <v>69</v>
      </c>
      <c r="BO21" s="44">
        <f>K35</f>
        <v>291151</v>
      </c>
      <c r="BP21" s="9"/>
      <c r="BQ21" s="12"/>
      <c r="BR21" s="88">
        <f>'EF peternakan'!$C$24</f>
        <v>0.02</v>
      </c>
      <c r="BS21" s="204">
        <f t="shared" si="60"/>
        <v>5.8230199999999999E-3</v>
      </c>
      <c r="BT21" s="175">
        <f t="shared" si="61"/>
        <v>5.8230199999999999E-3</v>
      </c>
      <c r="BV21" s="46" t="s">
        <v>69</v>
      </c>
      <c r="BW21" s="44">
        <f>L35</f>
        <v>297245.8</v>
      </c>
      <c r="BX21" s="9"/>
      <c r="BY21" s="12"/>
      <c r="BZ21" s="88">
        <f>'EF peternakan'!$C$24</f>
        <v>0.02</v>
      </c>
      <c r="CA21" s="204">
        <f t="shared" si="62"/>
        <v>5.9449159999999997E-3</v>
      </c>
      <c r="CB21" s="175">
        <f t="shared" si="63"/>
        <v>5.9449159999999997E-3</v>
      </c>
      <c r="CD21" s="46" t="s">
        <v>69</v>
      </c>
      <c r="CE21" s="44">
        <f>M35</f>
        <v>0</v>
      </c>
      <c r="CF21" s="9"/>
      <c r="CG21" s="12"/>
      <c r="CH21" s="88">
        <f>'EF peternakan'!$C$24</f>
        <v>0.02</v>
      </c>
      <c r="CI21" s="204">
        <f t="shared" si="64"/>
        <v>0</v>
      </c>
      <c r="CJ21" s="175">
        <f t="shared" si="65"/>
        <v>0</v>
      </c>
    </row>
    <row r="22" spans="2:88" x14ac:dyDescent="0.25">
      <c r="B22" s="269" t="s">
        <v>462</v>
      </c>
      <c r="C22" s="44">
        <f>C36</f>
        <v>45415</v>
      </c>
      <c r="D22" s="9"/>
      <c r="E22" s="12"/>
      <c r="F22" s="88">
        <f>'EF peternakan'!$C$25</f>
        <v>0.02</v>
      </c>
      <c r="G22" s="204">
        <f t="shared" si="44"/>
        <v>9.0830000000000001E-4</v>
      </c>
      <c r="H22" s="175">
        <f t="shared" si="45"/>
        <v>9.0830000000000001E-4</v>
      </c>
      <c r="J22" s="269" t="s">
        <v>462</v>
      </c>
      <c r="K22" s="44">
        <f>D36</f>
        <v>32800</v>
      </c>
      <c r="L22" s="9"/>
      <c r="M22" s="12"/>
      <c r="N22" s="88">
        <f>'EF peternakan'!$C$25</f>
        <v>0.02</v>
      </c>
      <c r="O22" s="204">
        <f t="shared" si="46"/>
        <v>6.5600000000000001E-4</v>
      </c>
      <c r="P22" s="175">
        <f t="shared" si="47"/>
        <v>6.5600000000000001E-4</v>
      </c>
      <c r="R22" s="269" t="s">
        <v>462</v>
      </c>
      <c r="S22" s="44">
        <f>E36</f>
        <v>34272</v>
      </c>
      <c r="T22" s="9"/>
      <c r="U22" s="12"/>
      <c r="V22" s="88">
        <f>'EF peternakan'!$C$25</f>
        <v>0.02</v>
      </c>
      <c r="W22" s="204">
        <f t="shared" si="48"/>
        <v>6.8544000000000005E-4</v>
      </c>
      <c r="X22" s="175">
        <f t="shared" si="49"/>
        <v>6.8544000000000005E-4</v>
      </c>
      <c r="Z22" s="269" t="s">
        <v>462</v>
      </c>
      <c r="AA22" s="44">
        <f>F36</f>
        <v>24423</v>
      </c>
      <c r="AB22" s="9"/>
      <c r="AC22" s="12"/>
      <c r="AD22" s="88">
        <f>'EF peternakan'!$C$25</f>
        <v>0.02</v>
      </c>
      <c r="AE22" s="204">
        <f t="shared" si="50"/>
        <v>4.8846000000000002E-4</v>
      </c>
      <c r="AF22" s="175">
        <f t="shared" si="51"/>
        <v>4.8846000000000002E-4</v>
      </c>
      <c r="AH22" s="269" t="s">
        <v>462</v>
      </c>
      <c r="AI22" s="44">
        <f>G36</f>
        <v>29905</v>
      </c>
      <c r="AJ22" s="9"/>
      <c r="AK22" s="12"/>
      <c r="AL22" s="88">
        <f>'EF peternakan'!$C$25</f>
        <v>0.02</v>
      </c>
      <c r="AM22" s="204">
        <f t="shared" si="52"/>
        <v>5.9809999999999996E-4</v>
      </c>
      <c r="AN22" s="175">
        <f t="shared" si="53"/>
        <v>5.9809999999999996E-4</v>
      </c>
      <c r="AP22" s="269" t="s">
        <v>462</v>
      </c>
      <c r="AQ22" s="44">
        <f>H36</f>
        <v>42567</v>
      </c>
      <c r="AR22" s="9"/>
      <c r="AS22" s="12"/>
      <c r="AT22" s="88">
        <f>'EF peternakan'!$C$25</f>
        <v>0.02</v>
      </c>
      <c r="AU22" s="204">
        <f t="shared" ref="AU22" si="70">AQ22*AT22*10^-6</f>
        <v>8.5134000000000002E-4</v>
      </c>
      <c r="AV22" s="175">
        <f t="shared" ref="AV22" si="71">AS22+AU22</f>
        <v>8.5134000000000002E-4</v>
      </c>
      <c r="AX22" s="269" t="s">
        <v>462</v>
      </c>
      <c r="AY22" s="44">
        <f>I36</f>
        <v>43915</v>
      </c>
      <c r="AZ22" s="9"/>
      <c r="BA22" s="12"/>
      <c r="BB22" s="88">
        <f>'EF peternakan'!$C$25</f>
        <v>0.02</v>
      </c>
      <c r="BC22" s="204">
        <f t="shared" si="56"/>
        <v>8.7830000000000004E-4</v>
      </c>
      <c r="BD22" s="175">
        <f t="shared" si="57"/>
        <v>8.7830000000000004E-4</v>
      </c>
      <c r="BF22" s="269" t="s">
        <v>462</v>
      </c>
      <c r="BG22" s="44">
        <f>J36</f>
        <v>45263</v>
      </c>
      <c r="BH22" s="9"/>
      <c r="BI22" s="12"/>
      <c r="BJ22" s="88">
        <f>'EF peternakan'!$C$25</f>
        <v>0.02</v>
      </c>
      <c r="BK22" s="204">
        <f t="shared" si="58"/>
        <v>9.0525999999999996E-4</v>
      </c>
      <c r="BL22" s="175">
        <f t="shared" si="59"/>
        <v>9.0525999999999996E-4</v>
      </c>
      <c r="BN22" s="269" t="s">
        <v>462</v>
      </c>
      <c r="BO22" s="44">
        <f>K36</f>
        <v>46611</v>
      </c>
      <c r="BP22" s="9"/>
      <c r="BQ22" s="12"/>
      <c r="BR22" s="88">
        <f>'EF peternakan'!$C$25</f>
        <v>0.02</v>
      </c>
      <c r="BS22" s="204">
        <f t="shared" si="60"/>
        <v>9.3221999999999999E-4</v>
      </c>
      <c r="BT22" s="175">
        <f t="shared" si="61"/>
        <v>9.3221999999999999E-4</v>
      </c>
      <c r="BV22" s="269" t="s">
        <v>462</v>
      </c>
      <c r="BW22" s="44">
        <f>L36</f>
        <v>47959</v>
      </c>
      <c r="BX22" s="9"/>
      <c r="BY22" s="12"/>
      <c r="BZ22" s="88">
        <f>'EF peternakan'!$C$25</f>
        <v>0.02</v>
      </c>
      <c r="CA22" s="204">
        <f t="shared" si="62"/>
        <v>9.5918000000000002E-4</v>
      </c>
      <c r="CB22" s="175">
        <f t="shared" si="63"/>
        <v>9.5918000000000002E-4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9328386</v>
      </c>
      <c r="D23" s="50"/>
      <c r="E23" s="52">
        <f>SUM(E12:E21)</f>
        <v>0.34350600000000003</v>
      </c>
      <c r="F23" s="51"/>
      <c r="G23" s="205">
        <f>SUM(G12:G22)</f>
        <v>0.24617692999999999</v>
      </c>
      <c r="H23" s="211">
        <f>SUM(H12:H22)</f>
        <v>0.58968292999999994</v>
      </c>
      <c r="J23" s="47" t="s">
        <v>76</v>
      </c>
      <c r="K23" s="45">
        <f>SUM(K12:K22)</f>
        <v>9579702</v>
      </c>
      <c r="L23" s="50"/>
      <c r="M23" s="52">
        <f>SUM(M12:M22)</f>
        <v>0.24564299999999997</v>
      </c>
      <c r="N23" s="51"/>
      <c r="O23" s="205">
        <f>SUM(O12:O22)</f>
        <v>0.25043893</v>
      </c>
      <c r="P23" s="211">
        <f>SUM(P12:P22)</f>
        <v>0.49608193</v>
      </c>
      <c r="R23" s="47" t="s">
        <v>76</v>
      </c>
      <c r="S23" s="45">
        <f>SUM(S12:S22)</f>
        <v>8879205</v>
      </c>
      <c r="T23" s="50"/>
      <c r="U23" s="52">
        <f>SUM(U12:U22)</f>
        <v>0.24145900000000001</v>
      </c>
      <c r="V23" s="51"/>
      <c r="W23" s="205">
        <f>SUM(W12:W22)</f>
        <v>0.23897162</v>
      </c>
      <c r="X23" s="211">
        <f>SUM(X12:X22)</f>
        <v>0.48043061999999997</v>
      </c>
      <c r="Z23" s="47" t="s">
        <v>76</v>
      </c>
      <c r="AA23" s="45">
        <f>SUM(AA12:AA22)</f>
        <v>12350742</v>
      </c>
      <c r="AB23" s="50"/>
      <c r="AC23" s="52">
        <f>SUM(AC12:AC22)</f>
        <v>0.26090400000000002</v>
      </c>
      <c r="AD23" s="51"/>
      <c r="AE23" s="205">
        <f>SUM(AE12:AE22)</f>
        <v>0.30962027000000003</v>
      </c>
      <c r="AF23" s="211">
        <f>SUM(AF12:AF22)</f>
        <v>0.57052426999999994</v>
      </c>
      <c r="AH23" s="47" t="s">
        <v>76</v>
      </c>
      <c r="AI23" s="45">
        <f>SUM(AI12:AI22)</f>
        <v>18709525</v>
      </c>
      <c r="AJ23" s="50"/>
      <c r="AK23" s="52">
        <f>SUM(AK12:AK22)</f>
        <v>0.30002899999999999</v>
      </c>
      <c r="AL23" s="51"/>
      <c r="AM23" s="205">
        <f>SUM(AM12:AM22)</f>
        <v>0.44350724000000002</v>
      </c>
      <c r="AN23" s="211">
        <f>SUM(AN12:AN22)</f>
        <v>0.74353624000000007</v>
      </c>
      <c r="AP23" s="47" t="s">
        <v>76</v>
      </c>
      <c r="AQ23" s="45">
        <f>SUM(AQ12:AQ22)</f>
        <v>13121008.724199999</v>
      </c>
      <c r="AR23" s="50"/>
      <c r="AS23" s="52">
        <f>SUM(AS12:AS22)</f>
        <v>0.33316713099999995</v>
      </c>
      <c r="AT23" s="51"/>
      <c r="AU23" s="205">
        <f>SUM(AU12:AU22)</f>
        <v>0.33243548439999993</v>
      </c>
      <c r="AV23" s="211">
        <f>SUM(AV12:AV22)</f>
        <v>0.66560261539999988</v>
      </c>
      <c r="AX23" s="47" t="s">
        <v>76</v>
      </c>
      <c r="AY23" s="45">
        <f>SUM(AY12:AY22)</f>
        <v>13509851.72780576</v>
      </c>
      <c r="AZ23" s="50"/>
      <c r="BA23" s="52">
        <f>SUM(BA12:BA22)</f>
        <v>0.33631814127072002</v>
      </c>
      <c r="BB23" s="51"/>
      <c r="BC23" s="205">
        <f>SUM(BC12:BC22)</f>
        <v>0.34275502960575999</v>
      </c>
      <c r="BD23" s="211">
        <f>SUM(BD12:BD22)</f>
        <v>0.67907317087648</v>
      </c>
      <c r="BF23" s="47" t="s">
        <v>76</v>
      </c>
      <c r="BG23" s="45">
        <f>SUM(BG12:BG22)</f>
        <v>13898834.004263541</v>
      </c>
      <c r="BH23" s="50"/>
      <c r="BI23" s="52">
        <f>SUM(BI12:BI22)</f>
        <v>0.34601497558647476</v>
      </c>
      <c r="BJ23" s="51"/>
      <c r="BK23" s="205">
        <f>SUM(BK12:BK22)</f>
        <v>0.35321384766354202</v>
      </c>
      <c r="BL23" s="211">
        <f>SUM(BL12:BL22)</f>
        <v>0.69922882325001667</v>
      </c>
      <c r="BN23" s="47" t="s">
        <v>76</v>
      </c>
      <c r="BO23" s="45">
        <f>SUM(BO12:BO22)</f>
        <v>14287821.58980123</v>
      </c>
      <c r="BP23" s="50"/>
      <c r="BQ23" s="52">
        <f>SUM(BQ12:BQ22)</f>
        <v>0.35596133665780733</v>
      </c>
      <c r="BR23" s="51"/>
      <c r="BS23" s="205">
        <f>SUM(BS12:BS22)</f>
        <v>0.36367797480122993</v>
      </c>
      <c r="BT23" s="211">
        <f>SUM(BT12:BT22)</f>
        <v>0.71963931145903726</v>
      </c>
      <c r="BV23" s="47" t="s">
        <v>76</v>
      </c>
      <c r="BW23" s="45">
        <f>SUM(BW12:BW22)</f>
        <v>14676809.175338918</v>
      </c>
      <c r="BX23" s="50"/>
      <c r="BY23" s="52">
        <f>SUM(BY12:BY22)</f>
        <v>0.36590769772913984</v>
      </c>
      <c r="BZ23" s="51"/>
      <c r="CA23" s="205">
        <f>SUM(CA12:CA22)</f>
        <v>0.37414210193891789</v>
      </c>
      <c r="CB23" s="211">
        <f>SUM(CB12:CB22)</f>
        <v>0.74004979966805773</v>
      </c>
      <c r="CD23" s="47" t="s">
        <v>76</v>
      </c>
      <c r="CE23" s="45">
        <f>SUM(CE12:CE22)</f>
        <v>0</v>
      </c>
      <c r="CF23" s="50"/>
      <c r="CG23" s="52">
        <f>SUM(CG12:CG22)</f>
        <v>0</v>
      </c>
      <c r="CH23" s="51"/>
      <c r="CI23" s="205">
        <f>SUM(CI12:CI22)</f>
        <v>0</v>
      </c>
      <c r="CJ23" s="211">
        <f>SUM(CJ12:CJ22)</f>
        <v>0</v>
      </c>
    </row>
    <row r="25" spans="2:88" x14ac:dyDescent="0.25">
      <c r="B25" s="227"/>
      <c r="C25" s="417" t="s">
        <v>519</v>
      </c>
      <c r="D25" s="418"/>
      <c r="E25" s="418"/>
      <c r="F25" s="418"/>
      <c r="G25" s="418"/>
      <c r="H25" s="418"/>
      <c r="I25" s="418"/>
      <c r="J25" s="418"/>
      <c r="K25" s="418"/>
      <c r="L25" s="418"/>
      <c r="M25" s="419"/>
    </row>
    <row r="26" spans="2:88" x14ac:dyDescent="0.25">
      <c r="B26" s="228" t="s">
        <v>12</v>
      </c>
      <c r="C26" s="261">
        <v>2011</v>
      </c>
      <c r="D26" s="262">
        <v>2012</v>
      </c>
      <c r="E26" s="261">
        <v>2013</v>
      </c>
      <c r="F26" s="262">
        <v>2014</v>
      </c>
      <c r="G26" s="262">
        <v>2015</v>
      </c>
      <c r="H26" s="261">
        <v>2016</v>
      </c>
      <c r="I26" s="262">
        <v>2017</v>
      </c>
      <c r="J26" s="262">
        <v>2018</v>
      </c>
      <c r="K26" s="261">
        <v>2019</v>
      </c>
      <c r="L26" s="262">
        <v>2020</v>
      </c>
      <c r="M26" s="262">
        <v>2021</v>
      </c>
    </row>
    <row r="27" spans="2:88" x14ac:dyDescent="0.25">
      <c r="B27" s="56" t="s">
        <v>64</v>
      </c>
      <c r="C27" s="404">
        <f>[1]Samarinda!$O$16</f>
        <v>0</v>
      </c>
      <c r="D27" s="404">
        <f>[1]Samarinda!$O$17</f>
        <v>0</v>
      </c>
      <c r="E27" s="404">
        <f>[1]Samarinda!$O$18</f>
        <v>0</v>
      </c>
      <c r="F27" s="404">
        <f>[1]Samarinda!$O$19</f>
        <v>0</v>
      </c>
      <c r="G27" s="404">
        <f>[1]Samarinda!$O$20</f>
        <v>0</v>
      </c>
      <c r="H27" s="404">
        <f>[1]Samarinda!$O$21</f>
        <v>0</v>
      </c>
      <c r="I27" s="404">
        <f>[1]Samarinda!$O$22</f>
        <v>0</v>
      </c>
      <c r="J27" s="404">
        <f>[1]Samarinda!$O$23</f>
        <v>0</v>
      </c>
      <c r="K27" s="404">
        <f>[1]Samarinda!$O$24</f>
        <v>0</v>
      </c>
      <c r="L27" s="404">
        <f>[1]Samarinda!$O$25</f>
        <v>0</v>
      </c>
      <c r="M27" s="230"/>
    </row>
    <row r="28" spans="2:88" x14ac:dyDescent="0.25">
      <c r="B28" s="56" t="s">
        <v>71</v>
      </c>
      <c r="C28" s="404">
        <f>[1]Samarinda!$N$16</f>
        <v>5681</v>
      </c>
      <c r="D28" s="404">
        <f>[1]Samarinda!$N$17</f>
        <v>3671</v>
      </c>
      <c r="E28" s="404">
        <f>[1]Samarinda!$N$18</f>
        <v>3772</v>
      </c>
      <c r="F28" s="404">
        <f>[1]Samarinda!$N$19</f>
        <v>4266</v>
      </c>
      <c r="G28" s="404">
        <f>[1]Samarinda!$N$20</f>
        <v>4996</v>
      </c>
      <c r="H28" s="404">
        <f>[1]Samarinda!$N$21</f>
        <v>5288</v>
      </c>
      <c r="I28" s="404">
        <f>[1]Samarinda!$N$22</f>
        <v>5316.7360057599999</v>
      </c>
      <c r="J28" s="404">
        <f>[1]Samarinda!$N$23</f>
        <v>5484.744863542016</v>
      </c>
      <c r="K28" s="404">
        <f>[1]Samarinda!$N$24</f>
        <v>5658.0628012299439</v>
      </c>
      <c r="L28" s="404">
        <f>[1]Samarinda!$N$25</f>
        <v>5831.3807389178701</v>
      </c>
      <c r="M28" s="230"/>
      <c r="N28" s="230"/>
    </row>
    <row r="29" spans="2:88" x14ac:dyDescent="0.25">
      <c r="B29" s="56" t="s">
        <v>22</v>
      </c>
      <c r="C29" s="404">
        <f>[1]Samarinda!$P$16</f>
        <v>82</v>
      </c>
      <c r="D29" s="404">
        <f>[1]Samarinda!$P$17</f>
        <v>78</v>
      </c>
      <c r="E29" s="404">
        <f>[1]Samarinda!$P$18</f>
        <v>68</v>
      </c>
      <c r="F29" s="404">
        <f>[1]Samarinda!$P$19</f>
        <v>60</v>
      </c>
      <c r="G29" s="404">
        <f>[1]Samarinda!$P$20</f>
        <v>72</v>
      </c>
      <c r="H29" s="404">
        <f>[1]Samarinda!$P$21</f>
        <v>91.374200000000002</v>
      </c>
      <c r="I29" s="404">
        <f>[1]Samarinda!$P$22</f>
        <v>91.491799999999998</v>
      </c>
      <c r="J29" s="404">
        <f>[1]Samarinda!$P$23</f>
        <v>91.609399999999994</v>
      </c>
      <c r="K29" s="404">
        <f>[1]Samarinda!$P$24</f>
        <v>91.727000000000004</v>
      </c>
      <c r="L29" s="404">
        <f>[1]Samarinda!$P$25</f>
        <v>91.8446</v>
      </c>
      <c r="M29" s="230"/>
    </row>
    <row r="30" spans="2:88" x14ac:dyDescent="0.25">
      <c r="B30" s="56" t="s">
        <v>65</v>
      </c>
      <c r="C30" s="404">
        <f>[1]Samarinda!$R$16</f>
        <v>268</v>
      </c>
      <c r="D30" s="404">
        <f>[1]Samarinda!$R$17</f>
        <v>298</v>
      </c>
      <c r="E30" s="404">
        <f>[1]Samarinda!$R$18</f>
        <v>88</v>
      </c>
      <c r="F30" s="404">
        <f>[1]Samarinda!$R$19</f>
        <v>51</v>
      </c>
      <c r="G30" s="404">
        <f>[1]Samarinda!$R$20</f>
        <v>63</v>
      </c>
      <c r="H30" s="404">
        <f>[1]Samarinda!$R$21</f>
        <v>0</v>
      </c>
      <c r="I30" s="404">
        <f>[1]Samarinda!$R$22</f>
        <v>0</v>
      </c>
      <c r="J30" s="404">
        <f>[1]Samarinda!$R$23</f>
        <v>0</v>
      </c>
      <c r="K30" s="404">
        <f>[1]Samarinda!$R$24</f>
        <v>0</v>
      </c>
      <c r="L30" s="404">
        <f>[1]Samarinda!$R$25</f>
        <v>0</v>
      </c>
      <c r="M30" s="226"/>
    </row>
    <row r="31" spans="2:88" x14ac:dyDescent="0.25">
      <c r="B31" s="56" t="s">
        <v>23</v>
      </c>
      <c r="C31" s="404">
        <f>[1]Samarinda!$Q$16</f>
        <v>12635</v>
      </c>
      <c r="D31" s="404">
        <f>[1]Samarinda!$Q$17</f>
        <v>13440</v>
      </c>
      <c r="E31" s="404">
        <f>[1]Samarinda!$Q$18</f>
        <v>10353</v>
      </c>
      <c r="F31" s="404">
        <f>[1]Samarinda!$Q$19</f>
        <v>9730</v>
      </c>
      <c r="G31" s="404">
        <f>[1]Samarinda!$Q$20</f>
        <v>10371</v>
      </c>
      <c r="H31" s="404">
        <f>[1]Samarinda!$Q$21</f>
        <v>14149.699999999999</v>
      </c>
      <c r="I31" s="404">
        <f>[1]Samarinda!$Q$22</f>
        <v>14438.099999999999</v>
      </c>
      <c r="J31" s="404">
        <f>[1]Samarinda!$Q$23</f>
        <v>14726.5</v>
      </c>
      <c r="K31" s="404">
        <f>[1]Samarinda!$Q$24</f>
        <v>15014.9</v>
      </c>
      <c r="L31" s="404">
        <f>[1]Samarinda!$Q$25</f>
        <v>15303.3</v>
      </c>
      <c r="M31" s="230"/>
    </row>
    <row r="32" spans="2:88" x14ac:dyDescent="0.25">
      <c r="B32" s="56" t="s">
        <v>24</v>
      </c>
      <c r="C32" s="404">
        <f>[1]Samarinda!$T$16</f>
        <v>7</v>
      </c>
      <c r="D32" s="404">
        <f>[1]Samarinda!$T$17</f>
        <v>7</v>
      </c>
      <c r="E32" s="404">
        <f>[1]Samarinda!$T$18</f>
        <v>16</v>
      </c>
      <c r="F32" s="404">
        <f>[1]Samarinda!$T$19</f>
        <v>7</v>
      </c>
      <c r="G32" s="404">
        <f>[1]Samarinda!$T$20</f>
        <v>10</v>
      </c>
      <c r="H32" s="404">
        <f>[1]Samarinda!$T$21</f>
        <v>0</v>
      </c>
      <c r="I32" s="404">
        <f>[1]Samarinda!$T$22</f>
        <v>0</v>
      </c>
      <c r="J32" s="404">
        <f>[1]Samarinda!$T$23</f>
        <v>0</v>
      </c>
      <c r="K32" s="404">
        <f>[1]Samarinda!$T$24</f>
        <v>0</v>
      </c>
      <c r="L32" s="404">
        <f>[1]Samarinda!$T$25</f>
        <v>0</v>
      </c>
      <c r="M32" s="230"/>
    </row>
    <row r="33" spans="2:13" x14ac:dyDescent="0.25">
      <c r="B33" s="56" t="s">
        <v>72</v>
      </c>
      <c r="C33" s="404">
        <f>[1]Samarinda!$U$16</f>
        <v>405390</v>
      </c>
      <c r="D33" s="404">
        <f>[1]Samarinda!$U$17</f>
        <v>415240</v>
      </c>
      <c r="E33" s="404">
        <f>[1]Samarinda!$U$18</f>
        <v>465109</v>
      </c>
      <c r="F33" s="404">
        <f>[1]Samarinda!$U$19</f>
        <v>432502</v>
      </c>
      <c r="G33" s="404">
        <f>[1]Samarinda!$U$20</f>
        <v>479884</v>
      </c>
      <c r="H33" s="404">
        <f>[1]Samarinda!$U$21</f>
        <v>481120</v>
      </c>
      <c r="I33" s="404">
        <f>[1]Samarinda!$U$22</f>
        <v>491494</v>
      </c>
      <c r="J33" s="404">
        <f>[1]Samarinda!$U$23</f>
        <v>501868</v>
      </c>
      <c r="K33" s="404">
        <f>[1]Samarinda!$U$24</f>
        <v>512242</v>
      </c>
      <c r="L33" s="404">
        <f>[1]Samarinda!$U$25</f>
        <v>522616</v>
      </c>
      <c r="M33" s="230"/>
    </row>
    <row r="34" spans="2:13" x14ac:dyDescent="0.25">
      <c r="B34" s="56" t="s">
        <v>73</v>
      </c>
      <c r="C34" s="404">
        <f>[1]Samarinda!$V$16</f>
        <v>8640860</v>
      </c>
      <c r="D34" s="404">
        <f>[1]Samarinda!$V$17</f>
        <v>8881634</v>
      </c>
      <c r="E34" s="404">
        <f>[1]Samarinda!$V$18</f>
        <v>8118500</v>
      </c>
      <c r="F34" s="404">
        <f>[1]Samarinda!$V$19</f>
        <v>11667271</v>
      </c>
      <c r="G34" s="404">
        <f>[1]Samarinda!$V$20</f>
        <v>17775680</v>
      </c>
      <c r="H34" s="404">
        <f>[1]Samarinda!$V$21</f>
        <v>12296069</v>
      </c>
      <c r="I34" s="404">
        <f>[1]Samarinda!$V$22</f>
        <v>12666426</v>
      </c>
      <c r="J34" s="404">
        <f>[1]Samarinda!$V$23</f>
        <v>13036783</v>
      </c>
      <c r="K34" s="404">
        <f>[1]Samarinda!$V$24</f>
        <v>13407140</v>
      </c>
      <c r="L34" s="404">
        <f>[1]Samarinda!$V$25</f>
        <v>13777497</v>
      </c>
      <c r="M34" s="230"/>
    </row>
    <row r="35" spans="2:13" x14ac:dyDescent="0.25">
      <c r="B35" s="56" t="s">
        <v>74</v>
      </c>
      <c r="C35" s="404">
        <f>[1]Samarinda!$W$16</f>
        <v>210700</v>
      </c>
      <c r="D35" s="404">
        <f>[1]Samarinda!$W$17</f>
        <v>225036</v>
      </c>
      <c r="E35" s="404">
        <f>[1]Samarinda!$W$18</f>
        <v>239085</v>
      </c>
      <c r="F35" s="404">
        <f>[1]Samarinda!$W$19</f>
        <v>204361</v>
      </c>
      <c r="G35" s="404">
        <f>[1]Samarinda!$W$20</f>
        <v>399637</v>
      </c>
      <c r="H35" s="404">
        <f>[1]Samarinda!$W$21</f>
        <v>272866.59999999998</v>
      </c>
      <c r="I35" s="404">
        <f>[1]Samarinda!$W$22</f>
        <v>278961.40000000002</v>
      </c>
      <c r="J35" s="404">
        <f>[1]Samarinda!$W$23</f>
        <v>285056.2</v>
      </c>
      <c r="K35" s="404">
        <f>[1]Samarinda!$W$24</f>
        <v>291151</v>
      </c>
      <c r="L35" s="404">
        <f>[1]Samarinda!$W$25</f>
        <v>297245.8</v>
      </c>
      <c r="M35" s="226"/>
    </row>
    <row r="36" spans="2:13" x14ac:dyDescent="0.25">
      <c r="B36" s="56" t="s">
        <v>75</v>
      </c>
      <c r="C36" s="404">
        <f>[1]Samarinda!$X$16</f>
        <v>45415</v>
      </c>
      <c r="D36" s="404">
        <f>[1]Samarinda!$X$17</f>
        <v>32800</v>
      </c>
      <c r="E36" s="404">
        <f>[1]Samarinda!$X$18</f>
        <v>34272</v>
      </c>
      <c r="F36" s="404">
        <f>[1]Samarinda!$X$19</f>
        <v>24423</v>
      </c>
      <c r="G36" s="404">
        <f>[1]Samarinda!$X$20</f>
        <v>29905</v>
      </c>
      <c r="H36" s="404">
        <f>[1]Samarinda!$X$21</f>
        <v>42567</v>
      </c>
      <c r="I36" s="404">
        <f>[1]Samarinda!$X$22</f>
        <v>43915</v>
      </c>
      <c r="J36" s="404">
        <f>[1]Samarinda!$X$23</f>
        <v>45263</v>
      </c>
      <c r="K36" s="404">
        <f>[1]Samarinda!$X$24</f>
        <v>46611</v>
      </c>
      <c r="L36" s="404">
        <f>[1]Samarinda!$X$25</f>
        <v>47959</v>
      </c>
      <c r="M36" s="226"/>
    </row>
    <row r="37" spans="2:13" x14ac:dyDescent="0.25">
      <c r="B37" s="271" t="s">
        <v>66</v>
      </c>
      <c r="C37" s="405">
        <f>[1]Samarinda!$S$16</f>
        <v>7348</v>
      </c>
      <c r="D37" s="405">
        <f>[1]Samarinda!$S$17</f>
        <v>7498</v>
      </c>
      <c r="E37" s="405">
        <f>[1]Samarinda!$S$18</f>
        <v>7942</v>
      </c>
      <c r="F37" s="405">
        <f>[1]Samarinda!$S$19</f>
        <v>8071</v>
      </c>
      <c r="G37" s="405">
        <f>[1]Samarinda!$S$20</f>
        <v>8907</v>
      </c>
      <c r="H37" s="405">
        <f>[1]Samarinda!$S$21</f>
        <v>8857.0499999999993</v>
      </c>
      <c r="I37" s="405">
        <f>[1]Samarinda!$S$22</f>
        <v>9209</v>
      </c>
      <c r="J37" s="405">
        <f>[1]Samarinda!$S$23</f>
        <v>9560.9500000000007</v>
      </c>
      <c r="K37" s="405">
        <f>[1]Samarinda!$S$24</f>
        <v>9912.9</v>
      </c>
      <c r="L37" s="405">
        <f>[1]Samarinda!$S$25</f>
        <v>10264.85</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Y5" activePane="bottomRight" state="frozen"/>
      <selection pane="topRight" activeCell="C1" sqref="C1"/>
      <selection pane="bottomLeft" activeCell="A2" sqref="A2"/>
      <selection pane="bottomRight" activeCell="JY11" sqref="JY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2" t="s">
        <v>102</v>
      </c>
      <c r="C5" s="302" t="s">
        <v>3</v>
      </c>
      <c r="D5" s="303" t="s">
        <v>89</v>
      </c>
      <c r="E5" s="427" t="s">
        <v>98</v>
      </c>
      <c r="F5" s="428"/>
      <c r="G5" s="430"/>
      <c r="H5" s="427" t="s">
        <v>89</v>
      </c>
      <c r="I5" s="428"/>
      <c r="J5" s="428"/>
      <c r="K5" s="429"/>
      <c r="S5" s="422" t="s">
        <v>102</v>
      </c>
      <c r="T5" s="302" t="s">
        <v>3</v>
      </c>
      <c r="U5" s="303" t="s">
        <v>89</v>
      </c>
      <c r="V5" s="427" t="s">
        <v>145</v>
      </c>
      <c r="W5" s="428"/>
      <c r="X5" s="427" t="s">
        <v>146</v>
      </c>
      <c r="Y5" s="429"/>
      <c r="AB5" s="422" t="s">
        <v>102</v>
      </c>
      <c r="AC5" s="302" t="s">
        <v>3</v>
      </c>
      <c r="AD5" s="303" t="s">
        <v>89</v>
      </c>
      <c r="AE5" s="427" t="s">
        <v>98</v>
      </c>
      <c r="AF5" s="428"/>
      <c r="AG5" s="430"/>
      <c r="AH5" s="427" t="s">
        <v>89</v>
      </c>
      <c r="AI5" s="428"/>
      <c r="AJ5" s="428"/>
      <c r="AK5" s="429"/>
      <c r="AS5" s="422" t="s">
        <v>102</v>
      </c>
      <c r="AT5" s="302" t="s">
        <v>3</v>
      </c>
      <c r="AU5" s="303" t="s">
        <v>89</v>
      </c>
      <c r="AV5" s="427" t="s">
        <v>145</v>
      </c>
      <c r="AW5" s="428"/>
      <c r="AX5" s="427" t="s">
        <v>146</v>
      </c>
      <c r="AY5" s="429"/>
      <c r="BB5" s="422" t="s">
        <v>102</v>
      </c>
      <c r="BC5" s="302" t="s">
        <v>3</v>
      </c>
      <c r="BD5" s="303" t="s">
        <v>89</v>
      </c>
      <c r="BE5" s="427" t="s">
        <v>98</v>
      </c>
      <c r="BF5" s="428"/>
      <c r="BG5" s="430"/>
      <c r="BH5" s="427" t="s">
        <v>89</v>
      </c>
      <c r="BI5" s="428"/>
      <c r="BJ5" s="428"/>
      <c r="BK5" s="429"/>
      <c r="BS5" s="422" t="s">
        <v>102</v>
      </c>
      <c r="BT5" s="302" t="s">
        <v>3</v>
      </c>
      <c r="BU5" s="303" t="s">
        <v>89</v>
      </c>
      <c r="BV5" s="427" t="s">
        <v>145</v>
      </c>
      <c r="BW5" s="428"/>
      <c r="BX5" s="427" t="s">
        <v>146</v>
      </c>
      <c r="BY5" s="429"/>
      <c r="CB5" s="422" t="s">
        <v>102</v>
      </c>
      <c r="CC5" s="302" t="s">
        <v>3</v>
      </c>
      <c r="CD5" s="303" t="s">
        <v>89</v>
      </c>
      <c r="CE5" s="427" t="s">
        <v>98</v>
      </c>
      <c r="CF5" s="428"/>
      <c r="CG5" s="430"/>
      <c r="CH5" s="427" t="s">
        <v>89</v>
      </c>
      <c r="CI5" s="428"/>
      <c r="CJ5" s="428"/>
      <c r="CK5" s="429"/>
      <c r="CS5" s="422" t="s">
        <v>102</v>
      </c>
      <c r="CT5" s="302" t="s">
        <v>3</v>
      </c>
      <c r="CU5" s="303" t="s">
        <v>89</v>
      </c>
      <c r="CV5" s="427" t="s">
        <v>145</v>
      </c>
      <c r="CW5" s="428"/>
      <c r="CX5" s="427" t="s">
        <v>146</v>
      </c>
      <c r="CY5" s="429"/>
      <c r="DB5" s="422" t="s">
        <v>102</v>
      </c>
      <c r="DC5" s="302" t="s">
        <v>3</v>
      </c>
      <c r="DD5" s="303" t="s">
        <v>89</v>
      </c>
      <c r="DE5" s="427" t="s">
        <v>98</v>
      </c>
      <c r="DF5" s="428"/>
      <c r="DG5" s="430"/>
      <c r="DH5" s="427" t="s">
        <v>89</v>
      </c>
      <c r="DI5" s="428"/>
      <c r="DJ5" s="428"/>
      <c r="DK5" s="429"/>
      <c r="DS5" s="422" t="s">
        <v>102</v>
      </c>
      <c r="DT5" s="302" t="s">
        <v>3</v>
      </c>
      <c r="DU5" s="303" t="s">
        <v>89</v>
      </c>
      <c r="DV5" s="427" t="s">
        <v>145</v>
      </c>
      <c r="DW5" s="428"/>
      <c r="DX5" s="427" t="s">
        <v>146</v>
      </c>
      <c r="DY5" s="429"/>
      <c r="EB5" s="422" t="s">
        <v>102</v>
      </c>
      <c r="EC5" s="302" t="s">
        <v>3</v>
      </c>
      <c r="ED5" s="303" t="s">
        <v>89</v>
      </c>
      <c r="EE5" s="427" t="s">
        <v>98</v>
      </c>
      <c r="EF5" s="428"/>
      <c r="EG5" s="430"/>
      <c r="EH5" s="427" t="s">
        <v>89</v>
      </c>
      <c r="EI5" s="428"/>
      <c r="EJ5" s="428"/>
      <c r="EK5" s="429"/>
      <c r="ES5" s="422" t="s">
        <v>102</v>
      </c>
      <c r="ET5" s="302" t="s">
        <v>3</v>
      </c>
      <c r="EU5" s="303" t="s">
        <v>89</v>
      </c>
      <c r="EV5" s="427" t="s">
        <v>145</v>
      </c>
      <c r="EW5" s="428"/>
      <c r="EX5" s="427" t="s">
        <v>146</v>
      </c>
      <c r="EY5" s="429"/>
      <c r="FB5" s="422" t="s">
        <v>102</v>
      </c>
      <c r="FC5" s="302" t="s">
        <v>3</v>
      </c>
      <c r="FD5" s="303" t="s">
        <v>89</v>
      </c>
      <c r="FE5" s="427" t="s">
        <v>98</v>
      </c>
      <c r="FF5" s="428"/>
      <c r="FG5" s="430"/>
      <c r="FH5" s="427" t="s">
        <v>89</v>
      </c>
      <c r="FI5" s="428"/>
      <c r="FJ5" s="428"/>
      <c r="FK5" s="429"/>
      <c r="FS5" s="422" t="s">
        <v>102</v>
      </c>
      <c r="FT5" s="302" t="s">
        <v>3</v>
      </c>
      <c r="FU5" s="303" t="s">
        <v>89</v>
      </c>
      <c r="FV5" s="427" t="s">
        <v>145</v>
      </c>
      <c r="FW5" s="428"/>
      <c r="FX5" s="427" t="s">
        <v>146</v>
      </c>
      <c r="FY5" s="429"/>
      <c r="GB5" s="422" t="s">
        <v>102</v>
      </c>
      <c r="GC5" s="302" t="s">
        <v>3</v>
      </c>
      <c r="GD5" s="303" t="s">
        <v>89</v>
      </c>
      <c r="GE5" s="427" t="s">
        <v>98</v>
      </c>
      <c r="GF5" s="428"/>
      <c r="GG5" s="430"/>
      <c r="GH5" s="427" t="s">
        <v>89</v>
      </c>
      <c r="GI5" s="428"/>
      <c r="GJ5" s="428"/>
      <c r="GK5" s="429"/>
      <c r="GS5" s="422" t="s">
        <v>102</v>
      </c>
      <c r="GT5" s="302" t="s">
        <v>3</v>
      </c>
      <c r="GU5" s="303" t="s">
        <v>89</v>
      </c>
      <c r="GV5" s="427" t="s">
        <v>145</v>
      </c>
      <c r="GW5" s="428"/>
      <c r="GX5" s="427" t="s">
        <v>146</v>
      </c>
      <c r="GY5" s="429"/>
      <c r="HB5" s="422" t="s">
        <v>102</v>
      </c>
      <c r="HC5" s="302" t="s">
        <v>3</v>
      </c>
      <c r="HD5" s="303" t="s">
        <v>89</v>
      </c>
      <c r="HE5" s="427" t="s">
        <v>98</v>
      </c>
      <c r="HF5" s="428"/>
      <c r="HG5" s="430"/>
      <c r="HH5" s="427" t="s">
        <v>89</v>
      </c>
      <c r="HI5" s="428"/>
      <c r="HJ5" s="428"/>
      <c r="HK5" s="429"/>
      <c r="HS5" s="422" t="s">
        <v>102</v>
      </c>
      <c r="HT5" s="302" t="s">
        <v>3</v>
      </c>
      <c r="HU5" s="303" t="s">
        <v>89</v>
      </c>
      <c r="HV5" s="427" t="s">
        <v>145</v>
      </c>
      <c r="HW5" s="428"/>
      <c r="HX5" s="427" t="s">
        <v>146</v>
      </c>
      <c r="HY5" s="429"/>
      <c r="IB5" s="422" t="s">
        <v>102</v>
      </c>
      <c r="IC5" s="302" t="s">
        <v>3</v>
      </c>
      <c r="ID5" s="303" t="s">
        <v>89</v>
      </c>
      <c r="IE5" s="427" t="s">
        <v>98</v>
      </c>
      <c r="IF5" s="428"/>
      <c r="IG5" s="430"/>
      <c r="IH5" s="427" t="s">
        <v>89</v>
      </c>
      <c r="II5" s="428"/>
      <c r="IJ5" s="428"/>
      <c r="IK5" s="429"/>
      <c r="IS5" s="422" t="s">
        <v>102</v>
      </c>
      <c r="IT5" s="302" t="s">
        <v>3</v>
      </c>
      <c r="IU5" s="303" t="s">
        <v>89</v>
      </c>
      <c r="IV5" s="427" t="s">
        <v>145</v>
      </c>
      <c r="IW5" s="428"/>
      <c r="IX5" s="427" t="s">
        <v>146</v>
      </c>
      <c r="IY5" s="429"/>
      <c r="JB5" s="422" t="s">
        <v>102</v>
      </c>
      <c r="JC5" s="302" t="s">
        <v>3</v>
      </c>
      <c r="JD5" s="303" t="s">
        <v>89</v>
      </c>
      <c r="JE5" s="427" t="s">
        <v>98</v>
      </c>
      <c r="JF5" s="428"/>
      <c r="JG5" s="430"/>
      <c r="JH5" s="427" t="s">
        <v>89</v>
      </c>
      <c r="JI5" s="428"/>
      <c r="JJ5" s="428"/>
      <c r="JK5" s="429"/>
      <c r="JS5" s="422" t="s">
        <v>102</v>
      </c>
      <c r="JT5" s="302" t="s">
        <v>3</v>
      </c>
      <c r="JU5" s="303" t="s">
        <v>89</v>
      </c>
      <c r="JV5" s="427" t="s">
        <v>145</v>
      </c>
      <c r="JW5" s="428"/>
      <c r="JX5" s="427" t="s">
        <v>146</v>
      </c>
      <c r="JY5" s="429"/>
    </row>
    <row r="6" spans="1:285" s="253" customFormat="1" ht="93" x14ac:dyDescent="0.25">
      <c r="B6" s="423"/>
      <c r="C6" s="426" t="s">
        <v>12</v>
      </c>
      <c r="D6" s="25" t="s">
        <v>5</v>
      </c>
      <c r="E6" s="25" t="s">
        <v>88</v>
      </c>
      <c r="F6" s="25" t="s">
        <v>93</v>
      </c>
      <c r="G6" s="25" t="s">
        <v>96</v>
      </c>
      <c r="H6" s="426" t="s">
        <v>349</v>
      </c>
      <c r="I6" s="203" t="s">
        <v>110</v>
      </c>
      <c r="J6" s="294" t="s">
        <v>106</v>
      </c>
      <c r="K6" s="21" t="s">
        <v>133</v>
      </c>
      <c r="S6" s="423"/>
      <c r="T6" s="431" t="s">
        <v>12</v>
      </c>
      <c r="U6" s="25" t="s">
        <v>121</v>
      </c>
      <c r="V6" s="426" t="s">
        <v>130</v>
      </c>
      <c r="W6" s="25" t="s">
        <v>124</v>
      </c>
      <c r="X6" s="25" t="s">
        <v>126</v>
      </c>
      <c r="Y6" s="157" t="s">
        <v>129</v>
      </c>
      <c r="AB6" s="423"/>
      <c r="AC6" s="426" t="s">
        <v>12</v>
      </c>
      <c r="AD6" s="25" t="s">
        <v>5</v>
      </c>
      <c r="AE6" s="25" t="s">
        <v>88</v>
      </c>
      <c r="AF6" s="25" t="s">
        <v>93</v>
      </c>
      <c r="AG6" s="25" t="s">
        <v>96</v>
      </c>
      <c r="AH6" s="426" t="s">
        <v>349</v>
      </c>
      <c r="AI6" s="203" t="s">
        <v>110</v>
      </c>
      <c r="AJ6" s="294" t="s">
        <v>106</v>
      </c>
      <c r="AK6" s="21" t="s">
        <v>133</v>
      </c>
      <c r="AS6" s="423"/>
      <c r="AT6" s="431" t="s">
        <v>12</v>
      </c>
      <c r="AU6" s="25" t="s">
        <v>121</v>
      </c>
      <c r="AV6" s="426" t="s">
        <v>130</v>
      </c>
      <c r="AW6" s="25" t="s">
        <v>124</v>
      </c>
      <c r="AX6" s="25" t="s">
        <v>126</v>
      </c>
      <c r="AY6" s="157" t="s">
        <v>129</v>
      </c>
      <c r="BB6" s="423"/>
      <c r="BC6" s="426" t="s">
        <v>12</v>
      </c>
      <c r="BD6" s="25" t="s">
        <v>5</v>
      </c>
      <c r="BE6" s="25" t="s">
        <v>88</v>
      </c>
      <c r="BF6" s="25" t="s">
        <v>93</v>
      </c>
      <c r="BG6" s="25" t="s">
        <v>96</v>
      </c>
      <c r="BH6" s="426" t="s">
        <v>349</v>
      </c>
      <c r="BI6" s="203" t="s">
        <v>110</v>
      </c>
      <c r="BJ6" s="294" t="s">
        <v>106</v>
      </c>
      <c r="BK6" s="21" t="s">
        <v>133</v>
      </c>
      <c r="BS6" s="423"/>
      <c r="BT6" s="431" t="s">
        <v>12</v>
      </c>
      <c r="BU6" s="25" t="s">
        <v>121</v>
      </c>
      <c r="BV6" s="426" t="s">
        <v>130</v>
      </c>
      <c r="BW6" s="25" t="s">
        <v>124</v>
      </c>
      <c r="BX6" s="25" t="s">
        <v>126</v>
      </c>
      <c r="BY6" s="157" t="s">
        <v>129</v>
      </c>
      <c r="CB6" s="423"/>
      <c r="CC6" s="426" t="s">
        <v>12</v>
      </c>
      <c r="CD6" s="25" t="s">
        <v>5</v>
      </c>
      <c r="CE6" s="25" t="s">
        <v>88</v>
      </c>
      <c r="CF6" s="25" t="s">
        <v>93</v>
      </c>
      <c r="CG6" s="25" t="s">
        <v>96</v>
      </c>
      <c r="CH6" s="426" t="s">
        <v>349</v>
      </c>
      <c r="CI6" s="203" t="s">
        <v>110</v>
      </c>
      <c r="CJ6" s="294" t="s">
        <v>106</v>
      </c>
      <c r="CK6" s="21" t="s">
        <v>133</v>
      </c>
      <c r="CS6" s="423"/>
      <c r="CT6" s="431" t="s">
        <v>12</v>
      </c>
      <c r="CU6" s="25" t="s">
        <v>121</v>
      </c>
      <c r="CV6" s="426" t="s">
        <v>130</v>
      </c>
      <c r="CW6" s="25" t="s">
        <v>124</v>
      </c>
      <c r="CX6" s="25" t="s">
        <v>126</v>
      </c>
      <c r="CY6" s="157" t="s">
        <v>129</v>
      </c>
      <c r="DB6" s="423"/>
      <c r="DC6" s="426" t="s">
        <v>12</v>
      </c>
      <c r="DD6" s="25" t="s">
        <v>5</v>
      </c>
      <c r="DE6" s="25" t="s">
        <v>88</v>
      </c>
      <c r="DF6" s="25" t="s">
        <v>93</v>
      </c>
      <c r="DG6" s="25" t="s">
        <v>96</v>
      </c>
      <c r="DH6" s="426" t="s">
        <v>349</v>
      </c>
      <c r="DI6" s="203" t="s">
        <v>110</v>
      </c>
      <c r="DJ6" s="294" t="s">
        <v>106</v>
      </c>
      <c r="DK6" s="21" t="s">
        <v>133</v>
      </c>
      <c r="DS6" s="423"/>
      <c r="DT6" s="431" t="s">
        <v>12</v>
      </c>
      <c r="DU6" s="25" t="s">
        <v>121</v>
      </c>
      <c r="DV6" s="426" t="s">
        <v>130</v>
      </c>
      <c r="DW6" s="25" t="s">
        <v>124</v>
      </c>
      <c r="DX6" s="25" t="s">
        <v>126</v>
      </c>
      <c r="DY6" s="157" t="s">
        <v>129</v>
      </c>
      <c r="EB6" s="423"/>
      <c r="EC6" s="426" t="s">
        <v>12</v>
      </c>
      <c r="ED6" s="25" t="s">
        <v>5</v>
      </c>
      <c r="EE6" s="25" t="s">
        <v>88</v>
      </c>
      <c r="EF6" s="25" t="s">
        <v>93</v>
      </c>
      <c r="EG6" s="25" t="s">
        <v>96</v>
      </c>
      <c r="EH6" s="426" t="s">
        <v>349</v>
      </c>
      <c r="EI6" s="203" t="s">
        <v>110</v>
      </c>
      <c r="EJ6" s="294" t="s">
        <v>106</v>
      </c>
      <c r="EK6" s="21" t="s">
        <v>133</v>
      </c>
      <c r="ES6" s="423"/>
      <c r="ET6" s="431" t="s">
        <v>12</v>
      </c>
      <c r="EU6" s="25" t="s">
        <v>121</v>
      </c>
      <c r="EV6" s="426" t="s">
        <v>130</v>
      </c>
      <c r="EW6" s="25" t="s">
        <v>124</v>
      </c>
      <c r="EX6" s="25" t="s">
        <v>126</v>
      </c>
      <c r="EY6" s="157" t="s">
        <v>129</v>
      </c>
      <c r="FB6" s="423"/>
      <c r="FC6" s="426" t="s">
        <v>12</v>
      </c>
      <c r="FD6" s="25" t="s">
        <v>5</v>
      </c>
      <c r="FE6" s="25" t="s">
        <v>88</v>
      </c>
      <c r="FF6" s="25" t="s">
        <v>93</v>
      </c>
      <c r="FG6" s="25" t="s">
        <v>96</v>
      </c>
      <c r="FH6" s="426" t="s">
        <v>349</v>
      </c>
      <c r="FI6" s="203" t="s">
        <v>110</v>
      </c>
      <c r="FJ6" s="294" t="s">
        <v>106</v>
      </c>
      <c r="FK6" s="21" t="s">
        <v>133</v>
      </c>
      <c r="FS6" s="423"/>
      <c r="FT6" s="431" t="s">
        <v>12</v>
      </c>
      <c r="FU6" s="25" t="s">
        <v>121</v>
      </c>
      <c r="FV6" s="426" t="s">
        <v>130</v>
      </c>
      <c r="FW6" s="25" t="s">
        <v>124</v>
      </c>
      <c r="FX6" s="25" t="s">
        <v>126</v>
      </c>
      <c r="FY6" s="157" t="s">
        <v>129</v>
      </c>
      <c r="GB6" s="423"/>
      <c r="GC6" s="426" t="s">
        <v>12</v>
      </c>
      <c r="GD6" s="25" t="s">
        <v>5</v>
      </c>
      <c r="GE6" s="25" t="s">
        <v>88</v>
      </c>
      <c r="GF6" s="25" t="s">
        <v>93</v>
      </c>
      <c r="GG6" s="25" t="s">
        <v>96</v>
      </c>
      <c r="GH6" s="426" t="s">
        <v>349</v>
      </c>
      <c r="GI6" s="203" t="s">
        <v>110</v>
      </c>
      <c r="GJ6" s="294" t="s">
        <v>106</v>
      </c>
      <c r="GK6" s="21" t="s">
        <v>133</v>
      </c>
      <c r="GS6" s="423"/>
      <c r="GT6" s="431" t="s">
        <v>12</v>
      </c>
      <c r="GU6" s="25" t="s">
        <v>121</v>
      </c>
      <c r="GV6" s="426" t="s">
        <v>130</v>
      </c>
      <c r="GW6" s="25" t="s">
        <v>124</v>
      </c>
      <c r="GX6" s="25" t="s">
        <v>126</v>
      </c>
      <c r="GY6" s="157" t="s">
        <v>129</v>
      </c>
      <c r="HB6" s="423"/>
      <c r="HC6" s="426" t="s">
        <v>12</v>
      </c>
      <c r="HD6" s="25" t="s">
        <v>5</v>
      </c>
      <c r="HE6" s="25" t="s">
        <v>88</v>
      </c>
      <c r="HF6" s="25" t="s">
        <v>93</v>
      </c>
      <c r="HG6" s="25" t="s">
        <v>96</v>
      </c>
      <c r="HH6" s="426" t="s">
        <v>349</v>
      </c>
      <c r="HI6" s="203" t="s">
        <v>110</v>
      </c>
      <c r="HJ6" s="294" t="s">
        <v>106</v>
      </c>
      <c r="HK6" s="21" t="s">
        <v>133</v>
      </c>
      <c r="HS6" s="423"/>
      <c r="HT6" s="431" t="s">
        <v>12</v>
      </c>
      <c r="HU6" s="25" t="s">
        <v>121</v>
      </c>
      <c r="HV6" s="426" t="s">
        <v>130</v>
      </c>
      <c r="HW6" s="25" t="s">
        <v>124</v>
      </c>
      <c r="HX6" s="25" t="s">
        <v>126</v>
      </c>
      <c r="HY6" s="157" t="s">
        <v>129</v>
      </c>
      <c r="IB6" s="423"/>
      <c r="IC6" s="426" t="s">
        <v>12</v>
      </c>
      <c r="ID6" s="25" t="s">
        <v>5</v>
      </c>
      <c r="IE6" s="25" t="s">
        <v>88</v>
      </c>
      <c r="IF6" s="25" t="s">
        <v>93</v>
      </c>
      <c r="IG6" s="25" t="s">
        <v>96</v>
      </c>
      <c r="IH6" s="426" t="s">
        <v>349</v>
      </c>
      <c r="II6" s="203" t="s">
        <v>110</v>
      </c>
      <c r="IJ6" s="294" t="s">
        <v>106</v>
      </c>
      <c r="IK6" s="21" t="s">
        <v>133</v>
      </c>
      <c r="IS6" s="423"/>
      <c r="IT6" s="431" t="s">
        <v>12</v>
      </c>
      <c r="IU6" s="25" t="s">
        <v>121</v>
      </c>
      <c r="IV6" s="426" t="s">
        <v>130</v>
      </c>
      <c r="IW6" s="25" t="s">
        <v>124</v>
      </c>
      <c r="IX6" s="25" t="s">
        <v>126</v>
      </c>
      <c r="IY6" s="157" t="s">
        <v>129</v>
      </c>
      <c r="JB6" s="423"/>
      <c r="JC6" s="426" t="s">
        <v>12</v>
      </c>
      <c r="JD6" s="25" t="s">
        <v>5</v>
      </c>
      <c r="JE6" s="25" t="s">
        <v>88</v>
      </c>
      <c r="JF6" s="25" t="s">
        <v>93</v>
      </c>
      <c r="JG6" s="25" t="s">
        <v>96</v>
      </c>
      <c r="JH6" s="426" t="s">
        <v>349</v>
      </c>
      <c r="JI6" s="203" t="s">
        <v>110</v>
      </c>
      <c r="JJ6" s="294" t="s">
        <v>106</v>
      </c>
      <c r="JK6" s="21" t="s">
        <v>133</v>
      </c>
      <c r="JS6" s="423"/>
      <c r="JT6" s="431" t="s">
        <v>12</v>
      </c>
      <c r="JU6" s="25" t="s">
        <v>121</v>
      </c>
      <c r="JV6" s="426" t="s">
        <v>130</v>
      </c>
      <c r="JW6" s="25" t="s">
        <v>124</v>
      </c>
      <c r="JX6" s="25" t="s">
        <v>126</v>
      </c>
      <c r="JY6" s="157" t="s">
        <v>129</v>
      </c>
    </row>
    <row r="7" spans="1:285" s="20" customFormat="1" ht="45" x14ac:dyDescent="0.25">
      <c r="A7" s="20" t="s">
        <v>348</v>
      </c>
      <c r="B7" s="423"/>
      <c r="C7" s="426"/>
      <c r="D7" s="254" t="s">
        <v>6</v>
      </c>
      <c r="E7" s="25" t="s">
        <v>95</v>
      </c>
      <c r="F7" s="254" t="s">
        <v>94</v>
      </c>
      <c r="G7" s="254" t="s">
        <v>97</v>
      </c>
      <c r="H7" s="426"/>
      <c r="I7" s="273" t="s">
        <v>109</v>
      </c>
      <c r="J7" s="294" t="s">
        <v>107</v>
      </c>
      <c r="K7" s="274" t="s">
        <v>108</v>
      </c>
      <c r="S7" s="423"/>
      <c r="T7" s="431"/>
      <c r="U7" s="203" t="s">
        <v>109</v>
      </c>
      <c r="V7" s="426"/>
      <c r="W7" s="203" t="s">
        <v>109</v>
      </c>
      <c r="X7" s="25" t="s">
        <v>128</v>
      </c>
      <c r="Y7" s="275" t="s">
        <v>143</v>
      </c>
      <c r="AB7" s="423"/>
      <c r="AC7" s="426"/>
      <c r="AD7" s="254" t="s">
        <v>6</v>
      </c>
      <c r="AE7" s="25" t="s">
        <v>95</v>
      </c>
      <c r="AF7" s="254" t="s">
        <v>94</v>
      </c>
      <c r="AG7" s="254" t="s">
        <v>97</v>
      </c>
      <c r="AH7" s="426"/>
      <c r="AI7" s="273" t="s">
        <v>109</v>
      </c>
      <c r="AJ7" s="294" t="s">
        <v>107</v>
      </c>
      <c r="AK7" s="274" t="s">
        <v>108</v>
      </c>
      <c r="AS7" s="423"/>
      <c r="AT7" s="431"/>
      <c r="AU7" s="203" t="s">
        <v>109</v>
      </c>
      <c r="AV7" s="426"/>
      <c r="AW7" s="203" t="s">
        <v>109</v>
      </c>
      <c r="AX7" s="25" t="s">
        <v>128</v>
      </c>
      <c r="AY7" s="275" t="s">
        <v>143</v>
      </c>
      <c r="BB7" s="423"/>
      <c r="BC7" s="426"/>
      <c r="BD7" s="254" t="s">
        <v>6</v>
      </c>
      <c r="BE7" s="25" t="s">
        <v>95</v>
      </c>
      <c r="BF7" s="254" t="s">
        <v>94</v>
      </c>
      <c r="BG7" s="254" t="s">
        <v>97</v>
      </c>
      <c r="BH7" s="426"/>
      <c r="BI7" s="273" t="s">
        <v>109</v>
      </c>
      <c r="BJ7" s="294" t="s">
        <v>107</v>
      </c>
      <c r="BK7" s="274" t="s">
        <v>108</v>
      </c>
      <c r="BS7" s="423"/>
      <c r="BT7" s="431"/>
      <c r="BU7" s="203" t="s">
        <v>109</v>
      </c>
      <c r="BV7" s="426"/>
      <c r="BW7" s="203" t="s">
        <v>109</v>
      </c>
      <c r="BX7" s="25" t="s">
        <v>128</v>
      </c>
      <c r="BY7" s="275" t="s">
        <v>143</v>
      </c>
      <c r="CB7" s="423"/>
      <c r="CC7" s="426"/>
      <c r="CD7" s="254" t="s">
        <v>6</v>
      </c>
      <c r="CE7" s="25" t="s">
        <v>95</v>
      </c>
      <c r="CF7" s="254" t="s">
        <v>94</v>
      </c>
      <c r="CG7" s="254" t="s">
        <v>97</v>
      </c>
      <c r="CH7" s="426"/>
      <c r="CI7" s="273" t="s">
        <v>109</v>
      </c>
      <c r="CJ7" s="294" t="s">
        <v>107</v>
      </c>
      <c r="CK7" s="274" t="s">
        <v>108</v>
      </c>
      <c r="CS7" s="423"/>
      <c r="CT7" s="431"/>
      <c r="CU7" s="203" t="s">
        <v>109</v>
      </c>
      <c r="CV7" s="426"/>
      <c r="CW7" s="203" t="s">
        <v>109</v>
      </c>
      <c r="CX7" s="25" t="s">
        <v>128</v>
      </c>
      <c r="CY7" s="275" t="s">
        <v>143</v>
      </c>
      <c r="DB7" s="423"/>
      <c r="DC7" s="426"/>
      <c r="DD7" s="254" t="s">
        <v>6</v>
      </c>
      <c r="DE7" s="25" t="s">
        <v>95</v>
      </c>
      <c r="DF7" s="254" t="s">
        <v>94</v>
      </c>
      <c r="DG7" s="254" t="s">
        <v>97</v>
      </c>
      <c r="DH7" s="426"/>
      <c r="DI7" s="273" t="s">
        <v>109</v>
      </c>
      <c r="DJ7" s="294" t="s">
        <v>107</v>
      </c>
      <c r="DK7" s="274" t="s">
        <v>108</v>
      </c>
      <c r="DS7" s="423"/>
      <c r="DT7" s="431"/>
      <c r="DU7" s="203" t="s">
        <v>109</v>
      </c>
      <c r="DV7" s="426"/>
      <c r="DW7" s="203" t="s">
        <v>109</v>
      </c>
      <c r="DX7" s="25" t="s">
        <v>128</v>
      </c>
      <c r="DY7" s="275" t="s">
        <v>143</v>
      </c>
      <c r="EB7" s="423"/>
      <c r="EC7" s="426"/>
      <c r="ED7" s="254" t="s">
        <v>6</v>
      </c>
      <c r="EE7" s="25" t="s">
        <v>95</v>
      </c>
      <c r="EF7" s="254" t="s">
        <v>94</v>
      </c>
      <c r="EG7" s="254" t="s">
        <v>97</v>
      </c>
      <c r="EH7" s="426"/>
      <c r="EI7" s="273" t="s">
        <v>109</v>
      </c>
      <c r="EJ7" s="294" t="s">
        <v>107</v>
      </c>
      <c r="EK7" s="274" t="s">
        <v>108</v>
      </c>
      <c r="ES7" s="423"/>
      <c r="ET7" s="431"/>
      <c r="EU7" s="203" t="s">
        <v>109</v>
      </c>
      <c r="EV7" s="426"/>
      <c r="EW7" s="203" t="s">
        <v>109</v>
      </c>
      <c r="EX7" s="25" t="s">
        <v>128</v>
      </c>
      <c r="EY7" s="275" t="s">
        <v>143</v>
      </c>
      <c r="FB7" s="423"/>
      <c r="FC7" s="426"/>
      <c r="FD7" s="254" t="s">
        <v>6</v>
      </c>
      <c r="FE7" s="25" t="s">
        <v>95</v>
      </c>
      <c r="FF7" s="254" t="s">
        <v>94</v>
      </c>
      <c r="FG7" s="254" t="s">
        <v>97</v>
      </c>
      <c r="FH7" s="426"/>
      <c r="FI7" s="273" t="s">
        <v>109</v>
      </c>
      <c r="FJ7" s="294" t="s">
        <v>107</v>
      </c>
      <c r="FK7" s="274" t="s">
        <v>108</v>
      </c>
      <c r="FS7" s="423"/>
      <c r="FT7" s="431"/>
      <c r="FU7" s="203" t="s">
        <v>109</v>
      </c>
      <c r="FV7" s="426"/>
      <c r="FW7" s="203" t="s">
        <v>109</v>
      </c>
      <c r="FX7" s="25" t="s">
        <v>128</v>
      </c>
      <c r="FY7" s="275" t="s">
        <v>143</v>
      </c>
      <c r="GB7" s="423"/>
      <c r="GC7" s="426"/>
      <c r="GD7" s="254" t="s">
        <v>6</v>
      </c>
      <c r="GE7" s="25" t="s">
        <v>95</v>
      </c>
      <c r="GF7" s="254" t="s">
        <v>94</v>
      </c>
      <c r="GG7" s="254" t="s">
        <v>97</v>
      </c>
      <c r="GH7" s="426"/>
      <c r="GI7" s="273" t="s">
        <v>109</v>
      </c>
      <c r="GJ7" s="294" t="s">
        <v>107</v>
      </c>
      <c r="GK7" s="274" t="s">
        <v>108</v>
      </c>
      <c r="GS7" s="423"/>
      <c r="GT7" s="431"/>
      <c r="GU7" s="203" t="s">
        <v>109</v>
      </c>
      <c r="GV7" s="426"/>
      <c r="GW7" s="203" t="s">
        <v>109</v>
      </c>
      <c r="GX7" s="25" t="s">
        <v>128</v>
      </c>
      <c r="GY7" s="275" t="s">
        <v>143</v>
      </c>
      <c r="HB7" s="423"/>
      <c r="HC7" s="426"/>
      <c r="HD7" s="254" t="s">
        <v>6</v>
      </c>
      <c r="HE7" s="25" t="s">
        <v>95</v>
      </c>
      <c r="HF7" s="254" t="s">
        <v>94</v>
      </c>
      <c r="HG7" s="254" t="s">
        <v>97</v>
      </c>
      <c r="HH7" s="426"/>
      <c r="HI7" s="273" t="s">
        <v>109</v>
      </c>
      <c r="HJ7" s="294" t="s">
        <v>107</v>
      </c>
      <c r="HK7" s="274" t="s">
        <v>108</v>
      </c>
      <c r="HS7" s="423"/>
      <c r="HT7" s="431"/>
      <c r="HU7" s="203" t="s">
        <v>109</v>
      </c>
      <c r="HV7" s="426"/>
      <c r="HW7" s="203" t="s">
        <v>109</v>
      </c>
      <c r="HX7" s="25" t="s">
        <v>128</v>
      </c>
      <c r="HY7" s="275" t="s">
        <v>143</v>
      </c>
      <c r="IB7" s="423"/>
      <c r="IC7" s="426"/>
      <c r="ID7" s="254" t="s">
        <v>6</v>
      </c>
      <c r="IE7" s="25" t="s">
        <v>95</v>
      </c>
      <c r="IF7" s="254" t="s">
        <v>94</v>
      </c>
      <c r="IG7" s="254" t="s">
        <v>97</v>
      </c>
      <c r="IH7" s="426"/>
      <c r="II7" s="273" t="s">
        <v>109</v>
      </c>
      <c r="IJ7" s="294" t="s">
        <v>107</v>
      </c>
      <c r="IK7" s="274" t="s">
        <v>108</v>
      </c>
      <c r="IS7" s="423"/>
      <c r="IT7" s="431"/>
      <c r="IU7" s="203" t="s">
        <v>109</v>
      </c>
      <c r="IV7" s="426"/>
      <c r="IW7" s="203" t="s">
        <v>109</v>
      </c>
      <c r="IX7" s="25" t="s">
        <v>128</v>
      </c>
      <c r="IY7" s="275" t="s">
        <v>143</v>
      </c>
      <c r="JB7" s="423"/>
      <c r="JC7" s="426"/>
      <c r="JD7" s="254" t="s">
        <v>6</v>
      </c>
      <c r="JE7" s="25" t="s">
        <v>95</v>
      </c>
      <c r="JF7" s="254" t="s">
        <v>94</v>
      </c>
      <c r="JG7" s="254" t="s">
        <v>97</v>
      </c>
      <c r="JH7" s="426"/>
      <c r="JI7" s="273" t="s">
        <v>109</v>
      </c>
      <c r="JJ7" s="294" t="s">
        <v>107</v>
      </c>
      <c r="JK7" s="274" t="s">
        <v>108</v>
      </c>
      <c r="JS7" s="423"/>
      <c r="JT7" s="431"/>
      <c r="JU7" s="203" t="s">
        <v>109</v>
      </c>
      <c r="JV7" s="426"/>
      <c r="JW7" s="203" t="s">
        <v>109</v>
      </c>
      <c r="JX7" s="25" t="s">
        <v>128</v>
      </c>
      <c r="JY7" s="275" t="s">
        <v>143</v>
      </c>
    </row>
    <row r="8" spans="1:285" s="20" customFormat="1" ht="54" x14ac:dyDescent="0.25">
      <c r="B8" s="423"/>
      <c r="C8" s="254"/>
      <c r="D8" s="254"/>
      <c r="E8" s="254"/>
      <c r="F8" s="254"/>
      <c r="G8" s="25" t="s">
        <v>100</v>
      </c>
      <c r="H8" s="272" t="s">
        <v>99</v>
      </c>
      <c r="I8" s="294" t="s">
        <v>104</v>
      </c>
      <c r="J8" s="272"/>
      <c r="K8" s="21" t="s">
        <v>111</v>
      </c>
      <c r="S8" s="423"/>
      <c r="T8" s="254"/>
      <c r="U8" s="25"/>
      <c r="V8" s="25" t="s">
        <v>99</v>
      </c>
      <c r="W8" s="25" t="s">
        <v>135</v>
      </c>
      <c r="X8" s="25"/>
      <c r="Y8" s="157" t="s">
        <v>147</v>
      </c>
      <c r="AB8" s="423"/>
      <c r="AC8" s="254"/>
      <c r="AD8" s="254"/>
      <c r="AE8" s="254"/>
      <c r="AF8" s="254"/>
      <c r="AG8" s="25" t="s">
        <v>100</v>
      </c>
      <c r="AH8" s="272" t="s">
        <v>99</v>
      </c>
      <c r="AI8" s="294" t="s">
        <v>104</v>
      </c>
      <c r="AJ8" s="272"/>
      <c r="AK8" s="21" t="s">
        <v>111</v>
      </c>
      <c r="AS8" s="423"/>
      <c r="AT8" s="254"/>
      <c r="AU8" s="25"/>
      <c r="AV8" s="25" t="s">
        <v>99</v>
      </c>
      <c r="AW8" s="25" t="s">
        <v>135</v>
      </c>
      <c r="AX8" s="25"/>
      <c r="AY8" s="157" t="s">
        <v>147</v>
      </c>
      <c r="BB8" s="423"/>
      <c r="BC8" s="254"/>
      <c r="BD8" s="254"/>
      <c r="BE8" s="254"/>
      <c r="BF8" s="254"/>
      <c r="BG8" s="25" t="s">
        <v>100</v>
      </c>
      <c r="BH8" s="272" t="s">
        <v>99</v>
      </c>
      <c r="BI8" s="294" t="s">
        <v>104</v>
      </c>
      <c r="BJ8" s="272"/>
      <c r="BK8" s="21" t="s">
        <v>111</v>
      </c>
      <c r="BS8" s="423"/>
      <c r="BT8" s="254"/>
      <c r="BU8" s="25"/>
      <c r="BV8" s="25" t="s">
        <v>99</v>
      </c>
      <c r="BW8" s="25" t="s">
        <v>135</v>
      </c>
      <c r="BX8" s="25"/>
      <c r="BY8" s="157" t="s">
        <v>147</v>
      </c>
      <c r="CB8" s="423"/>
      <c r="CC8" s="254"/>
      <c r="CD8" s="254"/>
      <c r="CE8" s="254"/>
      <c r="CF8" s="254"/>
      <c r="CG8" s="25" t="s">
        <v>100</v>
      </c>
      <c r="CH8" s="272" t="s">
        <v>99</v>
      </c>
      <c r="CI8" s="294" t="s">
        <v>104</v>
      </c>
      <c r="CJ8" s="272"/>
      <c r="CK8" s="21" t="s">
        <v>111</v>
      </c>
      <c r="CS8" s="423"/>
      <c r="CT8" s="254"/>
      <c r="CU8" s="25"/>
      <c r="CV8" s="25" t="s">
        <v>99</v>
      </c>
      <c r="CW8" s="25" t="s">
        <v>135</v>
      </c>
      <c r="CX8" s="25"/>
      <c r="CY8" s="157" t="s">
        <v>147</v>
      </c>
      <c r="DB8" s="423"/>
      <c r="DC8" s="254"/>
      <c r="DD8" s="254"/>
      <c r="DE8" s="254"/>
      <c r="DF8" s="254"/>
      <c r="DG8" s="25" t="s">
        <v>100</v>
      </c>
      <c r="DH8" s="272" t="s">
        <v>99</v>
      </c>
      <c r="DI8" s="294" t="s">
        <v>104</v>
      </c>
      <c r="DJ8" s="272"/>
      <c r="DK8" s="21" t="s">
        <v>111</v>
      </c>
      <c r="DS8" s="423"/>
      <c r="DT8" s="254"/>
      <c r="DU8" s="25"/>
      <c r="DV8" s="25" t="s">
        <v>99</v>
      </c>
      <c r="DW8" s="25" t="s">
        <v>135</v>
      </c>
      <c r="DX8" s="25"/>
      <c r="DY8" s="157" t="s">
        <v>147</v>
      </c>
      <c r="EB8" s="423"/>
      <c r="EC8" s="254"/>
      <c r="ED8" s="254"/>
      <c r="EE8" s="254"/>
      <c r="EF8" s="254"/>
      <c r="EG8" s="25" t="s">
        <v>100</v>
      </c>
      <c r="EH8" s="272" t="s">
        <v>99</v>
      </c>
      <c r="EI8" s="294" t="s">
        <v>104</v>
      </c>
      <c r="EJ8" s="272"/>
      <c r="EK8" s="21" t="s">
        <v>111</v>
      </c>
      <c r="ES8" s="423"/>
      <c r="ET8" s="254"/>
      <c r="EU8" s="25"/>
      <c r="EV8" s="25" t="s">
        <v>99</v>
      </c>
      <c r="EW8" s="25" t="s">
        <v>135</v>
      </c>
      <c r="EX8" s="25"/>
      <c r="EY8" s="157" t="s">
        <v>147</v>
      </c>
      <c r="FB8" s="423"/>
      <c r="FC8" s="254"/>
      <c r="FD8" s="254"/>
      <c r="FE8" s="254"/>
      <c r="FF8" s="254"/>
      <c r="FG8" s="25" t="s">
        <v>100</v>
      </c>
      <c r="FH8" s="272" t="s">
        <v>99</v>
      </c>
      <c r="FI8" s="294" t="s">
        <v>104</v>
      </c>
      <c r="FJ8" s="272"/>
      <c r="FK8" s="21" t="s">
        <v>111</v>
      </c>
      <c r="FS8" s="423"/>
      <c r="FT8" s="254"/>
      <c r="FU8" s="25"/>
      <c r="FV8" s="25" t="s">
        <v>99</v>
      </c>
      <c r="FW8" s="25" t="s">
        <v>135</v>
      </c>
      <c r="FX8" s="25"/>
      <c r="FY8" s="157" t="s">
        <v>147</v>
      </c>
      <c r="GB8" s="423"/>
      <c r="GC8" s="254"/>
      <c r="GD8" s="254"/>
      <c r="GE8" s="254"/>
      <c r="GF8" s="254"/>
      <c r="GG8" s="25" t="s">
        <v>100</v>
      </c>
      <c r="GH8" s="272" t="s">
        <v>99</v>
      </c>
      <c r="GI8" s="294" t="s">
        <v>104</v>
      </c>
      <c r="GJ8" s="272"/>
      <c r="GK8" s="21" t="s">
        <v>111</v>
      </c>
      <c r="GS8" s="423"/>
      <c r="GT8" s="254"/>
      <c r="GU8" s="25"/>
      <c r="GV8" s="25" t="s">
        <v>99</v>
      </c>
      <c r="GW8" s="25" t="s">
        <v>135</v>
      </c>
      <c r="GX8" s="25"/>
      <c r="GY8" s="157" t="s">
        <v>147</v>
      </c>
      <c r="HB8" s="423"/>
      <c r="HC8" s="254"/>
      <c r="HD8" s="254"/>
      <c r="HE8" s="254"/>
      <c r="HF8" s="254"/>
      <c r="HG8" s="25" t="s">
        <v>100</v>
      </c>
      <c r="HH8" s="272" t="s">
        <v>99</v>
      </c>
      <c r="HI8" s="294" t="s">
        <v>104</v>
      </c>
      <c r="HJ8" s="272"/>
      <c r="HK8" s="21" t="s">
        <v>111</v>
      </c>
      <c r="HS8" s="423"/>
      <c r="HT8" s="254"/>
      <c r="HU8" s="25"/>
      <c r="HV8" s="25" t="s">
        <v>99</v>
      </c>
      <c r="HW8" s="25" t="s">
        <v>135</v>
      </c>
      <c r="HX8" s="25"/>
      <c r="HY8" s="157" t="s">
        <v>147</v>
      </c>
      <c r="IB8" s="423"/>
      <c r="IC8" s="254"/>
      <c r="ID8" s="254"/>
      <c r="IE8" s="254"/>
      <c r="IF8" s="254"/>
      <c r="IG8" s="25" t="s">
        <v>100</v>
      </c>
      <c r="IH8" s="272" t="s">
        <v>99</v>
      </c>
      <c r="II8" s="294" t="s">
        <v>104</v>
      </c>
      <c r="IJ8" s="272"/>
      <c r="IK8" s="21" t="s">
        <v>111</v>
      </c>
      <c r="IS8" s="423"/>
      <c r="IT8" s="254"/>
      <c r="IU8" s="25"/>
      <c r="IV8" s="25" t="s">
        <v>99</v>
      </c>
      <c r="IW8" s="25" t="s">
        <v>135</v>
      </c>
      <c r="IX8" s="25"/>
      <c r="IY8" s="157" t="s">
        <v>147</v>
      </c>
      <c r="JB8" s="423"/>
      <c r="JC8" s="254"/>
      <c r="JD8" s="254"/>
      <c r="JE8" s="254"/>
      <c r="JF8" s="254"/>
      <c r="JG8" s="25" t="s">
        <v>100</v>
      </c>
      <c r="JH8" s="272" t="s">
        <v>99</v>
      </c>
      <c r="JI8" s="294" t="s">
        <v>104</v>
      </c>
      <c r="JJ8" s="272"/>
      <c r="JK8" s="21" t="s">
        <v>111</v>
      </c>
      <c r="JS8" s="423"/>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5681</v>
      </c>
      <c r="E12" s="87">
        <f>'EF peternakan'!$G$6</f>
        <v>0.34</v>
      </c>
      <c r="F12" s="293">
        <f>'EF peternakan'!$H$6</f>
        <v>250</v>
      </c>
      <c r="G12" s="91">
        <f>E12*(F12/10^3)*365</f>
        <v>31.025000000000002</v>
      </c>
      <c r="H12" s="89">
        <f t="shared" ref="H12:H21" si="76">I$26/100</f>
        <v>0.02</v>
      </c>
      <c r="I12" s="83">
        <f>D12*G12*H12</f>
        <v>3525.0605000000005</v>
      </c>
      <c r="J12" s="88">
        <v>0.02</v>
      </c>
      <c r="K12" s="85">
        <f t="shared" si="0"/>
        <v>110.78761571428574</v>
      </c>
      <c r="S12" s="6"/>
      <c r="T12" s="81" t="s">
        <v>71</v>
      </c>
      <c r="U12" s="86">
        <f t="shared" si="1"/>
        <v>3525.0605000000005</v>
      </c>
      <c r="V12" s="87">
        <f t="shared" ref="V12:V16" si="77">V27</f>
        <v>0.3</v>
      </c>
      <c r="W12" s="300">
        <f t="shared" ref="W12:W16" si="78">U12*V12</f>
        <v>1057.5181500000001</v>
      </c>
      <c r="X12" s="91">
        <f t="shared" si="2"/>
        <v>0.01</v>
      </c>
      <c r="Y12" s="98">
        <f t="shared" si="3"/>
        <v>16.618142357142858</v>
      </c>
      <c r="AB12" s="6"/>
      <c r="AC12" s="81" t="s">
        <v>71</v>
      </c>
      <c r="AD12" s="86">
        <f t="shared" ref="AD12:AD20" si="79">D40</f>
        <v>3671</v>
      </c>
      <c r="AE12" s="87">
        <f>'EF peternakan'!$G$6</f>
        <v>0.34</v>
      </c>
      <c r="AF12" s="87">
        <f>'EF peternakan'!$H$6</f>
        <v>250</v>
      </c>
      <c r="AG12" s="91">
        <f t="shared" si="4"/>
        <v>31.025000000000002</v>
      </c>
      <c r="AH12" s="89">
        <f t="shared" si="5"/>
        <v>0.02</v>
      </c>
      <c r="AI12" s="83">
        <f t="shared" si="6"/>
        <v>2277.8555000000001</v>
      </c>
      <c r="AJ12" s="88">
        <v>0.02</v>
      </c>
      <c r="AK12" s="85">
        <f t="shared" si="7"/>
        <v>71.589744285714289</v>
      </c>
      <c r="AS12" s="6"/>
      <c r="AT12" s="81" t="s">
        <v>71</v>
      </c>
      <c r="AU12" s="86">
        <f t="shared" si="8"/>
        <v>2277.8555000000001</v>
      </c>
      <c r="AV12" s="87">
        <f t="shared" si="9"/>
        <v>0.3</v>
      </c>
      <c r="AW12" s="300">
        <f t="shared" ref="AW12:AW16" si="80">AU12*AV12</f>
        <v>683.35665000000006</v>
      </c>
      <c r="AX12" s="91">
        <f t="shared" si="10"/>
        <v>0.01</v>
      </c>
      <c r="AY12" s="98">
        <f t="shared" si="11"/>
        <v>10.738461642857144</v>
      </c>
      <c r="BB12" s="6"/>
      <c r="BC12" s="81" t="s">
        <v>71</v>
      </c>
      <c r="BD12" s="86">
        <f t="shared" ref="BD12:BD16" si="81">E40</f>
        <v>3772</v>
      </c>
      <c r="BE12" s="87">
        <f>'EF peternakan'!$G$6</f>
        <v>0.34</v>
      </c>
      <c r="BF12" s="87">
        <f>'EF peternakan'!$H$6</f>
        <v>250</v>
      </c>
      <c r="BG12" s="91">
        <f t="shared" ref="BG12:BG16" si="82">BE12*(BF12/10^3)*365</f>
        <v>31.025000000000002</v>
      </c>
      <c r="BH12" s="89">
        <f t="shared" si="12"/>
        <v>0.02</v>
      </c>
      <c r="BI12" s="83">
        <f t="shared" ref="BI12" si="83">BD12*BG12*BH12</f>
        <v>2340.5260000000003</v>
      </c>
      <c r="BJ12" s="88">
        <v>0.02</v>
      </c>
      <c r="BK12" s="85">
        <f t="shared" si="13"/>
        <v>73.55938857142857</v>
      </c>
      <c r="BS12" s="6"/>
      <c r="BT12" s="81" t="s">
        <v>71</v>
      </c>
      <c r="BU12" s="86">
        <f t="shared" ref="BU12:BU15" si="84">BI12</f>
        <v>2340.5260000000003</v>
      </c>
      <c r="BV12" s="87">
        <f t="shared" si="14"/>
        <v>0.3</v>
      </c>
      <c r="BW12" s="300">
        <f t="shared" ref="BW12:BW16" si="85">BU12*BV12</f>
        <v>702.15780000000007</v>
      </c>
      <c r="BX12" s="91">
        <f t="shared" si="15"/>
        <v>0.01</v>
      </c>
      <c r="BY12" s="98">
        <f t="shared" si="16"/>
        <v>11.033908285714286</v>
      </c>
      <c r="CB12" s="6"/>
      <c r="CC12" s="81" t="s">
        <v>71</v>
      </c>
      <c r="CD12" s="86">
        <f t="shared" ref="CD12:CD16" si="86">F40</f>
        <v>4266</v>
      </c>
      <c r="CE12" s="87">
        <f>'EF peternakan'!$G$6</f>
        <v>0.34</v>
      </c>
      <c r="CF12" s="87">
        <f>'EF peternakan'!$H$6</f>
        <v>250</v>
      </c>
      <c r="CG12" s="91">
        <f t="shared" si="17"/>
        <v>31.025000000000002</v>
      </c>
      <c r="CH12" s="89">
        <f t="shared" si="18"/>
        <v>0.02</v>
      </c>
      <c r="CI12" s="83">
        <f t="shared" si="19"/>
        <v>2647.0530000000003</v>
      </c>
      <c r="CJ12" s="88">
        <v>0.02</v>
      </c>
      <c r="CK12" s="85">
        <f t="shared" si="20"/>
        <v>83.193094285714295</v>
      </c>
      <c r="CS12" s="6"/>
      <c r="CT12" s="81" t="s">
        <v>71</v>
      </c>
      <c r="CU12" s="86">
        <f>CI12</f>
        <v>2647.0530000000003</v>
      </c>
      <c r="CV12" s="87">
        <f t="shared" si="21"/>
        <v>0.3</v>
      </c>
      <c r="CW12" s="300">
        <f t="shared" ref="CW12:CW16" si="87">CU12*CV12</f>
        <v>794.11590000000012</v>
      </c>
      <c r="CX12" s="91">
        <f t="shared" si="22"/>
        <v>0.01</v>
      </c>
      <c r="CY12" s="98">
        <f t="shared" si="23"/>
        <v>12.478964142857146</v>
      </c>
      <c r="DB12" s="6"/>
      <c r="DC12" s="81" t="s">
        <v>71</v>
      </c>
      <c r="DD12" s="86">
        <f t="shared" ref="DD12:DD16" si="88">G40</f>
        <v>4996</v>
      </c>
      <c r="DE12" s="87">
        <f>'EF peternakan'!$G$6</f>
        <v>0.34</v>
      </c>
      <c r="DF12" s="87">
        <f>'EF peternakan'!$H$6</f>
        <v>250</v>
      </c>
      <c r="DG12" s="91">
        <f t="shared" si="24"/>
        <v>31.025000000000002</v>
      </c>
      <c r="DH12" s="89">
        <f t="shared" si="25"/>
        <v>0.02</v>
      </c>
      <c r="DI12" s="83">
        <f t="shared" si="26"/>
        <v>3100.0180000000005</v>
      </c>
      <c r="DJ12" s="88">
        <v>0.02</v>
      </c>
      <c r="DK12" s="85">
        <f t="shared" si="27"/>
        <v>97.429137142857158</v>
      </c>
      <c r="DS12" s="6"/>
      <c r="DT12" s="81" t="s">
        <v>71</v>
      </c>
      <c r="DU12" s="86">
        <f t="shared" ref="DU12:DU15" si="89">DI12</f>
        <v>3100.0180000000005</v>
      </c>
      <c r="DV12" s="87">
        <f t="shared" si="28"/>
        <v>0.3</v>
      </c>
      <c r="DW12" s="300">
        <f t="shared" ref="DW12:DW16" si="90">DU12*DV12</f>
        <v>930.00540000000012</v>
      </c>
      <c r="DX12" s="91">
        <f t="shared" si="29"/>
        <v>0.01</v>
      </c>
      <c r="DY12" s="98">
        <f t="shared" si="30"/>
        <v>14.614370571428573</v>
      </c>
      <c r="EB12" s="6"/>
      <c r="EC12" s="81" t="s">
        <v>71</v>
      </c>
      <c r="ED12" s="86">
        <f t="shared" ref="ED12:ED21" si="91">H40</f>
        <v>5288</v>
      </c>
      <c r="EE12" s="87">
        <f>'EF peternakan'!$G$6</f>
        <v>0.34</v>
      </c>
      <c r="EF12" s="87">
        <f>'EF peternakan'!$H$6</f>
        <v>250</v>
      </c>
      <c r="EG12" s="91">
        <f t="shared" si="31"/>
        <v>31.025000000000002</v>
      </c>
      <c r="EH12" s="89">
        <f t="shared" si="32"/>
        <v>0.02</v>
      </c>
      <c r="EI12" s="83">
        <f t="shared" si="33"/>
        <v>3281.2040000000002</v>
      </c>
      <c r="EJ12" s="88">
        <v>0.02</v>
      </c>
      <c r="EK12" s="85">
        <f t="shared" si="34"/>
        <v>103.12355428571429</v>
      </c>
      <c r="ES12" s="6"/>
      <c r="ET12" s="81" t="s">
        <v>71</v>
      </c>
      <c r="EU12" s="86">
        <f>EI12</f>
        <v>3281.2040000000002</v>
      </c>
      <c r="EV12" s="87">
        <f t="shared" si="35"/>
        <v>0.3</v>
      </c>
      <c r="EW12" s="300">
        <f t="shared" ref="EW12:EW16" si="92">EU12*EV12</f>
        <v>984.36120000000005</v>
      </c>
      <c r="EX12" s="91">
        <f t="shared" si="36"/>
        <v>0.01</v>
      </c>
      <c r="EY12" s="98">
        <f t="shared" si="37"/>
        <v>15.468533142857144</v>
      </c>
      <c r="FB12" s="6"/>
      <c r="FC12" s="81" t="s">
        <v>71</v>
      </c>
      <c r="FD12" s="86">
        <f t="shared" ref="FD12:FD21" si="93">I40</f>
        <v>5316.7360057599999</v>
      </c>
      <c r="FE12" s="87">
        <f>'EF peternakan'!$G$6</f>
        <v>0.34</v>
      </c>
      <c r="FF12" s="87">
        <f>'EF peternakan'!$H$6</f>
        <v>250</v>
      </c>
      <c r="FG12" s="91">
        <f t="shared" si="38"/>
        <v>31.025000000000002</v>
      </c>
      <c r="FH12" s="89">
        <f t="shared" si="39"/>
        <v>0.02</v>
      </c>
      <c r="FI12" s="83">
        <f t="shared" si="40"/>
        <v>3299.0346915740802</v>
      </c>
      <c r="FJ12" s="88">
        <v>0.02</v>
      </c>
      <c r="FK12" s="85">
        <f t="shared" si="41"/>
        <v>103.68394744947109</v>
      </c>
      <c r="FS12" s="6"/>
      <c r="FT12" s="81" t="s">
        <v>71</v>
      </c>
      <c r="FU12" s="86">
        <f t="shared" ref="FU12:FU21" si="94">FI12</f>
        <v>3299.0346915740802</v>
      </c>
      <c r="FV12" s="87">
        <f t="shared" si="42"/>
        <v>0.3</v>
      </c>
      <c r="FW12" s="300">
        <f t="shared" ref="FW12:FW16" si="95">FU12*FV12</f>
        <v>989.71040747222401</v>
      </c>
      <c r="FX12" s="91">
        <f t="shared" si="43"/>
        <v>0.01</v>
      </c>
      <c r="FY12" s="98">
        <f t="shared" ref="FY12:FY16" si="96">FW12*FX12*(44/28)</f>
        <v>15.552592117420662</v>
      </c>
      <c r="GB12" s="6"/>
      <c r="GC12" s="81" t="s">
        <v>71</v>
      </c>
      <c r="GD12" s="86">
        <f t="shared" ref="GD12:GD21" si="97">J40</f>
        <v>5484.744863542016</v>
      </c>
      <c r="GE12" s="87">
        <f>'EF peternakan'!$G$6</f>
        <v>0.34</v>
      </c>
      <c r="GF12" s="87">
        <f>'EF peternakan'!$H$6</f>
        <v>250</v>
      </c>
      <c r="GG12" s="91">
        <f t="shared" si="44"/>
        <v>31.025000000000002</v>
      </c>
      <c r="GH12" s="89">
        <f t="shared" si="45"/>
        <v>0.02</v>
      </c>
      <c r="GI12" s="83">
        <f t="shared" si="46"/>
        <v>3403.2841878278209</v>
      </c>
      <c r="GJ12" s="88">
        <v>0.02</v>
      </c>
      <c r="GK12" s="85">
        <f t="shared" si="47"/>
        <v>106.96036018887438</v>
      </c>
      <c r="GS12" s="6"/>
      <c r="GT12" s="81" t="s">
        <v>71</v>
      </c>
      <c r="GU12" s="86">
        <f>GI12</f>
        <v>3403.2841878278209</v>
      </c>
      <c r="GV12" s="87">
        <f t="shared" si="49"/>
        <v>0.3</v>
      </c>
      <c r="GW12" s="300">
        <f t="shared" ref="GW12:GW16" si="98">GU12*GV12</f>
        <v>1020.9852563483462</v>
      </c>
      <c r="GX12" s="91">
        <f t="shared" si="50"/>
        <v>0.01</v>
      </c>
      <c r="GY12" s="98">
        <f t="shared" si="51"/>
        <v>16.044054028331153</v>
      </c>
      <c r="HB12" s="6"/>
      <c r="HC12" s="81" t="s">
        <v>71</v>
      </c>
      <c r="HD12" s="86">
        <f t="shared" ref="HD12:HD21" si="99">K40</f>
        <v>5658.0628012299439</v>
      </c>
      <c r="HE12" s="87">
        <f>'EF peternakan'!$G$6</f>
        <v>0.34</v>
      </c>
      <c r="HF12" s="87">
        <f>'EF peternakan'!$H$6</f>
        <v>250</v>
      </c>
      <c r="HG12" s="91">
        <f t="shared" si="52"/>
        <v>31.025000000000002</v>
      </c>
      <c r="HH12" s="89">
        <f t="shared" si="53"/>
        <v>0.02</v>
      </c>
      <c r="HI12" s="83">
        <f t="shared" si="54"/>
        <v>3510.8279681631807</v>
      </c>
      <c r="HJ12" s="88">
        <v>0.02</v>
      </c>
      <c r="HK12" s="85">
        <f t="shared" si="55"/>
        <v>110.34030757084282</v>
      </c>
      <c r="HS12" s="6"/>
      <c r="HT12" s="81" t="s">
        <v>71</v>
      </c>
      <c r="HU12" s="86">
        <f t="shared" ref="HU12:HU21" si="100">HI12</f>
        <v>3510.8279681631807</v>
      </c>
      <c r="HV12" s="87">
        <f t="shared" si="56"/>
        <v>0.3</v>
      </c>
      <c r="HW12" s="300">
        <f t="shared" ref="HW12:HW16" si="101">HU12*HV12</f>
        <v>1053.2483904489541</v>
      </c>
      <c r="HX12" s="91">
        <f t="shared" si="57"/>
        <v>0.01</v>
      </c>
      <c r="HY12" s="98">
        <f t="shared" si="58"/>
        <v>16.551046135626422</v>
      </c>
      <c r="IB12" s="6"/>
      <c r="IC12" s="81" t="s">
        <v>71</v>
      </c>
      <c r="ID12" s="86">
        <f t="shared" ref="ID12:ID21" si="102">L40</f>
        <v>5831.3807389178701</v>
      </c>
      <c r="IE12" s="87">
        <f>'EF peternakan'!$G$6</f>
        <v>0.34</v>
      </c>
      <c r="IF12" s="87">
        <f>'EF peternakan'!$H$6</f>
        <v>250</v>
      </c>
      <c r="IG12" s="91">
        <f t="shared" si="59"/>
        <v>31.025000000000002</v>
      </c>
      <c r="IH12" s="89">
        <f t="shared" si="60"/>
        <v>0.02</v>
      </c>
      <c r="II12" s="83">
        <f t="shared" si="61"/>
        <v>3618.3717484985386</v>
      </c>
      <c r="IJ12" s="88">
        <v>0.02</v>
      </c>
      <c r="IK12" s="85">
        <f t="shared" si="62"/>
        <v>113.72025495281122</v>
      </c>
      <c r="IS12" s="6"/>
      <c r="IT12" s="81" t="s">
        <v>71</v>
      </c>
      <c r="IU12" s="86">
        <f t="shared" si="63"/>
        <v>3618.3717484985386</v>
      </c>
      <c r="IV12" s="87">
        <f t="shared" si="64"/>
        <v>0.3</v>
      </c>
      <c r="IW12" s="300">
        <f t="shared" ref="IW12:IW16" si="103">IU12*IV12</f>
        <v>1085.5115245495615</v>
      </c>
      <c r="IX12" s="91">
        <f t="shared" si="65"/>
        <v>0.01</v>
      </c>
      <c r="IY12" s="98">
        <f t="shared" si="66"/>
        <v>17.058038242921679</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82</v>
      </c>
      <c r="E13" s="87">
        <f>'EF peternakan'!$G$17</f>
        <v>0.32</v>
      </c>
      <c r="F13" s="293">
        <f>'EF peternakan'!$H$17</f>
        <v>300</v>
      </c>
      <c r="G13" s="91">
        <f t="shared" ref="G13:G21" si="106">E13*(F13/10^3)*365</f>
        <v>35.04</v>
      </c>
      <c r="H13" s="89">
        <f t="shared" si="76"/>
        <v>0.02</v>
      </c>
      <c r="I13" s="83">
        <f t="shared" ref="I13:I20" si="107">D13*G13*H13</f>
        <v>57.465599999999995</v>
      </c>
      <c r="J13" s="88">
        <v>0.02</v>
      </c>
      <c r="K13" s="85">
        <f t="shared" si="0"/>
        <v>1.806061714285714</v>
      </c>
      <c r="S13" s="6"/>
      <c r="T13" s="81" t="s">
        <v>22</v>
      </c>
      <c r="U13" s="86">
        <f t="shared" si="1"/>
        <v>57.465599999999995</v>
      </c>
      <c r="V13" s="87">
        <f t="shared" si="77"/>
        <v>0</v>
      </c>
      <c r="W13" s="300">
        <f t="shared" si="78"/>
        <v>0</v>
      </c>
      <c r="X13" s="91">
        <f t="shared" si="2"/>
        <v>0.01</v>
      </c>
      <c r="Y13" s="98">
        <f t="shared" si="3"/>
        <v>0</v>
      </c>
      <c r="AB13" s="6"/>
      <c r="AC13" s="81" t="s">
        <v>22</v>
      </c>
      <c r="AD13" s="86">
        <f t="shared" si="79"/>
        <v>78</v>
      </c>
      <c r="AE13" s="87">
        <f>'EF peternakan'!$G$17</f>
        <v>0.32</v>
      </c>
      <c r="AF13" s="87">
        <f>'EF peternakan'!$H$17</f>
        <v>300</v>
      </c>
      <c r="AG13" s="91">
        <f t="shared" si="4"/>
        <v>35.04</v>
      </c>
      <c r="AH13" s="89">
        <f t="shared" si="5"/>
        <v>0.02</v>
      </c>
      <c r="AI13" s="83">
        <f t="shared" si="6"/>
        <v>54.662399999999998</v>
      </c>
      <c r="AJ13" s="88">
        <v>0.02</v>
      </c>
      <c r="AK13" s="85">
        <f t="shared" si="7"/>
        <v>1.7179611428571429</v>
      </c>
      <c r="AS13" s="6"/>
      <c r="AT13" s="81" t="s">
        <v>22</v>
      </c>
      <c r="AU13" s="86">
        <f t="shared" si="8"/>
        <v>54.662399999999998</v>
      </c>
      <c r="AV13" s="87">
        <f t="shared" si="9"/>
        <v>0</v>
      </c>
      <c r="AW13" s="300">
        <f t="shared" si="80"/>
        <v>0</v>
      </c>
      <c r="AX13" s="91">
        <f t="shared" si="10"/>
        <v>0.01</v>
      </c>
      <c r="AY13" s="98">
        <f t="shared" si="11"/>
        <v>0</v>
      </c>
      <c r="BB13" s="6"/>
      <c r="BC13" s="81" t="s">
        <v>22</v>
      </c>
      <c r="BD13" s="86">
        <f t="shared" si="81"/>
        <v>68</v>
      </c>
      <c r="BE13" s="87">
        <f>'EF peternakan'!$G$17</f>
        <v>0.32</v>
      </c>
      <c r="BF13" s="87">
        <f>'EF peternakan'!$H$17</f>
        <v>300</v>
      </c>
      <c r="BG13" s="91">
        <f t="shared" si="82"/>
        <v>35.04</v>
      </c>
      <c r="BH13" s="89">
        <f t="shared" si="12"/>
        <v>0.02</v>
      </c>
      <c r="BI13" s="83">
        <f t="shared" ref="BI13:BI21" si="108">BD13*BG13*BH13</f>
        <v>47.654399999999995</v>
      </c>
      <c r="BJ13" s="88">
        <v>0.02</v>
      </c>
      <c r="BK13" s="85">
        <f t="shared" si="13"/>
        <v>1.4977097142857141</v>
      </c>
      <c r="BS13" s="6"/>
      <c r="BT13" s="81" t="s">
        <v>22</v>
      </c>
      <c r="BU13" s="86">
        <f t="shared" si="84"/>
        <v>47.654399999999995</v>
      </c>
      <c r="BV13" s="87">
        <f t="shared" si="14"/>
        <v>0</v>
      </c>
      <c r="BW13" s="300">
        <f t="shared" si="85"/>
        <v>0</v>
      </c>
      <c r="BX13" s="91">
        <f t="shared" si="15"/>
        <v>0.01</v>
      </c>
      <c r="BY13" s="98">
        <f t="shared" si="16"/>
        <v>0</v>
      </c>
      <c r="CB13" s="6"/>
      <c r="CC13" s="81" t="s">
        <v>22</v>
      </c>
      <c r="CD13" s="86">
        <f t="shared" si="86"/>
        <v>60</v>
      </c>
      <c r="CE13" s="87">
        <f>'EF peternakan'!$G$17</f>
        <v>0.32</v>
      </c>
      <c r="CF13" s="87">
        <f>'EF peternakan'!$H$17</f>
        <v>300</v>
      </c>
      <c r="CG13" s="91">
        <f t="shared" si="17"/>
        <v>35.04</v>
      </c>
      <c r="CH13" s="89">
        <f t="shared" si="18"/>
        <v>0.02</v>
      </c>
      <c r="CI13" s="83">
        <f t="shared" si="19"/>
        <v>42.048000000000002</v>
      </c>
      <c r="CJ13" s="88">
        <v>0.02</v>
      </c>
      <c r="CK13" s="85">
        <f t="shared" si="20"/>
        <v>1.3215085714285715</v>
      </c>
      <c r="CS13" s="6"/>
      <c r="CT13" s="81" t="s">
        <v>22</v>
      </c>
      <c r="CU13" s="86">
        <f t="shared" ref="CU13:CU15" si="109">CI13</f>
        <v>42.048000000000002</v>
      </c>
      <c r="CV13" s="87">
        <f t="shared" si="21"/>
        <v>0</v>
      </c>
      <c r="CW13" s="300">
        <f t="shared" si="87"/>
        <v>0</v>
      </c>
      <c r="CX13" s="91">
        <f t="shared" si="22"/>
        <v>0.01</v>
      </c>
      <c r="CY13" s="98">
        <f t="shared" si="23"/>
        <v>0</v>
      </c>
      <c r="DB13" s="6"/>
      <c r="DC13" s="81" t="s">
        <v>22</v>
      </c>
      <c r="DD13" s="86">
        <f t="shared" si="88"/>
        <v>72</v>
      </c>
      <c r="DE13" s="87">
        <f>'EF peternakan'!$G$17</f>
        <v>0.32</v>
      </c>
      <c r="DF13" s="87">
        <f>'EF peternakan'!$H$17</f>
        <v>300</v>
      </c>
      <c r="DG13" s="91">
        <f t="shared" si="24"/>
        <v>35.04</v>
      </c>
      <c r="DH13" s="89">
        <f t="shared" si="25"/>
        <v>0.02</v>
      </c>
      <c r="DI13" s="83">
        <f t="shared" si="26"/>
        <v>50.457600000000006</v>
      </c>
      <c r="DJ13" s="88">
        <v>0.02</v>
      </c>
      <c r="DK13" s="85">
        <f t="shared" si="27"/>
        <v>1.5858102857142857</v>
      </c>
      <c r="DS13" s="6"/>
      <c r="DT13" s="81" t="s">
        <v>22</v>
      </c>
      <c r="DU13" s="86">
        <f t="shared" si="89"/>
        <v>50.457600000000006</v>
      </c>
      <c r="DV13" s="87">
        <f t="shared" si="28"/>
        <v>0</v>
      </c>
      <c r="DW13" s="300">
        <f t="shared" si="90"/>
        <v>0</v>
      </c>
      <c r="DX13" s="91">
        <f t="shared" si="29"/>
        <v>0.01</v>
      </c>
      <c r="DY13" s="98">
        <f t="shared" si="30"/>
        <v>0</v>
      </c>
      <c r="EB13" s="6"/>
      <c r="EC13" s="81" t="s">
        <v>22</v>
      </c>
      <c r="ED13" s="86">
        <f t="shared" si="91"/>
        <v>91.374200000000002</v>
      </c>
      <c r="EE13" s="87">
        <f>'EF peternakan'!$G$17</f>
        <v>0.32</v>
      </c>
      <c r="EF13" s="87">
        <f>'EF peternakan'!$H$17</f>
        <v>300</v>
      </c>
      <c r="EG13" s="91">
        <f t="shared" si="31"/>
        <v>35.04</v>
      </c>
      <c r="EH13" s="89">
        <f t="shared" si="32"/>
        <v>0.02</v>
      </c>
      <c r="EI13" s="83">
        <f t="shared" si="33"/>
        <v>64.035039359999999</v>
      </c>
      <c r="EJ13" s="88">
        <v>0.02</v>
      </c>
      <c r="EK13" s="85">
        <f t="shared" si="34"/>
        <v>2.0125298084571428</v>
      </c>
      <c r="ES13" s="6"/>
      <c r="ET13" s="81" t="s">
        <v>22</v>
      </c>
      <c r="EU13" s="86">
        <f>EI13</f>
        <v>64.035039359999999</v>
      </c>
      <c r="EV13" s="87">
        <f t="shared" si="35"/>
        <v>0</v>
      </c>
      <c r="EW13" s="300">
        <f t="shared" si="92"/>
        <v>0</v>
      </c>
      <c r="EX13" s="91">
        <f t="shared" si="36"/>
        <v>0.01</v>
      </c>
      <c r="EY13" s="98">
        <f t="shared" si="37"/>
        <v>0</v>
      </c>
      <c r="FB13" s="6"/>
      <c r="FC13" s="81" t="s">
        <v>22</v>
      </c>
      <c r="FD13" s="86">
        <f t="shared" si="93"/>
        <v>91.491799999999998</v>
      </c>
      <c r="FE13" s="87">
        <f>'EF peternakan'!$G$17</f>
        <v>0.32</v>
      </c>
      <c r="FF13" s="87">
        <f>'EF peternakan'!$H$17</f>
        <v>300</v>
      </c>
      <c r="FG13" s="91">
        <f t="shared" si="38"/>
        <v>35.04</v>
      </c>
      <c r="FH13" s="89">
        <f t="shared" si="39"/>
        <v>0.02</v>
      </c>
      <c r="FI13" s="83">
        <f t="shared" si="40"/>
        <v>64.117453440000006</v>
      </c>
      <c r="FJ13" s="88">
        <v>0.02</v>
      </c>
      <c r="FK13" s="85">
        <f t="shared" si="41"/>
        <v>2.015119965257143</v>
      </c>
      <c r="FS13" s="6"/>
      <c r="FT13" s="81" t="s">
        <v>22</v>
      </c>
      <c r="FU13" s="86">
        <f t="shared" si="94"/>
        <v>64.117453440000006</v>
      </c>
      <c r="FV13" s="87">
        <f t="shared" si="42"/>
        <v>0</v>
      </c>
      <c r="FW13" s="300">
        <f t="shared" si="95"/>
        <v>0</v>
      </c>
      <c r="FX13" s="91">
        <f t="shared" si="43"/>
        <v>0.01</v>
      </c>
      <c r="FY13" s="98">
        <f t="shared" si="96"/>
        <v>0</v>
      </c>
      <c r="GB13" s="6"/>
      <c r="GC13" s="81" t="s">
        <v>22</v>
      </c>
      <c r="GD13" s="86">
        <f t="shared" si="97"/>
        <v>91.609399999999994</v>
      </c>
      <c r="GE13" s="87">
        <f>'EF peternakan'!$G$17</f>
        <v>0.32</v>
      </c>
      <c r="GF13" s="87">
        <f>'EF peternakan'!$H$17</f>
        <v>300</v>
      </c>
      <c r="GG13" s="91">
        <f t="shared" si="44"/>
        <v>35.04</v>
      </c>
      <c r="GH13" s="89">
        <f t="shared" si="45"/>
        <v>0.02</v>
      </c>
      <c r="GI13" s="83">
        <f t="shared" si="46"/>
        <v>64.199867519999998</v>
      </c>
      <c r="GJ13" s="88">
        <v>0.02</v>
      </c>
      <c r="GK13" s="85">
        <f t="shared" si="47"/>
        <v>2.0177101220571427</v>
      </c>
      <c r="GS13" s="6"/>
      <c r="GT13" s="81" t="s">
        <v>22</v>
      </c>
      <c r="GU13" s="86">
        <f t="shared" si="48"/>
        <v>64.199867519999998</v>
      </c>
      <c r="GV13" s="87">
        <f t="shared" si="49"/>
        <v>0</v>
      </c>
      <c r="GW13" s="300">
        <f t="shared" si="98"/>
        <v>0</v>
      </c>
      <c r="GX13" s="91">
        <f t="shared" si="50"/>
        <v>0.01</v>
      </c>
      <c r="GY13" s="98">
        <f t="shared" si="51"/>
        <v>0</v>
      </c>
      <c r="HB13" s="6"/>
      <c r="HC13" s="81" t="s">
        <v>22</v>
      </c>
      <c r="HD13" s="86">
        <f t="shared" si="99"/>
        <v>91.727000000000004</v>
      </c>
      <c r="HE13" s="87">
        <f>'EF peternakan'!$G$17</f>
        <v>0.32</v>
      </c>
      <c r="HF13" s="87">
        <f>'EF peternakan'!$H$17</f>
        <v>300</v>
      </c>
      <c r="HG13" s="91">
        <f t="shared" si="52"/>
        <v>35.04</v>
      </c>
      <c r="HH13" s="89">
        <f t="shared" si="53"/>
        <v>0.02</v>
      </c>
      <c r="HI13" s="83">
        <f t="shared" si="54"/>
        <v>64.282281600000005</v>
      </c>
      <c r="HJ13" s="88">
        <v>0.02</v>
      </c>
      <c r="HK13" s="85">
        <f t="shared" si="55"/>
        <v>2.0203002788571429</v>
      </c>
      <c r="HS13" s="6"/>
      <c r="HT13" s="81" t="s">
        <v>22</v>
      </c>
      <c r="HU13" s="86">
        <f t="shared" si="100"/>
        <v>64.282281600000005</v>
      </c>
      <c r="HV13" s="87">
        <f t="shared" si="56"/>
        <v>0</v>
      </c>
      <c r="HW13" s="300">
        <f t="shared" si="101"/>
        <v>0</v>
      </c>
      <c r="HX13" s="91">
        <f t="shared" si="57"/>
        <v>0.01</v>
      </c>
      <c r="HY13" s="98">
        <f t="shared" si="58"/>
        <v>0</v>
      </c>
      <c r="IB13" s="6"/>
      <c r="IC13" s="81" t="s">
        <v>22</v>
      </c>
      <c r="ID13" s="86">
        <f t="shared" si="102"/>
        <v>91.8446</v>
      </c>
      <c r="IE13" s="87">
        <f>'EF peternakan'!$G$17</f>
        <v>0.32</v>
      </c>
      <c r="IF13" s="87">
        <f>'EF peternakan'!$H$17</f>
        <v>300</v>
      </c>
      <c r="IG13" s="91">
        <f t="shared" si="59"/>
        <v>35.04</v>
      </c>
      <c r="IH13" s="89">
        <f t="shared" si="60"/>
        <v>0.02</v>
      </c>
      <c r="II13" s="83">
        <f t="shared" si="61"/>
        <v>64.364695679999997</v>
      </c>
      <c r="IJ13" s="88">
        <v>0.02</v>
      </c>
      <c r="IK13" s="85">
        <f t="shared" si="62"/>
        <v>2.0228904356571427</v>
      </c>
      <c r="IS13" s="6"/>
      <c r="IT13" s="81" t="s">
        <v>22</v>
      </c>
      <c r="IU13" s="86">
        <f t="shared" si="63"/>
        <v>64.364695679999997</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268</v>
      </c>
      <c r="E14" s="87">
        <f>'EF peternakan'!$G$14</f>
        <v>1.17</v>
      </c>
      <c r="F14" s="293">
        <f>'EF peternakan'!$H$14</f>
        <v>45</v>
      </c>
      <c r="G14" s="91">
        <f t="shared" si="106"/>
        <v>19.21725</v>
      </c>
      <c r="H14" s="89">
        <f t="shared" si="76"/>
        <v>0.02</v>
      </c>
      <c r="I14" s="83">
        <f t="shared" si="107"/>
        <v>103.00445999999999</v>
      </c>
      <c r="J14" s="88">
        <v>0.02</v>
      </c>
      <c r="K14" s="85">
        <f t="shared" si="0"/>
        <v>3.237283028571428</v>
      </c>
      <c r="S14" s="6"/>
      <c r="T14" s="81" t="s">
        <v>65</v>
      </c>
      <c r="U14" s="86">
        <f t="shared" si="1"/>
        <v>103.00445999999999</v>
      </c>
      <c r="V14" s="87">
        <f t="shared" si="77"/>
        <v>0</v>
      </c>
      <c r="W14" s="300">
        <f t="shared" si="78"/>
        <v>0</v>
      </c>
      <c r="X14" s="91">
        <f t="shared" si="2"/>
        <v>0.01</v>
      </c>
      <c r="Y14" s="98">
        <f t="shared" si="3"/>
        <v>0</v>
      </c>
      <c r="AB14" s="6"/>
      <c r="AC14" s="81" t="s">
        <v>65</v>
      </c>
      <c r="AD14" s="86">
        <f t="shared" si="79"/>
        <v>298</v>
      </c>
      <c r="AE14" s="87">
        <f>'EF peternakan'!$G$14</f>
        <v>1.17</v>
      </c>
      <c r="AF14" s="87">
        <f>'EF peternakan'!$H$14</f>
        <v>45</v>
      </c>
      <c r="AG14" s="91">
        <f t="shared" si="4"/>
        <v>19.21725</v>
      </c>
      <c r="AH14" s="89">
        <f t="shared" si="5"/>
        <v>0.02</v>
      </c>
      <c r="AI14" s="83">
        <f t="shared" si="6"/>
        <v>114.53480999999999</v>
      </c>
      <c r="AJ14" s="88">
        <v>0.02</v>
      </c>
      <c r="AK14" s="85">
        <f t="shared" si="7"/>
        <v>3.5996654571428568</v>
      </c>
      <c r="AS14" s="6"/>
      <c r="AT14" s="81" t="s">
        <v>65</v>
      </c>
      <c r="AU14" s="86">
        <f t="shared" si="8"/>
        <v>114.53480999999999</v>
      </c>
      <c r="AV14" s="87">
        <f t="shared" si="9"/>
        <v>0</v>
      </c>
      <c r="AW14" s="300">
        <f t="shared" si="80"/>
        <v>0</v>
      </c>
      <c r="AX14" s="91">
        <f t="shared" si="10"/>
        <v>0.01</v>
      </c>
      <c r="AY14" s="98">
        <f t="shared" si="11"/>
        <v>0</v>
      </c>
      <c r="BB14" s="6"/>
      <c r="BC14" s="81" t="s">
        <v>65</v>
      </c>
      <c r="BD14" s="86">
        <f t="shared" si="81"/>
        <v>88</v>
      </c>
      <c r="BE14" s="87">
        <f>'EF peternakan'!$G$14</f>
        <v>1.17</v>
      </c>
      <c r="BF14" s="87">
        <f>'EF peternakan'!$H$14</f>
        <v>45</v>
      </c>
      <c r="BG14" s="91">
        <f t="shared" si="82"/>
        <v>19.21725</v>
      </c>
      <c r="BH14" s="89">
        <f t="shared" si="12"/>
        <v>0.02</v>
      </c>
      <c r="BI14" s="83">
        <f t="shared" si="108"/>
        <v>33.822359999999996</v>
      </c>
      <c r="BJ14" s="88">
        <v>0.02</v>
      </c>
      <c r="BK14" s="85">
        <f t="shared" si="13"/>
        <v>1.0629884571428569</v>
      </c>
      <c r="BS14" s="6"/>
      <c r="BT14" s="81" t="s">
        <v>65</v>
      </c>
      <c r="BU14" s="86">
        <f t="shared" si="84"/>
        <v>33.822359999999996</v>
      </c>
      <c r="BV14" s="87">
        <f t="shared" si="14"/>
        <v>0</v>
      </c>
      <c r="BW14" s="300">
        <f t="shared" si="85"/>
        <v>0</v>
      </c>
      <c r="BX14" s="91">
        <f t="shared" si="15"/>
        <v>0.01</v>
      </c>
      <c r="BY14" s="98">
        <f t="shared" si="16"/>
        <v>0</v>
      </c>
      <c r="CB14" s="6"/>
      <c r="CC14" s="81" t="s">
        <v>65</v>
      </c>
      <c r="CD14" s="86">
        <f t="shared" si="86"/>
        <v>51</v>
      </c>
      <c r="CE14" s="87">
        <f>'EF peternakan'!$G$14</f>
        <v>1.17</v>
      </c>
      <c r="CF14" s="87">
        <f>'EF peternakan'!$H$14</f>
        <v>45</v>
      </c>
      <c r="CG14" s="91">
        <f t="shared" si="17"/>
        <v>19.21725</v>
      </c>
      <c r="CH14" s="89">
        <f t="shared" si="18"/>
        <v>0.02</v>
      </c>
      <c r="CI14" s="83">
        <f t="shared" si="19"/>
        <v>19.601595</v>
      </c>
      <c r="CJ14" s="88">
        <v>0.02</v>
      </c>
      <c r="CK14" s="85">
        <f t="shared" si="20"/>
        <v>0.61605012857142849</v>
      </c>
      <c r="CS14" s="6"/>
      <c r="CT14" s="81" t="s">
        <v>65</v>
      </c>
      <c r="CU14" s="86">
        <f>CI14</f>
        <v>19.601595</v>
      </c>
      <c r="CV14" s="87">
        <f t="shared" si="21"/>
        <v>0</v>
      </c>
      <c r="CW14" s="300">
        <f t="shared" si="87"/>
        <v>0</v>
      </c>
      <c r="CX14" s="91">
        <f t="shared" si="22"/>
        <v>0.01</v>
      </c>
      <c r="CY14" s="98">
        <f t="shared" si="23"/>
        <v>0</v>
      </c>
      <c r="DB14" s="6"/>
      <c r="DC14" s="81" t="s">
        <v>65</v>
      </c>
      <c r="DD14" s="86">
        <f t="shared" si="88"/>
        <v>63</v>
      </c>
      <c r="DE14" s="87">
        <f>'EF peternakan'!$G$14</f>
        <v>1.17</v>
      </c>
      <c r="DF14" s="87">
        <f>'EF peternakan'!$H$14</f>
        <v>45</v>
      </c>
      <c r="DG14" s="91">
        <f t="shared" si="24"/>
        <v>19.21725</v>
      </c>
      <c r="DH14" s="89">
        <f t="shared" si="25"/>
        <v>0.02</v>
      </c>
      <c r="DI14" s="83">
        <f t="shared" si="26"/>
        <v>24.213735000000003</v>
      </c>
      <c r="DJ14" s="88">
        <v>0.02</v>
      </c>
      <c r="DK14" s="85">
        <f t="shared" si="27"/>
        <v>0.76100310000000004</v>
      </c>
      <c r="DS14" s="6"/>
      <c r="DT14" s="81" t="s">
        <v>65</v>
      </c>
      <c r="DU14" s="86">
        <f t="shared" si="89"/>
        <v>24.213735000000003</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12635</v>
      </c>
      <c r="E15" s="87">
        <f>'EF peternakan'!$G$15</f>
        <v>1.37</v>
      </c>
      <c r="F15" s="293">
        <f>'EF peternakan'!$H$15</f>
        <v>40</v>
      </c>
      <c r="G15" s="91">
        <f t="shared" si="106"/>
        <v>20.002000000000002</v>
      </c>
      <c r="H15" s="89">
        <f t="shared" si="76"/>
        <v>0.02</v>
      </c>
      <c r="I15" s="83">
        <f t="shared" si="107"/>
        <v>5054.5054000000009</v>
      </c>
      <c r="J15" s="88">
        <v>0.02</v>
      </c>
      <c r="K15" s="85">
        <f t="shared" si="0"/>
        <v>158.85588400000003</v>
      </c>
      <c r="S15" s="6"/>
      <c r="T15" s="291" t="s">
        <v>23</v>
      </c>
      <c r="U15" s="86">
        <f t="shared" si="1"/>
        <v>5054.5054000000009</v>
      </c>
      <c r="V15" s="87">
        <f t="shared" si="77"/>
        <v>0</v>
      </c>
      <c r="W15" s="300">
        <f t="shared" si="78"/>
        <v>0</v>
      </c>
      <c r="X15" s="91">
        <f t="shared" si="2"/>
        <v>0.01</v>
      </c>
      <c r="Y15" s="98">
        <f t="shared" si="3"/>
        <v>0</v>
      </c>
      <c r="AB15" s="6"/>
      <c r="AC15" s="291" t="s">
        <v>23</v>
      </c>
      <c r="AD15" s="86">
        <f t="shared" si="79"/>
        <v>13440</v>
      </c>
      <c r="AE15" s="87">
        <f>'EF peternakan'!$G$15</f>
        <v>1.37</v>
      </c>
      <c r="AF15" s="87">
        <f>'EF peternakan'!$H$15</f>
        <v>40</v>
      </c>
      <c r="AG15" s="91">
        <f t="shared" si="4"/>
        <v>20.002000000000002</v>
      </c>
      <c r="AH15" s="89">
        <f t="shared" si="5"/>
        <v>0.02</v>
      </c>
      <c r="AI15" s="83">
        <f t="shared" si="6"/>
        <v>5376.5376000000006</v>
      </c>
      <c r="AJ15" s="88">
        <v>0.02</v>
      </c>
      <c r="AK15" s="85">
        <f t="shared" si="7"/>
        <v>168.97689600000001</v>
      </c>
      <c r="AS15" s="6"/>
      <c r="AT15" s="291" t="s">
        <v>23</v>
      </c>
      <c r="AU15" s="86">
        <f t="shared" si="8"/>
        <v>5376.5376000000006</v>
      </c>
      <c r="AV15" s="87">
        <f t="shared" si="9"/>
        <v>0</v>
      </c>
      <c r="AW15" s="300">
        <f t="shared" si="80"/>
        <v>0</v>
      </c>
      <c r="AX15" s="91">
        <f t="shared" si="10"/>
        <v>0.01</v>
      </c>
      <c r="AY15" s="98">
        <f t="shared" si="11"/>
        <v>0</v>
      </c>
      <c r="BB15" s="6"/>
      <c r="BC15" s="291" t="s">
        <v>23</v>
      </c>
      <c r="BD15" s="86">
        <f t="shared" si="81"/>
        <v>10353</v>
      </c>
      <c r="BE15" s="87">
        <f>'EF peternakan'!$G$15</f>
        <v>1.37</v>
      </c>
      <c r="BF15" s="87">
        <f>'EF peternakan'!$H$15</f>
        <v>40</v>
      </c>
      <c r="BG15" s="91">
        <f t="shared" si="82"/>
        <v>20.002000000000002</v>
      </c>
      <c r="BH15" s="89">
        <f t="shared" si="12"/>
        <v>0.02</v>
      </c>
      <c r="BI15" s="83">
        <f t="shared" si="108"/>
        <v>4141.6141200000011</v>
      </c>
      <c r="BJ15" s="88">
        <v>0.02</v>
      </c>
      <c r="BK15" s="85">
        <f t="shared" si="13"/>
        <v>130.16501520000003</v>
      </c>
      <c r="BS15" s="6"/>
      <c r="BT15" s="291" t="s">
        <v>23</v>
      </c>
      <c r="BU15" s="86">
        <f t="shared" si="84"/>
        <v>4141.6141200000011</v>
      </c>
      <c r="BV15" s="87">
        <f t="shared" si="14"/>
        <v>0</v>
      </c>
      <c r="BW15" s="300">
        <f t="shared" si="85"/>
        <v>0</v>
      </c>
      <c r="BX15" s="91">
        <f t="shared" si="15"/>
        <v>0.01</v>
      </c>
      <c r="BY15" s="98">
        <f t="shared" si="16"/>
        <v>0</v>
      </c>
      <c r="CB15" s="6"/>
      <c r="CC15" s="291" t="s">
        <v>23</v>
      </c>
      <c r="CD15" s="86">
        <f t="shared" si="86"/>
        <v>9730</v>
      </c>
      <c r="CE15" s="87">
        <f>'EF peternakan'!$G$15</f>
        <v>1.37</v>
      </c>
      <c r="CF15" s="87">
        <f>'EF peternakan'!$H$15</f>
        <v>40</v>
      </c>
      <c r="CG15" s="91">
        <f t="shared" si="17"/>
        <v>20.002000000000002</v>
      </c>
      <c r="CH15" s="89">
        <f t="shared" si="18"/>
        <v>0.02</v>
      </c>
      <c r="CI15" s="83">
        <f t="shared" si="19"/>
        <v>3892.3892000000005</v>
      </c>
      <c r="CJ15" s="88">
        <v>0.02</v>
      </c>
      <c r="CK15" s="85">
        <f t="shared" si="20"/>
        <v>122.33223200000003</v>
      </c>
      <c r="CS15" s="6"/>
      <c r="CT15" s="291" t="s">
        <v>23</v>
      </c>
      <c r="CU15" s="86">
        <f t="shared" si="109"/>
        <v>3892.3892000000005</v>
      </c>
      <c r="CV15" s="87">
        <f t="shared" si="21"/>
        <v>0</v>
      </c>
      <c r="CW15" s="300">
        <f t="shared" si="87"/>
        <v>0</v>
      </c>
      <c r="CX15" s="91">
        <f t="shared" si="22"/>
        <v>0.01</v>
      </c>
      <c r="CY15" s="98">
        <f t="shared" si="23"/>
        <v>0</v>
      </c>
      <c r="DB15" s="6"/>
      <c r="DC15" s="291" t="s">
        <v>23</v>
      </c>
      <c r="DD15" s="86">
        <f t="shared" si="88"/>
        <v>10371</v>
      </c>
      <c r="DE15" s="87">
        <f>'EF peternakan'!$G$15</f>
        <v>1.37</v>
      </c>
      <c r="DF15" s="87">
        <f>'EF peternakan'!$H$15</f>
        <v>40</v>
      </c>
      <c r="DG15" s="91">
        <f t="shared" si="24"/>
        <v>20.002000000000002</v>
      </c>
      <c r="DH15" s="89">
        <f t="shared" si="25"/>
        <v>0.02</v>
      </c>
      <c r="DI15" s="83">
        <f t="shared" si="26"/>
        <v>4148.8148400000009</v>
      </c>
      <c r="DJ15" s="88">
        <v>0.02</v>
      </c>
      <c r="DK15" s="85">
        <f t="shared" si="27"/>
        <v>130.39132354285715</v>
      </c>
      <c r="DS15" s="6"/>
      <c r="DT15" s="291" t="s">
        <v>23</v>
      </c>
      <c r="DU15" s="86">
        <f t="shared" si="89"/>
        <v>4148.8148400000009</v>
      </c>
      <c r="DV15" s="87">
        <f t="shared" si="28"/>
        <v>0</v>
      </c>
      <c r="DW15" s="300">
        <f t="shared" si="90"/>
        <v>0</v>
      </c>
      <c r="DX15" s="91">
        <f t="shared" si="29"/>
        <v>0.01</v>
      </c>
      <c r="DY15" s="98">
        <f t="shared" si="30"/>
        <v>0</v>
      </c>
      <c r="EB15" s="6"/>
      <c r="EC15" s="291" t="s">
        <v>23</v>
      </c>
      <c r="ED15" s="86">
        <f t="shared" si="91"/>
        <v>14149.699999999999</v>
      </c>
      <c r="EE15" s="87">
        <f>'EF peternakan'!$G$15</f>
        <v>1.37</v>
      </c>
      <c r="EF15" s="87">
        <f>'EF peternakan'!$H$15</f>
        <v>40</v>
      </c>
      <c r="EG15" s="91">
        <f t="shared" si="31"/>
        <v>20.002000000000002</v>
      </c>
      <c r="EH15" s="89">
        <f t="shared" si="32"/>
        <v>0.02</v>
      </c>
      <c r="EI15" s="83">
        <f t="shared" si="33"/>
        <v>5660.4459880000004</v>
      </c>
      <c r="EJ15" s="88">
        <v>0.02</v>
      </c>
      <c r="EK15" s="85">
        <f t="shared" si="34"/>
        <v>177.8997310514286</v>
      </c>
      <c r="ES15" s="6"/>
      <c r="ET15" s="291" t="s">
        <v>23</v>
      </c>
      <c r="EU15" s="86">
        <f t="shared" si="110"/>
        <v>5660.4459880000004</v>
      </c>
      <c r="EV15" s="87">
        <f t="shared" si="35"/>
        <v>0</v>
      </c>
      <c r="EW15" s="300">
        <f t="shared" si="92"/>
        <v>0</v>
      </c>
      <c r="EX15" s="91">
        <f t="shared" si="36"/>
        <v>0.01</v>
      </c>
      <c r="EY15" s="98">
        <f t="shared" si="37"/>
        <v>0</v>
      </c>
      <c r="FB15" s="6"/>
      <c r="FC15" s="291" t="s">
        <v>23</v>
      </c>
      <c r="FD15" s="86">
        <f t="shared" si="93"/>
        <v>14438.099999999999</v>
      </c>
      <c r="FE15" s="87">
        <f>'EF peternakan'!$G$15</f>
        <v>1.37</v>
      </c>
      <c r="FF15" s="87">
        <f>'EF peternakan'!$H$15</f>
        <v>40</v>
      </c>
      <c r="FG15" s="91">
        <f t="shared" si="38"/>
        <v>20.002000000000002</v>
      </c>
      <c r="FH15" s="89">
        <f t="shared" si="39"/>
        <v>0.02</v>
      </c>
      <c r="FI15" s="83">
        <f t="shared" si="40"/>
        <v>5775.817524</v>
      </c>
      <c r="FJ15" s="88">
        <v>0.02</v>
      </c>
      <c r="FK15" s="85">
        <f t="shared" si="41"/>
        <v>181.52569361142858</v>
      </c>
      <c r="FS15" s="6"/>
      <c r="FT15" s="291" t="s">
        <v>23</v>
      </c>
      <c r="FU15" s="86">
        <f t="shared" si="94"/>
        <v>5775.817524</v>
      </c>
      <c r="FV15" s="87">
        <f t="shared" si="42"/>
        <v>0</v>
      </c>
      <c r="FW15" s="300">
        <f t="shared" si="95"/>
        <v>0</v>
      </c>
      <c r="FX15" s="91">
        <f t="shared" si="43"/>
        <v>0.01</v>
      </c>
      <c r="FY15" s="98">
        <f t="shared" si="96"/>
        <v>0</v>
      </c>
      <c r="GB15" s="6"/>
      <c r="GC15" s="291" t="s">
        <v>23</v>
      </c>
      <c r="GD15" s="86">
        <f t="shared" si="97"/>
        <v>14726.5</v>
      </c>
      <c r="GE15" s="87">
        <f>'EF peternakan'!$G$15</f>
        <v>1.37</v>
      </c>
      <c r="GF15" s="87">
        <f>'EF peternakan'!$H$15</f>
        <v>40</v>
      </c>
      <c r="GG15" s="91">
        <f t="shared" si="44"/>
        <v>20.002000000000002</v>
      </c>
      <c r="GH15" s="89">
        <f t="shared" si="45"/>
        <v>0.02</v>
      </c>
      <c r="GI15" s="83">
        <f t="shared" si="46"/>
        <v>5891.1890600000006</v>
      </c>
      <c r="GJ15" s="88">
        <v>0.02</v>
      </c>
      <c r="GK15" s="85">
        <f t="shared" si="47"/>
        <v>185.15165617142858</v>
      </c>
      <c r="GS15" s="6"/>
      <c r="GT15" s="291" t="s">
        <v>23</v>
      </c>
      <c r="GU15" s="86">
        <f t="shared" si="48"/>
        <v>5891.1890600000006</v>
      </c>
      <c r="GV15" s="87">
        <f t="shared" si="49"/>
        <v>0</v>
      </c>
      <c r="GW15" s="300">
        <f t="shared" si="98"/>
        <v>0</v>
      </c>
      <c r="GX15" s="91">
        <f t="shared" si="50"/>
        <v>0.01</v>
      </c>
      <c r="GY15" s="98">
        <f t="shared" si="51"/>
        <v>0</v>
      </c>
      <c r="HB15" s="6"/>
      <c r="HC15" s="291" t="s">
        <v>23</v>
      </c>
      <c r="HD15" s="86">
        <f t="shared" si="99"/>
        <v>15014.9</v>
      </c>
      <c r="HE15" s="87">
        <f>'EF peternakan'!$G$15</f>
        <v>1.37</v>
      </c>
      <c r="HF15" s="87">
        <f>'EF peternakan'!$H$15</f>
        <v>40</v>
      </c>
      <c r="HG15" s="91">
        <f t="shared" si="52"/>
        <v>20.002000000000002</v>
      </c>
      <c r="HH15" s="89">
        <f t="shared" si="53"/>
        <v>0.02</v>
      </c>
      <c r="HI15" s="83">
        <f t="shared" si="54"/>
        <v>6006.5605960000003</v>
      </c>
      <c r="HJ15" s="88">
        <v>0.02</v>
      </c>
      <c r="HK15" s="85">
        <f t="shared" si="55"/>
        <v>188.77761873142859</v>
      </c>
      <c r="HS15" s="6"/>
      <c r="HT15" s="291" t="s">
        <v>23</v>
      </c>
      <c r="HU15" s="86">
        <f t="shared" si="100"/>
        <v>6006.5605960000003</v>
      </c>
      <c r="HV15" s="87">
        <f t="shared" si="56"/>
        <v>0</v>
      </c>
      <c r="HW15" s="300">
        <f t="shared" si="101"/>
        <v>0</v>
      </c>
      <c r="HX15" s="91">
        <f t="shared" si="57"/>
        <v>0.01</v>
      </c>
      <c r="HY15" s="98">
        <f t="shared" si="58"/>
        <v>0</v>
      </c>
      <c r="IB15" s="6"/>
      <c r="IC15" s="291" t="s">
        <v>23</v>
      </c>
      <c r="ID15" s="86">
        <f t="shared" si="102"/>
        <v>15303.3</v>
      </c>
      <c r="IE15" s="87">
        <f>'EF peternakan'!$G$15</f>
        <v>1.37</v>
      </c>
      <c r="IF15" s="87">
        <f>'EF peternakan'!$H$15</f>
        <v>40</v>
      </c>
      <c r="IG15" s="91">
        <f t="shared" si="59"/>
        <v>20.002000000000002</v>
      </c>
      <c r="IH15" s="89">
        <f t="shared" si="60"/>
        <v>0.02</v>
      </c>
      <c r="II15" s="83">
        <f t="shared" si="61"/>
        <v>6121.9321319999999</v>
      </c>
      <c r="IJ15" s="88">
        <v>0.02</v>
      </c>
      <c r="IK15" s="85">
        <f t="shared" si="62"/>
        <v>192.40358129142857</v>
      </c>
      <c r="IS15" s="6"/>
      <c r="IT15" s="291" t="s">
        <v>23</v>
      </c>
      <c r="IU15" s="86">
        <f t="shared" si="63"/>
        <v>6121.9321319999999</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7</v>
      </c>
      <c r="E16" s="87">
        <f>'EF peternakan'!$G$16</f>
        <v>0.46</v>
      </c>
      <c r="F16" s="293">
        <f>'EF peternakan'!$H$16</f>
        <v>550</v>
      </c>
      <c r="G16" s="91">
        <f t="shared" si="106"/>
        <v>92.345000000000027</v>
      </c>
      <c r="H16" s="89">
        <f t="shared" si="76"/>
        <v>0.02</v>
      </c>
      <c r="I16" s="83">
        <f t="shared" si="107"/>
        <v>12.928300000000004</v>
      </c>
      <c r="J16" s="88">
        <v>0.02</v>
      </c>
      <c r="K16" s="85">
        <f t="shared" si="0"/>
        <v>0.40631800000000012</v>
      </c>
      <c r="S16" s="6"/>
      <c r="T16" s="291" t="s">
        <v>24</v>
      </c>
      <c r="U16" s="86">
        <f t="shared" si="1"/>
        <v>12.928300000000004</v>
      </c>
      <c r="V16" s="87">
        <f t="shared" si="77"/>
        <v>0</v>
      </c>
      <c r="W16" s="300">
        <f t="shared" si="78"/>
        <v>0</v>
      </c>
      <c r="X16" s="91">
        <f t="shared" si="2"/>
        <v>0.01</v>
      </c>
      <c r="Y16" s="98">
        <f t="shared" si="3"/>
        <v>0</v>
      </c>
      <c r="AB16" s="6"/>
      <c r="AC16" s="291" t="s">
        <v>24</v>
      </c>
      <c r="AD16" s="86">
        <f t="shared" si="79"/>
        <v>7</v>
      </c>
      <c r="AE16" s="87">
        <f>'EF peternakan'!$G$16</f>
        <v>0.46</v>
      </c>
      <c r="AF16" s="87">
        <f>'EF peternakan'!$H$16</f>
        <v>550</v>
      </c>
      <c r="AG16" s="91">
        <f t="shared" si="4"/>
        <v>92.345000000000027</v>
      </c>
      <c r="AH16" s="89">
        <f t="shared" si="5"/>
        <v>0.02</v>
      </c>
      <c r="AI16" s="83">
        <f t="shared" si="6"/>
        <v>12.928300000000004</v>
      </c>
      <c r="AJ16" s="88">
        <v>0.02</v>
      </c>
      <c r="AK16" s="85">
        <f t="shared" si="7"/>
        <v>0.40631800000000012</v>
      </c>
      <c r="AS16" s="6"/>
      <c r="AT16" s="291" t="s">
        <v>24</v>
      </c>
      <c r="AU16" s="86">
        <f>AI16</f>
        <v>12.928300000000004</v>
      </c>
      <c r="AV16" s="87">
        <f t="shared" si="9"/>
        <v>0</v>
      </c>
      <c r="AW16" s="300">
        <f t="shared" si="80"/>
        <v>0</v>
      </c>
      <c r="AX16" s="91">
        <f t="shared" si="10"/>
        <v>0.01</v>
      </c>
      <c r="AY16" s="98">
        <f t="shared" si="11"/>
        <v>0</v>
      </c>
      <c r="BB16" s="6"/>
      <c r="BC16" s="291" t="s">
        <v>24</v>
      </c>
      <c r="BD16" s="86">
        <f t="shared" si="81"/>
        <v>16</v>
      </c>
      <c r="BE16" s="87">
        <f>'EF peternakan'!$G$16</f>
        <v>0.46</v>
      </c>
      <c r="BF16" s="87">
        <f>'EF peternakan'!$H$16</f>
        <v>550</v>
      </c>
      <c r="BG16" s="91">
        <f t="shared" si="82"/>
        <v>92.345000000000027</v>
      </c>
      <c r="BH16" s="89">
        <f t="shared" si="12"/>
        <v>0.02</v>
      </c>
      <c r="BI16" s="83">
        <f t="shared" si="108"/>
        <v>29.55040000000001</v>
      </c>
      <c r="BJ16" s="88">
        <v>0.02</v>
      </c>
      <c r="BK16" s="85">
        <f t="shared" si="13"/>
        <v>0.92872685714285741</v>
      </c>
      <c r="BS16" s="6"/>
      <c r="BT16" s="291" t="s">
        <v>24</v>
      </c>
      <c r="BU16" s="86">
        <f>BI16</f>
        <v>29.55040000000001</v>
      </c>
      <c r="BV16" s="87">
        <f t="shared" si="14"/>
        <v>0</v>
      </c>
      <c r="BW16" s="300">
        <f t="shared" si="85"/>
        <v>0</v>
      </c>
      <c r="BX16" s="91">
        <f t="shared" si="15"/>
        <v>0.01</v>
      </c>
      <c r="BY16" s="98">
        <f t="shared" si="16"/>
        <v>0</v>
      </c>
      <c r="CB16" s="6"/>
      <c r="CC16" s="291" t="s">
        <v>24</v>
      </c>
      <c r="CD16" s="86">
        <f t="shared" si="86"/>
        <v>7</v>
      </c>
      <c r="CE16" s="87">
        <f>'EF peternakan'!$G$16</f>
        <v>0.46</v>
      </c>
      <c r="CF16" s="87">
        <f>'EF peternakan'!$H$16</f>
        <v>550</v>
      </c>
      <c r="CG16" s="91">
        <f t="shared" si="17"/>
        <v>92.345000000000027</v>
      </c>
      <c r="CH16" s="89">
        <f t="shared" si="18"/>
        <v>0.02</v>
      </c>
      <c r="CI16" s="83">
        <f>CD16*CG16*CH16</f>
        <v>12.928300000000004</v>
      </c>
      <c r="CJ16" s="88">
        <v>0.02</v>
      </c>
      <c r="CK16" s="85">
        <f t="shared" si="20"/>
        <v>0.40631800000000012</v>
      </c>
      <c r="CS16" s="6"/>
      <c r="CT16" s="291" t="s">
        <v>24</v>
      </c>
      <c r="CU16" s="86">
        <f>CI16</f>
        <v>12.928300000000004</v>
      </c>
      <c r="CV16" s="87">
        <f t="shared" si="21"/>
        <v>0</v>
      </c>
      <c r="CW16" s="300">
        <f t="shared" si="87"/>
        <v>0</v>
      </c>
      <c r="CX16" s="91">
        <f t="shared" si="22"/>
        <v>0.01</v>
      </c>
      <c r="CY16" s="98">
        <f t="shared" si="23"/>
        <v>0</v>
      </c>
      <c r="DB16" s="6"/>
      <c r="DC16" s="291" t="s">
        <v>24</v>
      </c>
      <c r="DD16" s="86">
        <f t="shared" si="88"/>
        <v>10</v>
      </c>
      <c r="DE16" s="87">
        <f>'EF peternakan'!$G$16</f>
        <v>0.46</v>
      </c>
      <c r="DF16" s="87">
        <f>'EF peternakan'!$H$16</f>
        <v>550</v>
      </c>
      <c r="DG16" s="91">
        <f t="shared" si="24"/>
        <v>92.345000000000027</v>
      </c>
      <c r="DH16" s="89">
        <f t="shared" si="25"/>
        <v>0.02</v>
      </c>
      <c r="DI16" s="83">
        <f>DD16*DG16*DH16</f>
        <v>18.469000000000005</v>
      </c>
      <c r="DJ16" s="88">
        <v>0.02</v>
      </c>
      <c r="DK16" s="85">
        <f>DI16*DJ16*(44/28)</f>
        <v>0.58045428571428581</v>
      </c>
      <c r="DS16" s="6"/>
      <c r="DT16" s="291" t="s">
        <v>24</v>
      </c>
      <c r="DU16" s="86">
        <f>DI16</f>
        <v>18.469000000000005</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405390</v>
      </c>
      <c r="E17" s="87">
        <f>'EF peternakan'!$G$10</f>
        <v>0.82</v>
      </c>
      <c r="F17" s="293">
        <f>'EF peternakan'!$H$10</f>
        <v>2</v>
      </c>
      <c r="G17" s="9">
        <f t="shared" si="106"/>
        <v>0.59860000000000002</v>
      </c>
      <c r="H17" s="89">
        <f t="shared" si="76"/>
        <v>0.02</v>
      </c>
      <c r="I17" s="83">
        <f t="shared" si="107"/>
        <v>4853.3290800000004</v>
      </c>
      <c r="J17" s="306">
        <f>'EF peternakan'!$C$32</f>
        <v>0.01</v>
      </c>
      <c r="K17" s="85">
        <f t="shared" si="0"/>
        <v>76.266599828571429</v>
      </c>
      <c r="S17" s="6"/>
      <c r="T17" s="291" t="s">
        <v>72</v>
      </c>
      <c r="U17" s="86">
        <f t="shared" si="1"/>
        <v>4853.3290800000004</v>
      </c>
      <c r="V17" s="9"/>
      <c r="W17" s="9"/>
      <c r="X17" s="9"/>
      <c r="Y17" s="96"/>
      <c r="AB17" s="6"/>
      <c r="AC17" s="291" t="s">
        <v>72</v>
      </c>
      <c r="AD17" s="86">
        <f t="shared" si="79"/>
        <v>415240</v>
      </c>
      <c r="AE17" s="87">
        <f>'EF peternakan'!$G$10</f>
        <v>0.82</v>
      </c>
      <c r="AF17" s="87">
        <f>'EF peternakan'!$H$10</f>
        <v>2</v>
      </c>
      <c r="AG17" s="91">
        <f t="shared" si="4"/>
        <v>0.59860000000000002</v>
      </c>
      <c r="AH17" s="89">
        <f t="shared" si="5"/>
        <v>0.02</v>
      </c>
      <c r="AI17" s="83">
        <f t="shared" si="6"/>
        <v>4971.2532800000008</v>
      </c>
      <c r="AJ17" s="306">
        <f>'EF peternakan'!$C$32</f>
        <v>0.01</v>
      </c>
      <c r="AK17" s="85">
        <f t="shared" si="7"/>
        <v>78.119694400000014</v>
      </c>
      <c r="AS17" s="6"/>
      <c r="AT17" s="291" t="s">
        <v>72</v>
      </c>
      <c r="AU17" s="86">
        <f t="shared" ref="AU17:AU20" si="111">AI17</f>
        <v>4971.2532800000008</v>
      </c>
      <c r="AV17" s="9"/>
      <c r="AW17" s="9"/>
      <c r="AX17" s="9"/>
      <c r="AY17" s="96"/>
      <c r="BB17" s="6"/>
      <c r="BC17" s="291" t="s">
        <v>72</v>
      </c>
      <c r="BD17" s="44">
        <f>E45</f>
        <v>465109</v>
      </c>
      <c r="BE17" s="87">
        <f>'EF peternakan'!$G$10</f>
        <v>0.82</v>
      </c>
      <c r="BF17" s="87">
        <f>'EF peternakan'!$H$10</f>
        <v>2</v>
      </c>
      <c r="BG17" s="91">
        <f t="shared" ref="BG17:BG21" si="112">BE17*(BF17/10^3)*365</f>
        <v>0.59860000000000002</v>
      </c>
      <c r="BH17" s="89">
        <f t="shared" ref="BH17:BH21" si="113">BI$26/100</f>
        <v>0.02</v>
      </c>
      <c r="BI17" s="83">
        <f t="shared" si="108"/>
        <v>5568.2849479999995</v>
      </c>
      <c r="BJ17" s="306">
        <f>'EF peternakan'!$C$32</f>
        <v>0.01</v>
      </c>
      <c r="BK17" s="85">
        <f t="shared" si="13"/>
        <v>87.501620611428564</v>
      </c>
      <c r="BS17" s="6"/>
      <c r="BT17" s="291" t="s">
        <v>72</v>
      </c>
      <c r="BU17" s="86">
        <f t="shared" ref="BU17:BU21" si="114">BI17</f>
        <v>5568.2849479999995</v>
      </c>
      <c r="BV17" s="9"/>
      <c r="BW17" s="9"/>
      <c r="BX17" s="9"/>
      <c r="BY17" s="96"/>
      <c r="CB17" s="6"/>
      <c r="CC17" s="291" t="s">
        <v>72</v>
      </c>
      <c r="CD17" s="86">
        <f>F45</f>
        <v>432502</v>
      </c>
      <c r="CE17" s="87">
        <f>'EF peternakan'!$G$10</f>
        <v>0.82</v>
      </c>
      <c r="CF17" s="87">
        <f>'EF peternakan'!$H$10</f>
        <v>2</v>
      </c>
      <c r="CG17" s="91">
        <f t="shared" si="17"/>
        <v>0.59860000000000002</v>
      </c>
      <c r="CH17" s="89">
        <f t="shared" si="18"/>
        <v>0.02</v>
      </c>
      <c r="CI17" s="83">
        <f t="shared" ref="CI17:CI21" si="115">CD17*CG17*CH17</f>
        <v>5177.9139439999999</v>
      </c>
      <c r="CJ17" s="306">
        <f>'EF peternakan'!$C$32</f>
        <v>0.01</v>
      </c>
      <c r="CK17" s="85">
        <f t="shared" si="20"/>
        <v>81.367219120000001</v>
      </c>
      <c r="CS17" s="6"/>
      <c r="CT17" s="291" t="s">
        <v>72</v>
      </c>
      <c r="CU17" s="86">
        <f t="shared" ref="CU17:CU21" si="116">CI17</f>
        <v>5177.9139439999999</v>
      </c>
      <c r="CV17" s="9"/>
      <c r="CW17" s="9"/>
      <c r="CX17" s="9"/>
      <c r="CY17" s="96"/>
      <c r="DB17" s="6"/>
      <c r="DC17" s="291" t="s">
        <v>72</v>
      </c>
      <c r="DD17" s="44">
        <f>G45</f>
        <v>479884</v>
      </c>
      <c r="DE17" s="87">
        <f>'EF peternakan'!$G$10</f>
        <v>0.82</v>
      </c>
      <c r="DF17" s="87">
        <f>'EF peternakan'!$H$10</f>
        <v>2</v>
      </c>
      <c r="DG17" s="91">
        <f t="shared" si="24"/>
        <v>0.59860000000000002</v>
      </c>
      <c r="DH17" s="89">
        <f t="shared" si="25"/>
        <v>0.02</v>
      </c>
      <c r="DI17" s="83">
        <f>DD17*DG17*DH17</f>
        <v>5745.1712479999997</v>
      </c>
      <c r="DJ17" s="306">
        <f>'EF peternakan'!$C$32</f>
        <v>0.01</v>
      </c>
      <c r="DK17" s="85">
        <f t="shared" ref="DK17:DK21" si="117">DI17*DJ17*(44/28)</f>
        <v>90.281262468571427</v>
      </c>
      <c r="DS17" s="6"/>
      <c r="DT17" s="291" t="s">
        <v>72</v>
      </c>
      <c r="DU17" s="86">
        <f t="shared" ref="DU17:DU21" si="118">DI17</f>
        <v>5745.1712479999997</v>
      </c>
      <c r="DV17" s="9"/>
      <c r="DW17" s="9"/>
      <c r="DX17" s="9"/>
      <c r="DY17" s="96"/>
      <c r="EB17" s="6"/>
      <c r="EC17" s="291" t="s">
        <v>72</v>
      </c>
      <c r="ED17" s="86">
        <f t="shared" si="91"/>
        <v>481120</v>
      </c>
      <c r="EE17" s="87">
        <f>'EF peternakan'!$G$10</f>
        <v>0.82</v>
      </c>
      <c r="EF17" s="87">
        <f>'EF peternakan'!$H$10</f>
        <v>2</v>
      </c>
      <c r="EG17" s="91">
        <f t="shared" si="31"/>
        <v>0.59860000000000002</v>
      </c>
      <c r="EH17" s="89">
        <f t="shared" si="32"/>
        <v>0.02</v>
      </c>
      <c r="EI17" s="83">
        <f t="shared" si="33"/>
        <v>5759.968640000001</v>
      </c>
      <c r="EJ17" s="306">
        <f>'EF peternakan'!$C$32</f>
        <v>0.01</v>
      </c>
      <c r="EK17" s="85">
        <f t="shared" si="34"/>
        <v>90.51379291428573</v>
      </c>
      <c r="ES17" s="6"/>
      <c r="ET17" s="291" t="s">
        <v>72</v>
      </c>
      <c r="EU17" s="86">
        <f t="shared" si="110"/>
        <v>5759.968640000001</v>
      </c>
      <c r="EV17" s="9"/>
      <c r="EW17" s="9"/>
      <c r="EX17" s="9"/>
      <c r="EY17" s="96"/>
      <c r="FB17" s="6"/>
      <c r="FC17" s="291" t="s">
        <v>72</v>
      </c>
      <c r="FD17" s="86">
        <f t="shared" si="93"/>
        <v>491494</v>
      </c>
      <c r="FE17" s="87">
        <f>'EF peternakan'!$G$10</f>
        <v>0.82</v>
      </c>
      <c r="FF17" s="87">
        <f>'EF peternakan'!$H$10</f>
        <v>2</v>
      </c>
      <c r="FG17" s="91">
        <f t="shared" si="38"/>
        <v>0.59860000000000002</v>
      </c>
      <c r="FH17" s="89">
        <f t="shared" si="39"/>
        <v>0.02</v>
      </c>
      <c r="FI17" s="83">
        <f t="shared" ref="FI17:FI21" si="119">FD17*FG17*FH17</f>
        <v>5884.1661680000007</v>
      </c>
      <c r="FJ17" s="306">
        <f>'EF peternakan'!$C$32</f>
        <v>0.01</v>
      </c>
      <c r="FK17" s="85">
        <f t="shared" ref="FK17:FK21" si="120">FI17*FJ17*(44/28)</f>
        <v>92.465468354285733</v>
      </c>
      <c r="FS17" s="6"/>
      <c r="FT17" s="291" t="s">
        <v>72</v>
      </c>
      <c r="FU17" s="86">
        <f t="shared" si="94"/>
        <v>5884.1661680000007</v>
      </c>
      <c r="FV17" s="9"/>
      <c r="FW17" s="9"/>
      <c r="FX17" s="9"/>
      <c r="FY17" s="96"/>
      <c r="GB17" s="6"/>
      <c r="GC17" s="291" t="s">
        <v>72</v>
      </c>
      <c r="GD17" s="86">
        <f t="shared" si="97"/>
        <v>501868</v>
      </c>
      <c r="GE17" s="87">
        <f>'EF peternakan'!$G$10</f>
        <v>0.82</v>
      </c>
      <c r="GF17" s="87">
        <f>'EF peternakan'!$H$10</f>
        <v>2</v>
      </c>
      <c r="GG17" s="91">
        <f t="shared" si="44"/>
        <v>0.59860000000000002</v>
      </c>
      <c r="GH17" s="89">
        <f t="shared" si="45"/>
        <v>0.02</v>
      </c>
      <c r="GI17" s="83">
        <f t="shared" ref="GI17:GI21" si="121">GD17*GG17*GH17</f>
        <v>6008.3636959999994</v>
      </c>
      <c r="GJ17" s="306">
        <f>'EF peternakan'!$C$32</f>
        <v>0.01</v>
      </c>
      <c r="GK17" s="85">
        <f t="shared" ref="GK17:GK21" si="122">GI17*GJ17*(44/28)</f>
        <v>94.417143794285707</v>
      </c>
      <c r="GS17" s="6"/>
      <c r="GT17" s="291" t="s">
        <v>72</v>
      </c>
      <c r="GU17" s="86">
        <f t="shared" si="48"/>
        <v>6008.3636959999994</v>
      </c>
      <c r="GV17" s="9"/>
      <c r="GW17" s="9"/>
      <c r="GX17" s="9"/>
      <c r="GY17" s="96"/>
      <c r="HB17" s="6"/>
      <c r="HC17" s="291" t="s">
        <v>72</v>
      </c>
      <c r="HD17" s="86">
        <f t="shared" si="99"/>
        <v>512242</v>
      </c>
      <c r="HE17" s="87">
        <f>'EF peternakan'!$G$10</f>
        <v>0.82</v>
      </c>
      <c r="HF17" s="87">
        <f>'EF peternakan'!$H$10</f>
        <v>2</v>
      </c>
      <c r="HG17" s="91">
        <f t="shared" si="52"/>
        <v>0.59860000000000002</v>
      </c>
      <c r="HH17" s="89">
        <f t="shared" si="53"/>
        <v>0.02</v>
      </c>
      <c r="HI17" s="83">
        <f t="shared" si="54"/>
        <v>6132.561224</v>
      </c>
      <c r="HJ17" s="306">
        <f>'EF peternakan'!$C$32</f>
        <v>0.01</v>
      </c>
      <c r="HK17" s="85">
        <f t="shared" si="55"/>
        <v>96.368819234285709</v>
      </c>
      <c r="HS17" s="6"/>
      <c r="HT17" s="291" t="s">
        <v>72</v>
      </c>
      <c r="HU17" s="86">
        <f t="shared" si="100"/>
        <v>6132.561224</v>
      </c>
      <c r="HV17" s="9"/>
      <c r="HW17" s="9"/>
      <c r="HX17" s="9"/>
      <c r="HY17" s="96"/>
      <c r="IB17" s="6"/>
      <c r="IC17" s="291" t="s">
        <v>72</v>
      </c>
      <c r="ID17" s="86">
        <f t="shared" si="102"/>
        <v>522616</v>
      </c>
      <c r="IE17" s="87">
        <f>'EF peternakan'!$G$10</f>
        <v>0.82</v>
      </c>
      <c r="IF17" s="87">
        <f>'EF peternakan'!$H$10</f>
        <v>2</v>
      </c>
      <c r="IG17" s="91">
        <f t="shared" si="59"/>
        <v>0.59860000000000002</v>
      </c>
      <c r="IH17" s="89">
        <f t="shared" si="60"/>
        <v>0.02</v>
      </c>
      <c r="II17" s="83">
        <f t="shared" si="61"/>
        <v>6256.7587520000006</v>
      </c>
      <c r="IJ17" s="306">
        <f>'EF peternakan'!$C$32</f>
        <v>0.01</v>
      </c>
      <c r="IK17" s="85">
        <f t="shared" si="62"/>
        <v>98.320494674285726</v>
      </c>
      <c r="IS17" s="6"/>
      <c r="IT17" s="291" t="s">
        <v>72</v>
      </c>
      <c r="IU17" s="86">
        <f t="shared" si="63"/>
        <v>6256.7587520000006</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8640860</v>
      </c>
      <c r="E18" s="87">
        <f>'EF peternakan'!$G$11</f>
        <v>1.1000000000000001</v>
      </c>
      <c r="F18" s="293">
        <f>'EF peternakan'!$H$11</f>
        <v>2</v>
      </c>
      <c r="G18" s="9">
        <f t="shared" si="106"/>
        <v>0.80300000000000005</v>
      </c>
      <c r="H18" s="89">
        <f t="shared" si="76"/>
        <v>0.02</v>
      </c>
      <c r="I18" s="83">
        <f t="shared" si="107"/>
        <v>138772.21160000001</v>
      </c>
      <c r="J18" s="306">
        <f>'EF peternakan'!$C$32</f>
        <v>0.01</v>
      </c>
      <c r="K18" s="85">
        <f t="shared" si="0"/>
        <v>2180.7061822857145</v>
      </c>
      <c r="S18" s="6"/>
      <c r="T18" s="291" t="s">
        <v>73</v>
      </c>
      <c r="U18" s="86">
        <f t="shared" si="1"/>
        <v>138772.21160000001</v>
      </c>
      <c r="V18" s="9"/>
      <c r="W18" s="9"/>
      <c r="X18" s="9"/>
      <c r="Y18" s="96"/>
      <c r="AB18" s="6"/>
      <c r="AC18" s="291" t="s">
        <v>73</v>
      </c>
      <c r="AD18" s="86">
        <f t="shared" si="79"/>
        <v>8881634</v>
      </c>
      <c r="AE18" s="87">
        <f>'EF peternakan'!$G$11</f>
        <v>1.1000000000000001</v>
      </c>
      <c r="AF18" s="87">
        <f>'EF peternakan'!$H$11</f>
        <v>2</v>
      </c>
      <c r="AG18" s="91">
        <f t="shared" si="4"/>
        <v>0.80300000000000005</v>
      </c>
      <c r="AH18" s="89">
        <f t="shared" si="5"/>
        <v>0.02</v>
      </c>
      <c r="AI18" s="83">
        <f t="shared" si="6"/>
        <v>142639.04204</v>
      </c>
      <c r="AJ18" s="306">
        <f>'EF peternakan'!$C$32</f>
        <v>0.01</v>
      </c>
      <c r="AK18" s="85">
        <f t="shared" si="7"/>
        <v>2241.4706606285713</v>
      </c>
      <c r="AS18" s="6"/>
      <c r="AT18" s="291" t="s">
        <v>73</v>
      </c>
      <c r="AU18" s="86">
        <f t="shared" si="111"/>
        <v>142639.04204</v>
      </c>
      <c r="AV18" s="9"/>
      <c r="AW18" s="9"/>
      <c r="AX18" s="9"/>
      <c r="AY18" s="96"/>
      <c r="BB18" s="6"/>
      <c r="BC18" s="291" t="s">
        <v>73</v>
      </c>
      <c r="BD18" s="44">
        <f t="shared" ref="BD18:BD20" si="124">E46</f>
        <v>8118500</v>
      </c>
      <c r="BE18" s="87">
        <f>'EF peternakan'!$G$11</f>
        <v>1.1000000000000001</v>
      </c>
      <c r="BF18" s="87">
        <f>'EF peternakan'!$H$11</f>
        <v>2</v>
      </c>
      <c r="BG18" s="91">
        <f t="shared" si="112"/>
        <v>0.80300000000000005</v>
      </c>
      <c r="BH18" s="89">
        <f t="shared" si="113"/>
        <v>0.02</v>
      </c>
      <c r="BI18" s="83">
        <f t="shared" si="108"/>
        <v>130383.11</v>
      </c>
      <c r="BJ18" s="306">
        <f>'EF peternakan'!$C$32</f>
        <v>0.01</v>
      </c>
      <c r="BK18" s="85">
        <f t="shared" si="13"/>
        <v>2048.8774428571428</v>
      </c>
      <c r="BS18" s="6"/>
      <c r="BT18" s="291" t="s">
        <v>73</v>
      </c>
      <c r="BU18" s="86">
        <f t="shared" si="114"/>
        <v>130383.11</v>
      </c>
      <c r="BV18" s="9"/>
      <c r="BW18" s="9"/>
      <c r="BX18" s="9"/>
      <c r="BY18" s="96"/>
      <c r="CB18" s="6"/>
      <c r="CC18" s="291" t="s">
        <v>73</v>
      </c>
      <c r="CD18" s="86">
        <f t="shared" ref="CD18:CD20" si="125">F46</f>
        <v>11667271</v>
      </c>
      <c r="CE18" s="87">
        <f>'EF peternakan'!$G$11</f>
        <v>1.1000000000000001</v>
      </c>
      <c r="CF18" s="87">
        <f>'EF peternakan'!$H$11</f>
        <v>2</v>
      </c>
      <c r="CG18" s="91">
        <f t="shared" si="17"/>
        <v>0.80300000000000005</v>
      </c>
      <c r="CH18" s="89">
        <f t="shared" si="18"/>
        <v>0.02</v>
      </c>
      <c r="CI18" s="83">
        <f t="shared" si="115"/>
        <v>187376.37226</v>
      </c>
      <c r="CJ18" s="306">
        <f>'EF peternakan'!$C$32</f>
        <v>0.01</v>
      </c>
      <c r="CK18" s="85">
        <f t="shared" si="20"/>
        <v>2944.4858498000003</v>
      </c>
      <c r="CS18" s="6"/>
      <c r="CT18" s="291" t="s">
        <v>73</v>
      </c>
      <c r="CU18" s="86">
        <f t="shared" si="116"/>
        <v>187376.37226</v>
      </c>
      <c r="CV18" s="9"/>
      <c r="CW18" s="9"/>
      <c r="CX18" s="9"/>
      <c r="CY18" s="96"/>
      <c r="DB18" s="6"/>
      <c r="DC18" s="291" t="s">
        <v>73</v>
      </c>
      <c r="DD18" s="44">
        <f t="shared" ref="DD18:DD21" si="126">G46</f>
        <v>17775680</v>
      </c>
      <c r="DE18" s="87">
        <f>'EF peternakan'!$G$11</f>
        <v>1.1000000000000001</v>
      </c>
      <c r="DF18" s="87">
        <f>'EF peternakan'!$H$11</f>
        <v>2</v>
      </c>
      <c r="DG18" s="91">
        <f t="shared" si="24"/>
        <v>0.80300000000000005</v>
      </c>
      <c r="DH18" s="89">
        <f t="shared" si="25"/>
        <v>0.02</v>
      </c>
      <c r="DI18" s="83">
        <f t="shared" si="26"/>
        <v>285477.42080000002</v>
      </c>
      <c r="DJ18" s="306">
        <f>'EF peternakan'!$C$32</f>
        <v>0.01</v>
      </c>
      <c r="DK18" s="85">
        <f t="shared" si="117"/>
        <v>4486.0737554285715</v>
      </c>
      <c r="DS18" s="6"/>
      <c r="DT18" s="291" t="s">
        <v>73</v>
      </c>
      <c r="DU18" s="86">
        <f t="shared" si="118"/>
        <v>285477.42080000002</v>
      </c>
      <c r="DV18" s="9"/>
      <c r="DW18" s="9"/>
      <c r="DX18" s="9"/>
      <c r="DY18" s="96"/>
      <c r="EB18" s="6"/>
      <c r="EC18" s="291" t="s">
        <v>73</v>
      </c>
      <c r="ED18" s="86">
        <f t="shared" si="91"/>
        <v>12296069</v>
      </c>
      <c r="EE18" s="87">
        <f>'EF peternakan'!$G$11</f>
        <v>1.1000000000000001</v>
      </c>
      <c r="EF18" s="87">
        <f>'EF peternakan'!$H$11</f>
        <v>2</v>
      </c>
      <c r="EG18" s="91">
        <f t="shared" si="31"/>
        <v>0.80300000000000005</v>
      </c>
      <c r="EH18" s="89">
        <f t="shared" si="32"/>
        <v>0.02</v>
      </c>
      <c r="EI18" s="83">
        <f>ED18*EG18*EH18</f>
        <v>197474.86814000001</v>
      </c>
      <c r="EJ18" s="306">
        <f>'EF peternakan'!$C$32</f>
        <v>0.01</v>
      </c>
      <c r="EK18" s="85">
        <f>EI18*EJ18*(44/28)</f>
        <v>3103.1764993428574</v>
      </c>
      <c r="ES18" s="6"/>
      <c r="ET18" s="291" t="s">
        <v>73</v>
      </c>
      <c r="EU18" s="86">
        <f t="shared" si="110"/>
        <v>197474.86814000001</v>
      </c>
      <c r="EV18" s="9"/>
      <c r="EW18" s="9"/>
      <c r="EX18" s="9"/>
      <c r="EY18" s="96"/>
      <c r="FB18" s="6"/>
      <c r="FC18" s="291" t="s">
        <v>73</v>
      </c>
      <c r="FD18" s="86">
        <f t="shared" si="93"/>
        <v>12666426</v>
      </c>
      <c r="FE18" s="87">
        <f>'EF peternakan'!$G$11</f>
        <v>1.1000000000000001</v>
      </c>
      <c r="FF18" s="87">
        <f>'EF peternakan'!$H$11</f>
        <v>2</v>
      </c>
      <c r="FG18" s="91">
        <f t="shared" si="38"/>
        <v>0.80300000000000005</v>
      </c>
      <c r="FH18" s="89">
        <f t="shared" si="39"/>
        <v>0.02</v>
      </c>
      <c r="FI18" s="83">
        <f>FD18*FG18*FH18</f>
        <v>203422.80155999999</v>
      </c>
      <c r="FJ18" s="306">
        <f>'EF peternakan'!$C$32</f>
        <v>0.01</v>
      </c>
      <c r="FK18" s="85">
        <f>FI18*FJ18*(44/28)</f>
        <v>3196.6440245142858</v>
      </c>
      <c r="FS18" s="6"/>
      <c r="FT18" s="291" t="s">
        <v>73</v>
      </c>
      <c r="FU18" s="86">
        <f t="shared" si="94"/>
        <v>203422.80155999999</v>
      </c>
      <c r="FV18" s="9"/>
      <c r="FW18" s="9"/>
      <c r="FX18" s="9"/>
      <c r="FY18" s="96"/>
      <c r="GB18" s="6"/>
      <c r="GC18" s="291" t="s">
        <v>73</v>
      </c>
      <c r="GD18" s="86">
        <f t="shared" si="97"/>
        <v>13036783</v>
      </c>
      <c r="GE18" s="87">
        <f>'EF peternakan'!$G$11</f>
        <v>1.1000000000000001</v>
      </c>
      <c r="GF18" s="87">
        <f>'EF peternakan'!$H$11</f>
        <v>2</v>
      </c>
      <c r="GG18" s="91">
        <f t="shared" si="44"/>
        <v>0.80300000000000005</v>
      </c>
      <c r="GH18" s="89">
        <f t="shared" si="45"/>
        <v>0.02</v>
      </c>
      <c r="GI18" s="83">
        <f t="shared" si="121"/>
        <v>209370.73498000001</v>
      </c>
      <c r="GJ18" s="306">
        <f>'EF peternakan'!$C$32</f>
        <v>0.01</v>
      </c>
      <c r="GK18" s="85">
        <f t="shared" si="122"/>
        <v>3290.1115496857142</v>
      </c>
      <c r="GS18" s="6"/>
      <c r="GT18" s="291" t="s">
        <v>73</v>
      </c>
      <c r="GU18" s="86">
        <f t="shared" si="48"/>
        <v>209370.73498000001</v>
      </c>
      <c r="GV18" s="9"/>
      <c r="GW18" s="9"/>
      <c r="GX18" s="9"/>
      <c r="GY18" s="96"/>
      <c r="HB18" s="6"/>
      <c r="HC18" s="291" t="s">
        <v>73</v>
      </c>
      <c r="HD18" s="86">
        <f t="shared" si="99"/>
        <v>13407140</v>
      </c>
      <c r="HE18" s="87">
        <f>'EF peternakan'!$G$11</f>
        <v>1.1000000000000001</v>
      </c>
      <c r="HF18" s="87">
        <f>'EF peternakan'!$H$11</f>
        <v>2</v>
      </c>
      <c r="HG18" s="91">
        <f t="shared" si="52"/>
        <v>0.80300000000000005</v>
      </c>
      <c r="HH18" s="89">
        <f t="shared" si="53"/>
        <v>0.02</v>
      </c>
      <c r="HI18" s="83">
        <f t="shared" si="54"/>
        <v>215318.6684</v>
      </c>
      <c r="HJ18" s="306">
        <f>'EF peternakan'!$C$32</f>
        <v>0.01</v>
      </c>
      <c r="HK18" s="85">
        <f t="shared" si="55"/>
        <v>3383.5790748571426</v>
      </c>
      <c r="HS18" s="6"/>
      <c r="HT18" s="291" t="s">
        <v>73</v>
      </c>
      <c r="HU18" s="86">
        <f t="shared" si="100"/>
        <v>215318.6684</v>
      </c>
      <c r="HV18" s="9"/>
      <c r="HW18" s="9"/>
      <c r="HX18" s="9"/>
      <c r="HY18" s="96"/>
      <c r="IB18" s="6"/>
      <c r="IC18" s="291" t="s">
        <v>73</v>
      </c>
      <c r="ID18" s="86">
        <f t="shared" si="102"/>
        <v>13777497</v>
      </c>
      <c r="IE18" s="87">
        <f>'EF peternakan'!$G$11</f>
        <v>1.1000000000000001</v>
      </c>
      <c r="IF18" s="87">
        <f>'EF peternakan'!$H$11</f>
        <v>2</v>
      </c>
      <c r="IG18" s="91">
        <f t="shared" si="59"/>
        <v>0.80300000000000005</v>
      </c>
      <c r="IH18" s="89">
        <f t="shared" si="60"/>
        <v>0.02</v>
      </c>
      <c r="II18" s="83">
        <f t="shared" si="61"/>
        <v>221266.60182000001</v>
      </c>
      <c r="IJ18" s="306">
        <f>'EF peternakan'!$C$32</f>
        <v>0.01</v>
      </c>
      <c r="IK18" s="85">
        <f t="shared" si="62"/>
        <v>3477.0466000285714</v>
      </c>
      <c r="IS18" s="6"/>
      <c r="IT18" s="291" t="s">
        <v>73</v>
      </c>
      <c r="IU18" s="86">
        <f t="shared" si="63"/>
        <v>221266.60182000001</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210700</v>
      </c>
      <c r="E19" s="87">
        <f>'EF peternakan'!$G$10</f>
        <v>0.82</v>
      </c>
      <c r="F19" s="293">
        <f>'EF peternakan'!$H$10</f>
        <v>2</v>
      </c>
      <c r="G19" s="9">
        <f t="shared" si="106"/>
        <v>0.59860000000000002</v>
      </c>
      <c r="H19" s="89">
        <f t="shared" si="76"/>
        <v>0.02</v>
      </c>
      <c r="I19" s="83">
        <f t="shared" si="107"/>
        <v>2522.5004000000004</v>
      </c>
      <c r="J19" s="306">
        <f>'EF peternakan'!$C$32</f>
        <v>0.01</v>
      </c>
      <c r="K19" s="85">
        <f t="shared" si="0"/>
        <v>39.639292000000005</v>
      </c>
      <c r="S19" s="6"/>
      <c r="T19" s="291" t="s">
        <v>74</v>
      </c>
      <c r="U19" s="86">
        <f t="shared" si="1"/>
        <v>2522.5004000000004</v>
      </c>
      <c r="V19" s="9"/>
      <c r="W19" s="9"/>
      <c r="X19" s="9"/>
      <c r="Y19" s="96"/>
      <c r="AB19" s="6"/>
      <c r="AC19" s="291" t="s">
        <v>74</v>
      </c>
      <c r="AD19" s="86">
        <f t="shared" si="79"/>
        <v>225036</v>
      </c>
      <c r="AE19" s="87">
        <f>'EF peternakan'!$G$10</f>
        <v>0.82</v>
      </c>
      <c r="AF19" s="87">
        <f>'EF peternakan'!$H$10</f>
        <v>2</v>
      </c>
      <c r="AG19" s="91">
        <f t="shared" si="4"/>
        <v>0.59860000000000002</v>
      </c>
      <c r="AH19" s="89">
        <f t="shared" si="5"/>
        <v>0.02</v>
      </c>
      <c r="AI19" s="83">
        <f t="shared" si="6"/>
        <v>2694.1309919999999</v>
      </c>
      <c r="AJ19" s="306">
        <f>'EF peternakan'!$C$32</f>
        <v>0.01</v>
      </c>
      <c r="AK19" s="85">
        <f t="shared" si="7"/>
        <v>42.336344159999996</v>
      </c>
      <c r="AS19" s="6"/>
      <c r="AT19" s="291" t="s">
        <v>74</v>
      </c>
      <c r="AU19" s="86">
        <f t="shared" si="111"/>
        <v>2694.1309919999999</v>
      </c>
      <c r="AV19" s="9"/>
      <c r="AW19" s="9"/>
      <c r="AX19" s="9"/>
      <c r="AY19" s="96"/>
      <c r="BB19" s="6"/>
      <c r="BC19" s="291" t="s">
        <v>74</v>
      </c>
      <c r="BD19" s="44">
        <f t="shared" si="124"/>
        <v>239085</v>
      </c>
      <c r="BE19" s="87">
        <f>'EF peternakan'!$G$10</f>
        <v>0.82</v>
      </c>
      <c r="BF19" s="87">
        <f>'EF peternakan'!$H$10</f>
        <v>2</v>
      </c>
      <c r="BG19" s="91">
        <f t="shared" si="112"/>
        <v>0.59860000000000002</v>
      </c>
      <c r="BH19" s="89">
        <f t="shared" si="113"/>
        <v>0.02</v>
      </c>
      <c r="BI19" s="83">
        <f t="shared" si="108"/>
        <v>2862.3256200000005</v>
      </c>
      <c r="BJ19" s="306">
        <f>'EF peternakan'!$C$32</f>
        <v>0.01</v>
      </c>
      <c r="BK19" s="85">
        <f t="shared" si="13"/>
        <v>44.979402600000007</v>
      </c>
      <c r="BS19" s="6"/>
      <c r="BT19" s="291" t="s">
        <v>74</v>
      </c>
      <c r="BU19" s="86">
        <f t="shared" si="114"/>
        <v>2862.3256200000005</v>
      </c>
      <c r="BV19" s="9"/>
      <c r="BW19" s="9"/>
      <c r="BX19" s="9"/>
      <c r="BY19" s="96"/>
      <c r="CB19" s="6"/>
      <c r="CC19" s="291" t="s">
        <v>74</v>
      </c>
      <c r="CD19" s="86">
        <f t="shared" si="125"/>
        <v>204361</v>
      </c>
      <c r="CE19" s="87">
        <f>'EF peternakan'!$G$10</f>
        <v>0.82</v>
      </c>
      <c r="CF19" s="87">
        <f>'EF peternakan'!$H$10</f>
        <v>2</v>
      </c>
      <c r="CG19" s="91">
        <f t="shared" si="17"/>
        <v>0.59860000000000002</v>
      </c>
      <c r="CH19" s="89">
        <f t="shared" si="18"/>
        <v>0.02</v>
      </c>
      <c r="CI19" s="83">
        <f t="shared" si="115"/>
        <v>2446.6098919999999</v>
      </c>
      <c r="CJ19" s="306">
        <f>'EF peternakan'!$C$32</f>
        <v>0.01</v>
      </c>
      <c r="CK19" s="85">
        <f t="shared" si="20"/>
        <v>38.446726874285716</v>
      </c>
      <c r="CS19" s="6"/>
      <c r="CT19" s="291" t="s">
        <v>74</v>
      </c>
      <c r="CU19" s="86">
        <f t="shared" si="116"/>
        <v>2446.6098919999999</v>
      </c>
      <c r="CV19" s="9"/>
      <c r="CW19" s="9"/>
      <c r="CX19" s="9"/>
      <c r="CY19" s="96"/>
      <c r="DB19" s="6"/>
      <c r="DC19" s="291" t="s">
        <v>74</v>
      </c>
      <c r="DD19" s="44">
        <f t="shared" si="126"/>
        <v>399637</v>
      </c>
      <c r="DE19" s="87">
        <f>'EF peternakan'!$G$10</f>
        <v>0.82</v>
      </c>
      <c r="DF19" s="87">
        <f>'EF peternakan'!$H$10</f>
        <v>2</v>
      </c>
      <c r="DG19" s="91">
        <f t="shared" si="24"/>
        <v>0.59860000000000002</v>
      </c>
      <c r="DH19" s="89">
        <f t="shared" si="25"/>
        <v>0.02</v>
      </c>
      <c r="DI19" s="83">
        <f t="shared" si="26"/>
        <v>4784.4541640000007</v>
      </c>
      <c r="DJ19" s="306">
        <f>'EF peternakan'!$C$32</f>
        <v>0.01</v>
      </c>
      <c r="DK19" s="85">
        <f t="shared" si="117"/>
        <v>75.184279720000021</v>
      </c>
      <c r="DS19" s="6"/>
      <c r="DT19" s="291" t="s">
        <v>74</v>
      </c>
      <c r="DU19" s="86">
        <f t="shared" si="118"/>
        <v>4784.4541640000007</v>
      </c>
      <c r="DV19" s="9"/>
      <c r="DW19" s="9"/>
      <c r="DX19" s="9"/>
      <c r="DY19" s="96"/>
      <c r="EB19" s="6"/>
      <c r="EC19" s="291" t="s">
        <v>74</v>
      </c>
      <c r="ED19" s="86">
        <f t="shared" si="91"/>
        <v>272866.59999999998</v>
      </c>
      <c r="EE19" s="87">
        <f>'EF peternakan'!$G$10</f>
        <v>0.82</v>
      </c>
      <c r="EF19" s="87">
        <f>'EF peternakan'!$H$10</f>
        <v>2</v>
      </c>
      <c r="EG19" s="91">
        <f t="shared" si="31"/>
        <v>0.59860000000000002</v>
      </c>
      <c r="EH19" s="89">
        <f t="shared" si="32"/>
        <v>0.02</v>
      </c>
      <c r="EI19" s="83">
        <f t="shared" si="33"/>
        <v>3266.7589352</v>
      </c>
      <c r="EJ19" s="306">
        <f>'EF peternakan'!$C$32</f>
        <v>0.01</v>
      </c>
      <c r="EK19" s="85">
        <f t="shared" si="34"/>
        <v>51.33478326742857</v>
      </c>
      <c r="ES19" s="6"/>
      <c r="ET19" s="291" t="s">
        <v>74</v>
      </c>
      <c r="EU19" s="86">
        <f t="shared" si="110"/>
        <v>3266.7589352</v>
      </c>
      <c r="EV19" s="9"/>
      <c r="EW19" s="9"/>
      <c r="EX19" s="9"/>
      <c r="EY19" s="96"/>
      <c r="FB19" s="6"/>
      <c r="FC19" s="291" t="s">
        <v>74</v>
      </c>
      <c r="FD19" s="86">
        <f t="shared" si="93"/>
        <v>278961.40000000002</v>
      </c>
      <c r="FE19" s="87">
        <f>'EF peternakan'!$G$10</f>
        <v>0.82</v>
      </c>
      <c r="FF19" s="87">
        <f>'EF peternakan'!$H$10</f>
        <v>2</v>
      </c>
      <c r="FG19" s="91">
        <f t="shared" si="38"/>
        <v>0.59860000000000002</v>
      </c>
      <c r="FH19" s="89">
        <f t="shared" si="39"/>
        <v>0.02</v>
      </c>
      <c r="FI19" s="83">
        <f t="shared" si="119"/>
        <v>3339.7258808000001</v>
      </c>
      <c r="FJ19" s="306">
        <f>'EF peternakan'!$C$32</f>
        <v>0.01</v>
      </c>
      <c r="FK19" s="85">
        <f t="shared" si="120"/>
        <v>52.481406698285717</v>
      </c>
      <c r="FS19" s="6"/>
      <c r="FT19" s="291" t="s">
        <v>74</v>
      </c>
      <c r="FU19" s="86">
        <f t="shared" si="94"/>
        <v>3339.7258808000001</v>
      </c>
      <c r="FV19" s="9"/>
      <c r="FW19" s="9"/>
      <c r="FX19" s="9"/>
      <c r="FY19" s="96"/>
      <c r="GB19" s="6"/>
      <c r="GC19" s="291" t="s">
        <v>74</v>
      </c>
      <c r="GD19" s="86">
        <f t="shared" si="97"/>
        <v>285056.2</v>
      </c>
      <c r="GE19" s="87">
        <f>'EF peternakan'!$G$10</f>
        <v>0.82</v>
      </c>
      <c r="GF19" s="87">
        <f>'EF peternakan'!$H$10</f>
        <v>2</v>
      </c>
      <c r="GG19" s="91">
        <f t="shared" si="44"/>
        <v>0.59860000000000002</v>
      </c>
      <c r="GH19" s="89">
        <f t="shared" si="45"/>
        <v>0.02</v>
      </c>
      <c r="GI19" s="83">
        <f t="shared" si="121"/>
        <v>3412.6928264000007</v>
      </c>
      <c r="GJ19" s="306">
        <f>'EF peternakan'!$C$32</f>
        <v>0.01</v>
      </c>
      <c r="GK19" s="85">
        <f t="shared" si="122"/>
        <v>53.628030129142864</v>
      </c>
      <c r="GS19" s="6"/>
      <c r="GT19" s="291" t="s">
        <v>74</v>
      </c>
      <c r="GU19" s="86">
        <f t="shared" si="48"/>
        <v>3412.6928264000007</v>
      </c>
      <c r="GV19" s="9"/>
      <c r="GW19" s="9"/>
      <c r="GX19" s="9"/>
      <c r="GY19" s="96"/>
      <c r="HB19" s="6"/>
      <c r="HC19" s="291" t="s">
        <v>74</v>
      </c>
      <c r="HD19" s="86">
        <f t="shared" si="99"/>
        <v>291151</v>
      </c>
      <c r="HE19" s="87">
        <f>'EF peternakan'!$G$10</f>
        <v>0.82</v>
      </c>
      <c r="HF19" s="87">
        <f>'EF peternakan'!$H$10</f>
        <v>2</v>
      </c>
      <c r="HG19" s="91">
        <f t="shared" si="52"/>
        <v>0.59860000000000002</v>
      </c>
      <c r="HH19" s="89">
        <f t="shared" si="53"/>
        <v>0.02</v>
      </c>
      <c r="HI19" s="83">
        <f t="shared" si="54"/>
        <v>3485.6597720000004</v>
      </c>
      <c r="HJ19" s="306">
        <f>'EF peternakan'!$C$32</f>
        <v>0.01</v>
      </c>
      <c r="HK19" s="85">
        <f t="shared" si="55"/>
        <v>54.774653560000004</v>
      </c>
      <c r="HS19" s="6"/>
      <c r="HT19" s="291" t="s">
        <v>74</v>
      </c>
      <c r="HU19" s="86">
        <f t="shared" si="100"/>
        <v>3485.6597720000004</v>
      </c>
      <c r="HV19" s="9"/>
      <c r="HW19" s="9"/>
      <c r="HX19" s="9"/>
      <c r="HY19" s="96"/>
      <c r="IB19" s="6"/>
      <c r="IC19" s="291" t="s">
        <v>74</v>
      </c>
      <c r="ID19" s="86">
        <f t="shared" si="102"/>
        <v>297245.8</v>
      </c>
      <c r="IE19" s="87">
        <f>'EF peternakan'!$G$10</f>
        <v>0.82</v>
      </c>
      <c r="IF19" s="87">
        <f>'EF peternakan'!$H$10</f>
        <v>2</v>
      </c>
      <c r="IG19" s="91">
        <f t="shared" si="59"/>
        <v>0.59860000000000002</v>
      </c>
      <c r="IH19" s="89">
        <f t="shared" si="60"/>
        <v>0.02</v>
      </c>
      <c r="II19" s="83">
        <f t="shared" si="61"/>
        <v>3558.6267176000001</v>
      </c>
      <c r="IJ19" s="306">
        <f>'EF peternakan'!$C$32</f>
        <v>0.01</v>
      </c>
      <c r="IK19" s="85">
        <f t="shared" si="62"/>
        <v>55.921276990857145</v>
      </c>
      <c r="IS19" s="6"/>
      <c r="IT19" s="291" t="s">
        <v>74</v>
      </c>
      <c r="IU19" s="86">
        <f t="shared" si="63"/>
        <v>3558.6267176000001</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45415</v>
      </c>
      <c r="E20" s="87">
        <f>'EF peternakan'!$G$13</f>
        <v>0.83</v>
      </c>
      <c r="F20" s="293">
        <f>'EF peternakan'!$H$13</f>
        <v>2</v>
      </c>
      <c r="G20" s="9">
        <f t="shared" si="106"/>
        <v>0.60589999999999999</v>
      </c>
      <c r="H20" s="89">
        <f t="shared" si="76"/>
        <v>0.02</v>
      </c>
      <c r="I20" s="83">
        <f t="shared" si="107"/>
        <v>550.33897000000002</v>
      </c>
      <c r="J20" s="306">
        <f>'EF peternakan'!$C$32</f>
        <v>0.01</v>
      </c>
      <c r="K20" s="85">
        <f t="shared" si="0"/>
        <v>8.6481838142857157</v>
      </c>
      <c r="S20" s="290"/>
      <c r="T20" s="291" t="s">
        <v>75</v>
      </c>
      <c r="U20" s="86">
        <f t="shared" si="1"/>
        <v>550.33897000000002</v>
      </c>
      <c r="V20" s="9"/>
      <c r="W20" s="9"/>
      <c r="X20" s="9"/>
      <c r="Y20" s="96"/>
      <c r="AB20" s="290"/>
      <c r="AC20" s="291" t="s">
        <v>75</v>
      </c>
      <c r="AD20" s="86">
        <f t="shared" si="79"/>
        <v>32800</v>
      </c>
      <c r="AE20" s="87">
        <f>'EF peternakan'!$G$13</f>
        <v>0.83</v>
      </c>
      <c r="AF20" s="87">
        <f>'EF peternakan'!$H$13</f>
        <v>2</v>
      </c>
      <c r="AG20" s="91">
        <f t="shared" si="4"/>
        <v>0.60589999999999999</v>
      </c>
      <c r="AH20" s="89">
        <f t="shared" si="5"/>
        <v>0.02</v>
      </c>
      <c r="AI20" s="83">
        <f t="shared" si="6"/>
        <v>397.47040000000004</v>
      </c>
      <c r="AJ20" s="306">
        <f>'EF peternakan'!$C$32</f>
        <v>0.01</v>
      </c>
      <c r="AK20" s="85">
        <f t="shared" si="7"/>
        <v>6.2459634285714296</v>
      </c>
      <c r="AS20" s="290"/>
      <c r="AT20" s="291" t="s">
        <v>75</v>
      </c>
      <c r="AU20" s="86">
        <f t="shared" si="111"/>
        <v>397.47040000000004</v>
      </c>
      <c r="AV20" s="9"/>
      <c r="AW20" s="9"/>
      <c r="AX20" s="9"/>
      <c r="AY20" s="96"/>
      <c r="BB20" s="290"/>
      <c r="BC20" s="291" t="s">
        <v>75</v>
      </c>
      <c r="BD20" s="44">
        <f t="shared" si="124"/>
        <v>34272</v>
      </c>
      <c r="BE20" s="87">
        <f>'EF peternakan'!$G$13</f>
        <v>0.83</v>
      </c>
      <c r="BF20" s="87">
        <f>'EF peternakan'!$H$13</f>
        <v>2</v>
      </c>
      <c r="BG20" s="91">
        <f t="shared" si="112"/>
        <v>0.60589999999999999</v>
      </c>
      <c r="BH20" s="89">
        <f t="shared" si="113"/>
        <v>0.02</v>
      </c>
      <c r="BI20" s="83">
        <f t="shared" si="108"/>
        <v>415.30809600000003</v>
      </c>
      <c r="BJ20" s="306">
        <f>'EF peternakan'!$C$32</f>
        <v>0.01</v>
      </c>
      <c r="BK20" s="85">
        <f t="shared" si="13"/>
        <v>6.5262700800000006</v>
      </c>
      <c r="BS20" s="290"/>
      <c r="BT20" s="291" t="s">
        <v>75</v>
      </c>
      <c r="BU20" s="86">
        <f t="shared" si="114"/>
        <v>415.30809600000003</v>
      </c>
      <c r="BV20" s="9"/>
      <c r="BW20" s="9"/>
      <c r="BX20" s="9"/>
      <c r="BY20" s="96"/>
      <c r="CB20" s="290"/>
      <c r="CC20" s="291" t="s">
        <v>75</v>
      </c>
      <c r="CD20" s="86">
        <f t="shared" si="125"/>
        <v>24423</v>
      </c>
      <c r="CE20" s="87">
        <f>'EF peternakan'!$G$13</f>
        <v>0.83</v>
      </c>
      <c r="CF20" s="87">
        <f>'EF peternakan'!$H$13</f>
        <v>2</v>
      </c>
      <c r="CG20" s="91">
        <f t="shared" si="17"/>
        <v>0.60589999999999999</v>
      </c>
      <c r="CH20" s="89">
        <f t="shared" si="18"/>
        <v>0.02</v>
      </c>
      <c r="CI20" s="83">
        <f t="shared" si="115"/>
        <v>295.95791400000002</v>
      </c>
      <c r="CJ20" s="306">
        <f>'EF peternakan'!$C$32</f>
        <v>0.01</v>
      </c>
      <c r="CK20" s="85">
        <f t="shared" si="20"/>
        <v>4.6507672200000005</v>
      </c>
      <c r="CS20" s="290"/>
      <c r="CT20" s="291" t="s">
        <v>75</v>
      </c>
      <c r="CU20" s="86">
        <f t="shared" si="116"/>
        <v>295.95791400000002</v>
      </c>
      <c r="CV20" s="9"/>
      <c r="CW20" s="9"/>
      <c r="CX20" s="9"/>
      <c r="CY20" s="96"/>
      <c r="DB20" s="290"/>
      <c r="DC20" s="291" t="s">
        <v>75</v>
      </c>
      <c r="DD20" s="44">
        <f t="shared" si="126"/>
        <v>29905</v>
      </c>
      <c r="DE20" s="87">
        <f>'EF peternakan'!$G$13</f>
        <v>0.83</v>
      </c>
      <c r="DF20" s="87">
        <f>'EF peternakan'!$H$13</f>
        <v>2</v>
      </c>
      <c r="DG20" s="91">
        <f t="shared" si="24"/>
        <v>0.60589999999999999</v>
      </c>
      <c r="DH20" s="89">
        <f t="shared" si="25"/>
        <v>0.02</v>
      </c>
      <c r="DI20" s="83">
        <f t="shared" si="26"/>
        <v>362.38879000000003</v>
      </c>
      <c r="DJ20" s="306">
        <f>'EF peternakan'!$C$32</f>
        <v>0.01</v>
      </c>
      <c r="DK20" s="85">
        <f t="shared" si="117"/>
        <v>5.6946809857142862</v>
      </c>
      <c r="DS20" s="290"/>
      <c r="DT20" s="291" t="s">
        <v>75</v>
      </c>
      <c r="DU20" s="86">
        <f t="shared" si="118"/>
        <v>362.38879000000003</v>
      </c>
      <c r="DV20" s="9"/>
      <c r="DW20" s="9"/>
      <c r="DX20" s="9"/>
      <c r="DY20" s="96"/>
      <c r="EB20" s="290"/>
      <c r="EC20" s="291" t="s">
        <v>75</v>
      </c>
      <c r="ED20" s="86">
        <f t="shared" si="91"/>
        <v>42567</v>
      </c>
      <c r="EE20" s="87">
        <f>'EF peternakan'!$G$13</f>
        <v>0.83</v>
      </c>
      <c r="EF20" s="87">
        <f>'EF peternakan'!$H$13</f>
        <v>2</v>
      </c>
      <c r="EG20" s="91">
        <f t="shared" si="31"/>
        <v>0.60589999999999999</v>
      </c>
      <c r="EH20" s="89">
        <f t="shared" si="32"/>
        <v>0.02</v>
      </c>
      <c r="EI20" s="83">
        <f t="shared" si="33"/>
        <v>515.82690600000001</v>
      </c>
      <c r="EJ20" s="306">
        <f>'EF peternakan'!$C$32</f>
        <v>0.01</v>
      </c>
      <c r="EK20" s="85">
        <f t="shared" si="34"/>
        <v>8.1058513800000007</v>
      </c>
      <c r="ES20" s="290"/>
      <c r="ET20" s="291" t="s">
        <v>75</v>
      </c>
      <c r="EU20" s="86">
        <f t="shared" si="110"/>
        <v>515.82690600000001</v>
      </c>
      <c r="EV20" s="9"/>
      <c r="EW20" s="9"/>
      <c r="EX20" s="9"/>
      <c r="EY20" s="96"/>
      <c r="FB20" s="290"/>
      <c r="FC20" s="291" t="s">
        <v>75</v>
      </c>
      <c r="FD20" s="86">
        <f t="shared" si="93"/>
        <v>43915</v>
      </c>
      <c r="FE20" s="87">
        <f>'EF peternakan'!$G$13</f>
        <v>0.83</v>
      </c>
      <c r="FF20" s="87">
        <f>'EF peternakan'!$H$13</f>
        <v>2</v>
      </c>
      <c r="FG20" s="91">
        <f t="shared" si="38"/>
        <v>0.60589999999999999</v>
      </c>
      <c r="FH20" s="89">
        <f t="shared" si="39"/>
        <v>0.02</v>
      </c>
      <c r="FI20" s="83">
        <f t="shared" si="119"/>
        <v>532.16197</v>
      </c>
      <c r="FJ20" s="306">
        <f>'EF peternakan'!$C$32</f>
        <v>0.01</v>
      </c>
      <c r="FK20" s="85">
        <f t="shared" si="120"/>
        <v>8.3625452428571432</v>
      </c>
      <c r="FS20" s="290"/>
      <c r="FT20" s="291" t="s">
        <v>75</v>
      </c>
      <c r="FU20" s="86">
        <f t="shared" si="94"/>
        <v>532.16197</v>
      </c>
      <c r="FV20" s="9"/>
      <c r="FW20" s="9"/>
      <c r="FX20" s="9"/>
      <c r="FY20" s="96"/>
      <c r="GB20" s="290"/>
      <c r="GC20" s="291" t="s">
        <v>75</v>
      </c>
      <c r="GD20" s="86">
        <f t="shared" si="97"/>
        <v>45263</v>
      </c>
      <c r="GE20" s="87">
        <f>'EF peternakan'!$G$13</f>
        <v>0.83</v>
      </c>
      <c r="GF20" s="87">
        <f>'EF peternakan'!$H$13</f>
        <v>2</v>
      </c>
      <c r="GG20" s="91">
        <f t="shared" si="44"/>
        <v>0.60589999999999999</v>
      </c>
      <c r="GH20" s="89">
        <f t="shared" si="45"/>
        <v>0.02</v>
      </c>
      <c r="GI20" s="83">
        <f t="shared" si="121"/>
        <v>548.49703399999999</v>
      </c>
      <c r="GJ20" s="306">
        <f>'EF peternakan'!$C$32</f>
        <v>0.01</v>
      </c>
      <c r="GK20" s="85">
        <f t="shared" si="122"/>
        <v>8.6192391057142856</v>
      </c>
      <c r="GS20" s="290"/>
      <c r="GT20" s="291" t="s">
        <v>75</v>
      </c>
      <c r="GU20" s="86">
        <f t="shared" si="48"/>
        <v>548.49703399999999</v>
      </c>
      <c r="GV20" s="9"/>
      <c r="GW20" s="9"/>
      <c r="GX20" s="9"/>
      <c r="GY20" s="96"/>
      <c r="HB20" s="290"/>
      <c r="HC20" s="291" t="s">
        <v>75</v>
      </c>
      <c r="HD20" s="86">
        <f t="shared" si="99"/>
        <v>46611</v>
      </c>
      <c r="HE20" s="87">
        <f>'EF peternakan'!$G$13</f>
        <v>0.83</v>
      </c>
      <c r="HF20" s="87">
        <f>'EF peternakan'!$H$13</f>
        <v>2</v>
      </c>
      <c r="HG20" s="91">
        <f t="shared" si="52"/>
        <v>0.60589999999999999</v>
      </c>
      <c r="HH20" s="89">
        <f t="shared" si="53"/>
        <v>0.02</v>
      </c>
      <c r="HI20" s="83">
        <f t="shared" si="54"/>
        <v>564.83209799999997</v>
      </c>
      <c r="HJ20" s="306">
        <f>'EF peternakan'!$C$32</f>
        <v>0.01</v>
      </c>
      <c r="HK20" s="85">
        <f t="shared" si="55"/>
        <v>8.8759329685714281</v>
      </c>
      <c r="HS20" s="290"/>
      <c r="HT20" s="291" t="s">
        <v>75</v>
      </c>
      <c r="HU20" s="86">
        <f t="shared" si="100"/>
        <v>564.83209799999997</v>
      </c>
      <c r="HV20" s="9"/>
      <c r="HW20" s="9"/>
      <c r="HX20" s="9"/>
      <c r="HY20" s="96"/>
      <c r="IB20" s="290"/>
      <c r="IC20" s="291" t="s">
        <v>75</v>
      </c>
      <c r="ID20" s="86">
        <f t="shared" si="102"/>
        <v>47959</v>
      </c>
      <c r="IE20" s="87">
        <f>'EF peternakan'!$G$13</f>
        <v>0.83</v>
      </c>
      <c r="IF20" s="87">
        <f>'EF peternakan'!$H$13</f>
        <v>2</v>
      </c>
      <c r="IG20" s="91">
        <f t="shared" si="59"/>
        <v>0.60589999999999999</v>
      </c>
      <c r="IH20" s="89">
        <f t="shared" si="60"/>
        <v>0.02</v>
      </c>
      <c r="II20" s="83">
        <f t="shared" si="61"/>
        <v>581.16716200000008</v>
      </c>
      <c r="IJ20" s="306">
        <f>'EF peternakan'!$C$32</f>
        <v>0.01</v>
      </c>
      <c r="IK20" s="85">
        <f t="shared" si="62"/>
        <v>9.1326268314285723</v>
      </c>
      <c r="IS20" s="290"/>
      <c r="IT20" s="291" t="s">
        <v>75</v>
      </c>
      <c r="IU20" s="86">
        <f t="shared" si="63"/>
        <v>581.16716200000008</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7348</v>
      </c>
      <c r="E21" s="87">
        <f>'EF peternakan'!$G$7</f>
        <v>0.5</v>
      </c>
      <c r="F21" s="293">
        <f>'EF peternakan'!$H$7</f>
        <v>100</v>
      </c>
      <c r="G21" s="9">
        <f t="shared" si="106"/>
        <v>18.25</v>
      </c>
      <c r="H21" s="89">
        <f t="shared" si="76"/>
        <v>0.02</v>
      </c>
      <c r="I21" s="83">
        <f>D21*G21*H21</f>
        <v>2682.02</v>
      </c>
      <c r="J21" s="88">
        <v>0.02</v>
      </c>
      <c r="K21" s="85">
        <f t="shared" si="0"/>
        <v>84.292057142857146</v>
      </c>
      <c r="S21" s="290"/>
      <c r="T21" s="270" t="s">
        <v>66</v>
      </c>
      <c r="U21" s="86">
        <f t="shared" si="1"/>
        <v>2682.02</v>
      </c>
      <c r="V21" s="9"/>
      <c r="W21" s="9"/>
      <c r="X21" s="9"/>
      <c r="Y21" s="96"/>
      <c r="AB21" s="290"/>
      <c r="AC21" s="270" t="s">
        <v>66</v>
      </c>
      <c r="AD21" s="86">
        <f>D49</f>
        <v>7498</v>
      </c>
      <c r="AE21" s="87">
        <f>'EF peternakan'!$G$7</f>
        <v>0.5</v>
      </c>
      <c r="AF21" s="87">
        <f>'EF peternakan'!$H$7</f>
        <v>100</v>
      </c>
      <c r="AG21" s="91">
        <f t="shared" si="4"/>
        <v>18.25</v>
      </c>
      <c r="AH21" s="89">
        <f t="shared" si="5"/>
        <v>0.02</v>
      </c>
      <c r="AI21" s="83">
        <f>AD21*AG21*AH21</f>
        <v>2736.77</v>
      </c>
      <c r="AJ21" s="88">
        <v>0.02</v>
      </c>
      <c r="AK21" s="85">
        <f t="shared" si="7"/>
        <v>86.012771428571426</v>
      </c>
      <c r="AS21" s="290"/>
      <c r="AT21" s="270" t="s">
        <v>66</v>
      </c>
      <c r="AU21" s="86">
        <f>AI21</f>
        <v>2736.77</v>
      </c>
      <c r="AV21" s="9"/>
      <c r="AW21" s="9"/>
      <c r="AX21" s="9"/>
      <c r="AY21" s="96"/>
      <c r="BB21" s="290"/>
      <c r="BC21" s="270" t="s">
        <v>66</v>
      </c>
      <c r="BD21" s="44">
        <f>E49</f>
        <v>7942</v>
      </c>
      <c r="BE21" s="87">
        <f>'EF peternakan'!$G$7</f>
        <v>0.5</v>
      </c>
      <c r="BF21" s="87">
        <f>'EF peternakan'!$H$7</f>
        <v>100</v>
      </c>
      <c r="BG21" s="91">
        <f t="shared" si="112"/>
        <v>18.25</v>
      </c>
      <c r="BH21" s="89">
        <f t="shared" si="113"/>
        <v>0.02</v>
      </c>
      <c r="BI21" s="83">
        <f t="shared" si="108"/>
        <v>2898.83</v>
      </c>
      <c r="BJ21" s="88">
        <v>0.02</v>
      </c>
      <c r="BK21" s="85">
        <f t="shared" si="13"/>
        <v>91.106085714285712</v>
      </c>
      <c r="BS21" s="290"/>
      <c r="BT21" s="270" t="s">
        <v>66</v>
      </c>
      <c r="BU21" s="86">
        <f t="shared" si="114"/>
        <v>2898.83</v>
      </c>
      <c r="BV21" s="9"/>
      <c r="BW21" s="9"/>
      <c r="BX21" s="9"/>
      <c r="BY21" s="96"/>
      <c r="CB21" s="290"/>
      <c r="CC21" s="270" t="s">
        <v>66</v>
      </c>
      <c r="CD21" s="86">
        <f>F49</f>
        <v>8071</v>
      </c>
      <c r="CE21" s="87">
        <f>'EF peternakan'!$G$7</f>
        <v>0.5</v>
      </c>
      <c r="CF21" s="87">
        <f>'EF peternakan'!$H$7</f>
        <v>100</v>
      </c>
      <c r="CG21" s="91">
        <f t="shared" si="17"/>
        <v>18.25</v>
      </c>
      <c r="CH21" s="89">
        <f t="shared" si="18"/>
        <v>0.02</v>
      </c>
      <c r="CI21" s="83">
        <f t="shared" si="115"/>
        <v>2945.915</v>
      </c>
      <c r="CJ21" s="88">
        <v>0.02</v>
      </c>
      <c r="CK21" s="85">
        <f t="shared" si="20"/>
        <v>92.585899999999995</v>
      </c>
      <c r="CS21" s="290"/>
      <c r="CT21" s="270" t="s">
        <v>66</v>
      </c>
      <c r="CU21" s="86">
        <f t="shared" si="116"/>
        <v>2945.915</v>
      </c>
      <c r="CV21" s="9"/>
      <c r="CW21" s="9"/>
      <c r="CX21" s="9"/>
      <c r="CY21" s="96"/>
      <c r="DB21" s="290"/>
      <c r="DC21" s="270" t="s">
        <v>66</v>
      </c>
      <c r="DD21" s="44">
        <f t="shared" si="126"/>
        <v>8907</v>
      </c>
      <c r="DE21" s="87">
        <f>'EF peternakan'!$G$7</f>
        <v>0.5</v>
      </c>
      <c r="DF21" s="87">
        <f>'EF peternakan'!$H$7</f>
        <v>100</v>
      </c>
      <c r="DG21" s="91">
        <f t="shared" si="24"/>
        <v>18.25</v>
      </c>
      <c r="DH21" s="89">
        <f t="shared" si="25"/>
        <v>0.02</v>
      </c>
      <c r="DI21" s="83">
        <f t="shared" si="26"/>
        <v>3251.0550000000003</v>
      </c>
      <c r="DJ21" s="88">
        <v>0.02</v>
      </c>
      <c r="DK21" s="85">
        <f t="shared" si="117"/>
        <v>102.17601428571429</v>
      </c>
      <c r="DS21" s="290"/>
      <c r="DT21" s="270" t="s">
        <v>66</v>
      </c>
      <c r="DU21" s="86">
        <f t="shared" si="118"/>
        <v>3251.0550000000003</v>
      </c>
      <c r="DV21" s="9"/>
      <c r="DW21" s="9"/>
      <c r="DX21" s="9"/>
      <c r="DY21" s="96"/>
      <c r="EB21" s="290"/>
      <c r="EC21" s="270" t="s">
        <v>66</v>
      </c>
      <c r="ED21" s="86">
        <f t="shared" si="91"/>
        <v>8857.0499999999993</v>
      </c>
      <c r="EE21" s="87">
        <f>'EF peternakan'!$G$7</f>
        <v>0.5</v>
      </c>
      <c r="EF21" s="87">
        <f>'EF peternakan'!$H$7</f>
        <v>100</v>
      </c>
      <c r="EG21" s="91">
        <f t="shared" si="31"/>
        <v>18.25</v>
      </c>
      <c r="EH21" s="89">
        <f t="shared" si="32"/>
        <v>0.02</v>
      </c>
      <c r="EI21" s="83">
        <f t="shared" si="33"/>
        <v>3232.8232499999995</v>
      </c>
      <c r="EJ21" s="88">
        <v>0.02</v>
      </c>
      <c r="EK21" s="85">
        <f t="shared" si="34"/>
        <v>101.60301642857142</v>
      </c>
      <c r="ES21" s="290"/>
      <c r="ET21" s="270" t="s">
        <v>66</v>
      </c>
      <c r="EU21" s="86">
        <f t="shared" si="110"/>
        <v>3232.8232499999995</v>
      </c>
      <c r="EV21" s="9"/>
      <c r="EW21" s="9"/>
      <c r="EX21" s="9"/>
      <c r="EY21" s="96"/>
      <c r="FB21" s="290"/>
      <c r="FC21" s="270" t="s">
        <v>66</v>
      </c>
      <c r="FD21" s="86">
        <f t="shared" si="93"/>
        <v>9209</v>
      </c>
      <c r="FE21" s="87">
        <f>'EF peternakan'!$G$7</f>
        <v>0.5</v>
      </c>
      <c r="FF21" s="87">
        <f>'EF peternakan'!$H$7</f>
        <v>100</v>
      </c>
      <c r="FG21" s="91">
        <f t="shared" si="38"/>
        <v>18.25</v>
      </c>
      <c r="FH21" s="89">
        <f t="shared" si="39"/>
        <v>0.02</v>
      </c>
      <c r="FI21" s="83">
        <f t="shared" si="119"/>
        <v>3361.2849999999999</v>
      </c>
      <c r="FJ21" s="88">
        <v>0.02</v>
      </c>
      <c r="FK21" s="85">
        <f t="shared" si="120"/>
        <v>105.64038571428571</v>
      </c>
      <c r="FS21" s="290"/>
      <c r="FT21" s="270" t="s">
        <v>66</v>
      </c>
      <c r="FU21" s="86">
        <f t="shared" si="94"/>
        <v>3361.2849999999999</v>
      </c>
      <c r="FV21" s="9"/>
      <c r="FW21" s="9"/>
      <c r="FX21" s="9"/>
      <c r="FY21" s="96"/>
      <c r="GB21" s="290"/>
      <c r="GC21" s="270" t="s">
        <v>66</v>
      </c>
      <c r="GD21" s="86">
        <f t="shared" si="97"/>
        <v>9560.9500000000007</v>
      </c>
      <c r="GE21" s="87">
        <f>'EF peternakan'!$G$7</f>
        <v>0.5</v>
      </c>
      <c r="GF21" s="87">
        <f>'EF peternakan'!$H$7</f>
        <v>100</v>
      </c>
      <c r="GG21" s="91">
        <f t="shared" si="44"/>
        <v>18.25</v>
      </c>
      <c r="GH21" s="89">
        <f t="shared" si="45"/>
        <v>0.02</v>
      </c>
      <c r="GI21" s="83">
        <f t="shared" si="121"/>
        <v>3489.7467500000007</v>
      </c>
      <c r="GJ21" s="88">
        <v>0.02</v>
      </c>
      <c r="GK21" s="85">
        <f t="shared" si="122"/>
        <v>109.67775500000002</v>
      </c>
      <c r="GS21" s="290"/>
      <c r="GT21" s="270" t="s">
        <v>66</v>
      </c>
      <c r="GU21" s="86">
        <f t="shared" si="48"/>
        <v>3489.7467500000007</v>
      </c>
      <c r="GV21" s="9"/>
      <c r="GW21" s="9"/>
      <c r="GX21" s="9"/>
      <c r="GY21" s="96"/>
      <c r="HB21" s="290"/>
      <c r="HC21" s="270" t="s">
        <v>66</v>
      </c>
      <c r="HD21" s="86">
        <f t="shared" si="99"/>
        <v>9912.9</v>
      </c>
      <c r="HE21" s="87">
        <f>'EF peternakan'!$G$7</f>
        <v>0.5</v>
      </c>
      <c r="HF21" s="87">
        <f>'EF peternakan'!$H$7</f>
        <v>100</v>
      </c>
      <c r="HG21" s="91">
        <f t="shared" si="52"/>
        <v>18.25</v>
      </c>
      <c r="HH21" s="89">
        <f t="shared" si="53"/>
        <v>0.02</v>
      </c>
      <c r="HI21" s="83">
        <f t="shared" si="54"/>
        <v>3618.2084999999997</v>
      </c>
      <c r="HJ21" s="88">
        <v>0.02</v>
      </c>
      <c r="HK21" s="85">
        <f t="shared" si="55"/>
        <v>113.71512428571428</v>
      </c>
      <c r="HS21" s="290"/>
      <c r="HT21" s="270" t="s">
        <v>66</v>
      </c>
      <c r="HU21" s="86">
        <f t="shared" si="100"/>
        <v>3618.2084999999997</v>
      </c>
      <c r="HV21" s="9"/>
      <c r="HW21" s="9"/>
      <c r="HX21" s="9"/>
      <c r="HY21" s="96"/>
      <c r="IB21" s="290"/>
      <c r="IC21" s="270" t="s">
        <v>66</v>
      </c>
      <c r="ID21" s="86">
        <f t="shared" si="102"/>
        <v>10264.85</v>
      </c>
      <c r="IE21" s="87">
        <f>'EF peternakan'!$G$7</f>
        <v>0.5</v>
      </c>
      <c r="IF21" s="87">
        <f>'EF peternakan'!$H$7</f>
        <v>100</v>
      </c>
      <c r="IG21" s="91">
        <f t="shared" si="59"/>
        <v>18.25</v>
      </c>
      <c r="IH21" s="89">
        <f t="shared" si="60"/>
        <v>0.02</v>
      </c>
      <c r="II21" s="83">
        <f t="shared" si="61"/>
        <v>3746.6702500000001</v>
      </c>
      <c r="IJ21" s="88">
        <v>0.02</v>
      </c>
      <c r="IK21" s="85">
        <f t="shared" si="62"/>
        <v>117.75249357142859</v>
      </c>
      <c r="IS21" s="290"/>
      <c r="IT21" s="270" t="s">
        <v>66</v>
      </c>
      <c r="IU21" s="86">
        <f t="shared" si="63"/>
        <v>3746.6702500000001</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20" t="s">
        <v>76</v>
      </c>
      <c r="C23" s="421"/>
      <c r="D23" s="295">
        <f>SUM(D11:D21)</f>
        <v>9328386</v>
      </c>
      <c r="E23" s="296"/>
      <c r="F23" s="295">
        <f>SUM(F11:F21)</f>
        <v>1593</v>
      </c>
      <c r="G23" s="295">
        <f>SUM(G11:G21)</f>
        <v>269.95035000000007</v>
      </c>
      <c r="H23" s="297"/>
      <c r="I23" s="298">
        <f>SUM(I11:I21)</f>
        <v>158133.36431</v>
      </c>
      <c r="J23" s="297"/>
      <c r="K23" s="299">
        <f>SUM(K11:K21)</f>
        <v>2664.6454775285715</v>
      </c>
      <c r="S23" s="420" t="s">
        <v>76</v>
      </c>
      <c r="T23" s="425"/>
      <c r="U23" s="45">
        <f>SUM(U11:U21)</f>
        <v>158133.36431</v>
      </c>
      <c r="V23" s="101"/>
      <c r="W23" s="45">
        <f>SUM(W11:W21)</f>
        <v>1057.5181500000001</v>
      </c>
      <c r="X23" s="101"/>
      <c r="Y23" s="97">
        <f>SUM(Y11:Y22)</f>
        <v>16.618142357142858</v>
      </c>
      <c r="AB23" s="420" t="s">
        <v>76</v>
      </c>
      <c r="AC23" s="421"/>
      <c r="AD23" s="45">
        <f>SUM(AD11:AD21)</f>
        <v>9579702</v>
      </c>
      <c r="AE23" s="50"/>
      <c r="AF23" s="295">
        <f>SUM(AF11:AF21)</f>
        <v>1593</v>
      </c>
      <c r="AG23" s="295">
        <f>SUM(AG11:AG21)</f>
        <v>269.95035000000007</v>
      </c>
      <c r="AH23" s="297"/>
      <c r="AI23" s="298">
        <f>SUM(AI11:AI21)</f>
        <v>161275.18532199998</v>
      </c>
      <c r="AJ23" s="297"/>
      <c r="AK23" s="299">
        <f>SUM(AK11:AK21)</f>
        <v>2700.4760189314284</v>
      </c>
      <c r="AS23" s="420" t="s">
        <v>76</v>
      </c>
      <c r="AT23" s="425"/>
      <c r="AU23" s="45">
        <f>SUM(AU11:AU21)</f>
        <v>161275.18532199998</v>
      </c>
      <c r="AV23" s="101"/>
      <c r="AW23" s="45">
        <f>SUM(AW11:AW21)</f>
        <v>683.35665000000006</v>
      </c>
      <c r="AX23" s="101"/>
      <c r="AY23" s="97">
        <f>SUM(AY11:AY22)</f>
        <v>10.738461642857144</v>
      </c>
      <c r="BB23" s="420" t="s">
        <v>76</v>
      </c>
      <c r="BC23" s="421"/>
      <c r="BD23" s="45">
        <f>SUM(BD11:BD21)</f>
        <v>8879205</v>
      </c>
      <c r="BE23" s="50"/>
      <c r="BF23" s="99">
        <f>SUM(BF11:BF21)</f>
        <v>1593</v>
      </c>
      <c r="BG23" s="301">
        <f>SUM(BG11:BG21)</f>
        <v>269.95035000000007</v>
      </c>
      <c r="BH23" s="100"/>
      <c r="BI23" s="52">
        <f>SUM(BI11:BI21)</f>
        <v>148721.02594399996</v>
      </c>
      <c r="BJ23" s="100"/>
      <c r="BK23" s="53">
        <f>SUM(BK11:BK21)</f>
        <v>2486.2046506628571</v>
      </c>
      <c r="BS23" s="420" t="s">
        <v>76</v>
      </c>
      <c r="BT23" s="425"/>
      <c r="BU23" s="45">
        <f>SUM(BU11:BU21)</f>
        <v>148721.02594399996</v>
      </c>
      <c r="BV23" s="101"/>
      <c r="BW23" s="45">
        <f>SUM(BW11:BW21)</f>
        <v>702.15780000000007</v>
      </c>
      <c r="BX23" s="101"/>
      <c r="BY23" s="97">
        <f>SUM(BY11:BY22)</f>
        <v>11.033908285714286</v>
      </c>
      <c r="CB23" s="420" t="s">
        <v>76</v>
      </c>
      <c r="CC23" s="421"/>
      <c r="CD23" s="45">
        <f>SUM(CD11:CD21)</f>
        <v>12350742</v>
      </c>
      <c r="CE23" s="50"/>
      <c r="CF23" s="99">
        <f>SUM(CF11:CF21)</f>
        <v>1593</v>
      </c>
      <c r="CG23" s="301">
        <f>SUM(CG11:CG21)</f>
        <v>269.95035000000007</v>
      </c>
      <c r="CH23" s="100"/>
      <c r="CI23" s="52">
        <f>SUM(CI11:CI21)</f>
        <v>204856.789105</v>
      </c>
      <c r="CJ23" s="100"/>
      <c r="CK23" s="53">
        <f>SUM(CK11:CK21)</f>
        <v>3369.4056660000001</v>
      </c>
      <c r="CS23" s="420" t="s">
        <v>76</v>
      </c>
      <c r="CT23" s="425"/>
      <c r="CU23" s="45">
        <f>SUM(CU11:CU21)</f>
        <v>204856.789105</v>
      </c>
      <c r="CV23" s="101"/>
      <c r="CW23" s="45">
        <f>SUM(CW11:CW21)</f>
        <v>794.11590000000012</v>
      </c>
      <c r="CX23" s="101"/>
      <c r="CY23" s="97">
        <f>SUM(CY11:CY22)</f>
        <v>12.478964142857146</v>
      </c>
      <c r="DB23" s="420" t="s">
        <v>76</v>
      </c>
      <c r="DC23" s="421"/>
      <c r="DD23" s="45">
        <f>SUM(DD11:DD21)</f>
        <v>18709525</v>
      </c>
      <c r="DE23" s="50"/>
      <c r="DF23" s="99">
        <f>SUM(DF11:DF21)</f>
        <v>1593</v>
      </c>
      <c r="DG23" s="301">
        <f>SUM(DG11:DG21)</f>
        <v>269.95035000000007</v>
      </c>
      <c r="DH23" s="100"/>
      <c r="DI23" s="52">
        <f>SUM(DI11:DI21)</f>
        <v>306962.463177</v>
      </c>
      <c r="DJ23" s="100"/>
      <c r="DK23" s="53">
        <f>SUM(DK11:DK21)</f>
        <v>4990.157721245715</v>
      </c>
      <c r="DS23" s="420" t="s">
        <v>76</v>
      </c>
      <c r="DT23" s="425"/>
      <c r="DU23" s="45">
        <f>SUM(DU11:DU21)</f>
        <v>306962.463177</v>
      </c>
      <c r="DV23" s="101"/>
      <c r="DW23" s="45">
        <f>SUM(DW11:DW21)</f>
        <v>930.00540000000012</v>
      </c>
      <c r="DX23" s="101"/>
      <c r="DY23" s="97">
        <f>SUM(DY11:DY22)</f>
        <v>14.614370571428573</v>
      </c>
      <c r="EB23" s="420" t="s">
        <v>76</v>
      </c>
      <c r="EC23" s="421"/>
      <c r="ED23" s="45">
        <f>SUM(ED11:ED21)</f>
        <v>13121008.724200001</v>
      </c>
      <c r="EE23" s="50"/>
      <c r="EF23" s="99">
        <f>SUM(EF11:EF21)</f>
        <v>1593</v>
      </c>
      <c r="EG23" s="301">
        <f>SUM(EG11:EG21)</f>
        <v>269.95035000000007</v>
      </c>
      <c r="EH23" s="100"/>
      <c r="EI23" s="52">
        <f>SUM(EI11:EI21)</f>
        <v>219255.93089855998</v>
      </c>
      <c r="EJ23" s="100"/>
      <c r="EK23" s="53">
        <f>SUM(EK11:EK21)</f>
        <v>3637.7697584787429</v>
      </c>
      <c r="ES23" s="420" t="s">
        <v>76</v>
      </c>
      <c r="ET23" s="425"/>
      <c r="EU23" s="45">
        <f>SUM(EU11:EU21)</f>
        <v>219255.93089855998</v>
      </c>
      <c r="EV23" s="101"/>
      <c r="EW23" s="45">
        <f>SUM(EW11:EW21)</f>
        <v>984.36120000000005</v>
      </c>
      <c r="EX23" s="101"/>
      <c r="EY23" s="97">
        <f>SUM(EY11:EY22)</f>
        <v>15.468533142857144</v>
      </c>
      <c r="FB23" s="420" t="s">
        <v>76</v>
      </c>
      <c r="FC23" s="421"/>
      <c r="FD23" s="45">
        <f>SUM(FD11:FD21)</f>
        <v>13509851.72780576</v>
      </c>
      <c r="FE23" s="50"/>
      <c r="FF23" s="99">
        <f>SUM(FF11:FF21)</f>
        <v>1593</v>
      </c>
      <c r="FG23" s="301">
        <f>SUM(FG11:FG21)</f>
        <v>269.95035000000007</v>
      </c>
      <c r="FH23" s="100"/>
      <c r="FI23" s="298">
        <f>SUM(FI11:FI21)</f>
        <v>225679.11024781404</v>
      </c>
      <c r="FJ23" s="100"/>
      <c r="FK23" s="299">
        <f>SUM(FK11:FK21)</f>
        <v>3742.8185915501572</v>
      </c>
      <c r="FS23" s="420" t="s">
        <v>76</v>
      </c>
      <c r="FT23" s="425"/>
      <c r="FU23" s="45">
        <f>SUM(FU11:FU21)</f>
        <v>225679.11024781404</v>
      </c>
      <c r="FV23" s="101"/>
      <c r="FW23" s="45">
        <f>SUM(FW11:FW21)</f>
        <v>989.71040747222401</v>
      </c>
      <c r="FX23" s="101"/>
      <c r="FY23" s="97">
        <f>SUM(FY11:FY22)</f>
        <v>15.552592117420662</v>
      </c>
      <c r="GB23" s="420" t="s">
        <v>76</v>
      </c>
      <c r="GC23" s="421"/>
      <c r="GD23" s="45">
        <f>SUM(GD11:GD21)</f>
        <v>13898834.004263541</v>
      </c>
      <c r="GE23" s="50"/>
      <c r="GF23" s="99">
        <f>SUM(GF11:GF21)</f>
        <v>1593</v>
      </c>
      <c r="GG23" s="301">
        <f>SUM(GG11:GG21)</f>
        <v>269.95035000000007</v>
      </c>
      <c r="GH23" s="100"/>
      <c r="GI23" s="52">
        <f>SUM(GI11:GI21)</f>
        <v>232188.7084017478</v>
      </c>
      <c r="GJ23" s="100"/>
      <c r="GK23" s="53">
        <f>SUM(GK11:GK21)</f>
        <v>3850.583444197217</v>
      </c>
      <c r="GS23" s="420" t="s">
        <v>76</v>
      </c>
      <c r="GT23" s="425"/>
      <c r="GU23" s="45">
        <f>SUM(GU11:GU21)</f>
        <v>232188.7084017478</v>
      </c>
      <c r="GV23" s="101"/>
      <c r="GW23" s="45">
        <f>SUM(GW11:GW21)</f>
        <v>1020.9852563483462</v>
      </c>
      <c r="GX23" s="101"/>
      <c r="GY23" s="97">
        <f>SUM(GY11:GY22)</f>
        <v>16.044054028331153</v>
      </c>
      <c r="HB23" s="420" t="s">
        <v>76</v>
      </c>
      <c r="HC23" s="421"/>
      <c r="HD23" s="45">
        <f>SUM(HD11:HD21)</f>
        <v>14287821.58980123</v>
      </c>
      <c r="HE23" s="50"/>
      <c r="HF23" s="99">
        <f>SUM(HF11:HF21)</f>
        <v>1593</v>
      </c>
      <c r="HG23" s="301">
        <f>SUM(HG11:HG21)</f>
        <v>269.95035000000007</v>
      </c>
      <c r="HH23" s="100"/>
      <c r="HI23" s="52">
        <f>SUM(HI11:HI21)</f>
        <v>238701.60083976321</v>
      </c>
      <c r="HJ23" s="100"/>
      <c r="HK23" s="53">
        <f>SUM(HK11:HK21)</f>
        <v>3958.4518314868424</v>
      </c>
      <c r="HS23" s="420" t="s">
        <v>76</v>
      </c>
      <c r="HT23" s="425"/>
      <c r="HU23" s="45">
        <f>SUM(HU11:HU21)</f>
        <v>238701.60083976321</v>
      </c>
      <c r="HV23" s="101"/>
      <c r="HW23" s="45">
        <f>SUM(HW11:HW21)</f>
        <v>1053.2483904489541</v>
      </c>
      <c r="HX23" s="101"/>
      <c r="HY23" s="97">
        <f>SUM(HY11:HY22)</f>
        <v>16.551046135626422</v>
      </c>
      <c r="IB23" s="420" t="s">
        <v>76</v>
      </c>
      <c r="IC23" s="421"/>
      <c r="ID23" s="45">
        <f>SUM(ID11:ID21)</f>
        <v>14676809.175338918</v>
      </c>
      <c r="IE23" s="50"/>
      <c r="IF23" s="99">
        <f>SUM(IF11:IF21)</f>
        <v>1593</v>
      </c>
      <c r="IG23" s="301">
        <f>SUM(IG11:IG21)</f>
        <v>269.95035000000007</v>
      </c>
      <c r="IH23" s="100"/>
      <c r="II23" s="52">
        <f>SUM(II11:II21)</f>
        <v>245214.49327777856</v>
      </c>
      <c r="IJ23" s="100"/>
      <c r="IK23" s="53">
        <f>SUM(IK11:IK21)</f>
        <v>4066.3202187764687</v>
      </c>
      <c r="IS23" s="420" t="s">
        <v>76</v>
      </c>
      <c r="IT23" s="425"/>
      <c r="IU23" s="45">
        <f>SUM(IU11:IU21)</f>
        <v>245214.49327777856</v>
      </c>
      <c r="IV23" s="101"/>
      <c r="IW23" s="45">
        <f>SUM(IW11:IW21)</f>
        <v>1085.5115245495615</v>
      </c>
      <c r="IX23" s="101"/>
      <c r="IY23" s="97">
        <f>SUM(IY11:IY22)</f>
        <v>17.058038242921679</v>
      </c>
      <c r="JB23" s="420" t="s">
        <v>76</v>
      </c>
      <c r="JC23" s="421"/>
      <c r="JD23" s="45">
        <f>SUM(JD11:JD21)</f>
        <v>0</v>
      </c>
      <c r="JE23" s="50"/>
      <c r="JF23" s="99">
        <f>SUM(JF11:JF21)</f>
        <v>1593</v>
      </c>
      <c r="JG23" s="301">
        <f>SUM(JG11:JG21)</f>
        <v>269.95035000000007</v>
      </c>
      <c r="JH23" s="100"/>
      <c r="JI23" s="52">
        <f>SUM(JI11:JI21)</f>
        <v>0</v>
      </c>
      <c r="JJ23" s="100"/>
      <c r="JK23" s="53">
        <f>SUM(JK11:JK21)</f>
        <v>0</v>
      </c>
      <c r="JS23" s="420" t="s">
        <v>76</v>
      </c>
      <c r="JT23" s="425"/>
      <c r="JU23" s="45">
        <f>SUM(JU11:JU21)</f>
        <v>0</v>
      </c>
      <c r="JV23" s="101"/>
      <c r="JW23" s="45">
        <f>SUM(JW11:JW21)</f>
        <v>0</v>
      </c>
      <c r="JX23" s="101"/>
      <c r="JY23" s="97">
        <f>SUM(JY11:JY22)</f>
        <v>0</v>
      </c>
    </row>
    <row r="25" spans="2:286" ht="16.5" customHeight="1" x14ac:dyDescent="0.35">
      <c r="B25" s="40"/>
      <c r="C25" s="33"/>
      <c r="D25" s="33"/>
      <c r="E25" s="199"/>
      <c r="F25" s="199"/>
      <c r="G25" s="199"/>
      <c r="H25" s="199"/>
      <c r="I25" s="424" t="s">
        <v>113</v>
      </c>
      <c r="J25" s="424"/>
      <c r="K25" t="s">
        <v>463</v>
      </c>
      <c r="S25" s="40"/>
      <c r="T25" s="33"/>
      <c r="U25" s="33"/>
      <c r="V25" s="54" t="s">
        <v>134</v>
      </c>
      <c r="W25" s="54" t="s">
        <v>136</v>
      </c>
      <c r="AB25" s="40"/>
      <c r="AC25" s="33"/>
      <c r="AD25" s="33"/>
      <c r="AE25" s="199"/>
      <c r="AF25" s="199"/>
      <c r="AG25" s="199"/>
      <c r="AH25" s="199"/>
      <c r="AI25" s="424" t="s">
        <v>113</v>
      </c>
      <c r="AJ25" s="424"/>
      <c r="AK25" t="s">
        <v>115</v>
      </c>
      <c r="AS25" s="40"/>
      <c r="AT25" s="33"/>
      <c r="AU25" s="33"/>
      <c r="AV25" s="199" t="s">
        <v>134</v>
      </c>
      <c r="AW25" s="199" t="s">
        <v>136</v>
      </c>
      <c r="BB25" s="40"/>
      <c r="BC25" s="33"/>
      <c r="BD25" s="33"/>
      <c r="BE25" s="199"/>
      <c r="BF25" s="199"/>
      <c r="BG25" s="199"/>
      <c r="BH25" s="199"/>
      <c r="BI25" s="424" t="s">
        <v>113</v>
      </c>
      <c r="BJ25" s="424"/>
      <c r="BK25" t="s">
        <v>115</v>
      </c>
      <c r="BS25" s="40"/>
      <c r="BT25" s="33"/>
      <c r="BU25" s="33"/>
      <c r="BV25" s="199" t="s">
        <v>134</v>
      </c>
      <c r="BW25" s="199" t="s">
        <v>136</v>
      </c>
      <c r="CB25" s="40"/>
      <c r="CC25" s="33"/>
      <c r="CD25" s="33"/>
      <c r="CE25" s="199"/>
      <c r="CF25" s="199"/>
      <c r="CG25" s="199"/>
      <c r="CH25" s="199"/>
      <c r="CI25" s="424" t="s">
        <v>113</v>
      </c>
      <c r="CJ25" s="424"/>
      <c r="CK25" t="s">
        <v>115</v>
      </c>
      <c r="CS25" s="40"/>
      <c r="CT25" s="33"/>
      <c r="CU25" s="33"/>
      <c r="CV25" s="199" t="s">
        <v>134</v>
      </c>
      <c r="CW25" s="199" t="s">
        <v>136</v>
      </c>
      <c r="DB25" s="40"/>
      <c r="DC25" s="33"/>
      <c r="DD25" s="33"/>
      <c r="DE25" s="199"/>
      <c r="DF25" s="199"/>
      <c r="DG25" s="199"/>
      <c r="DH25" s="199"/>
      <c r="DI25" s="424" t="s">
        <v>113</v>
      </c>
      <c r="DJ25" s="424"/>
      <c r="DK25" t="s">
        <v>115</v>
      </c>
      <c r="DS25" s="40"/>
      <c r="DT25" s="33"/>
      <c r="DU25" s="33"/>
      <c r="DV25" s="199" t="s">
        <v>134</v>
      </c>
      <c r="DW25" s="199" t="s">
        <v>136</v>
      </c>
      <c r="EB25" s="40"/>
      <c r="EC25" s="33"/>
      <c r="ED25" s="33"/>
      <c r="EE25" s="199"/>
      <c r="EF25" s="199"/>
      <c r="EG25" s="199"/>
      <c r="EH25" s="199"/>
      <c r="EI25" s="424" t="s">
        <v>113</v>
      </c>
      <c r="EJ25" s="424"/>
      <c r="EK25" t="s">
        <v>115</v>
      </c>
      <c r="ES25" s="40"/>
      <c r="ET25" s="33"/>
      <c r="EU25" s="33"/>
      <c r="EV25" s="199" t="s">
        <v>134</v>
      </c>
      <c r="EW25" s="199" t="s">
        <v>136</v>
      </c>
      <c r="FB25" s="40"/>
      <c r="FC25" s="33"/>
      <c r="FD25" s="33"/>
      <c r="FE25" s="199"/>
      <c r="FF25" s="199"/>
      <c r="FG25" s="199"/>
      <c r="FH25" s="199"/>
      <c r="FI25" s="424" t="s">
        <v>113</v>
      </c>
      <c r="FJ25" s="424"/>
      <c r="FK25" t="s">
        <v>115</v>
      </c>
      <c r="FS25" s="40"/>
      <c r="FT25" s="33"/>
      <c r="FU25" s="33"/>
      <c r="FV25" s="199" t="s">
        <v>134</v>
      </c>
      <c r="FW25" s="199" t="s">
        <v>136</v>
      </c>
      <c r="GB25" s="40"/>
      <c r="GC25" s="33"/>
      <c r="GD25" s="33"/>
      <c r="GE25" s="199"/>
      <c r="GF25" s="199"/>
      <c r="GG25" s="199"/>
      <c r="GH25" s="199"/>
      <c r="GI25" s="424" t="s">
        <v>113</v>
      </c>
      <c r="GJ25" s="424"/>
      <c r="GK25" t="s">
        <v>115</v>
      </c>
      <c r="GS25" s="40"/>
      <c r="GT25" s="33"/>
      <c r="GU25" s="33"/>
      <c r="GV25" s="199" t="s">
        <v>134</v>
      </c>
      <c r="GW25" s="199" t="s">
        <v>136</v>
      </c>
      <c r="HB25" s="40"/>
      <c r="HC25" s="33"/>
      <c r="HD25" s="33"/>
      <c r="HE25" s="199"/>
      <c r="HF25" s="199"/>
      <c r="HG25" s="199"/>
      <c r="HH25" s="199"/>
      <c r="HI25" s="424" t="s">
        <v>113</v>
      </c>
      <c r="HJ25" s="424"/>
      <c r="HK25" t="s">
        <v>115</v>
      </c>
      <c r="HS25" s="40"/>
      <c r="HT25" s="33"/>
      <c r="HU25" s="33"/>
      <c r="HV25" s="199" t="s">
        <v>134</v>
      </c>
      <c r="HW25" s="199" t="s">
        <v>136</v>
      </c>
      <c r="IB25" s="40"/>
      <c r="IC25" s="33"/>
      <c r="ID25" s="33"/>
      <c r="IE25" s="199"/>
      <c r="IF25" s="199"/>
      <c r="IG25" s="199"/>
      <c r="IH25" s="199"/>
      <c r="II25" s="424" t="s">
        <v>113</v>
      </c>
      <c r="IJ25" s="424"/>
      <c r="IK25" t="s">
        <v>115</v>
      </c>
      <c r="IS25" s="40"/>
      <c r="IT25" s="33"/>
      <c r="IU25" s="33"/>
      <c r="IV25" s="199" t="s">
        <v>134</v>
      </c>
      <c r="IW25" s="199" t="s">
        <v>136</v>
      </c>
      <c r="JB25" s="40"/>
      <c r="JC25" s="33"/>
      <c r="JD25" s="33"/>
      <c r="JE25" s="199"/>
      <c r="JF25" s="199"/>
      <c r="JG25" s="199"/>
      <c r="JH25" s="199"/>
      <c r="JI25" s="424" t="s">
        <v>113</v>
      </c>
      <c r="JJ25" s="424"/>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7" t="s">
        <v>519</v>
      </c>
      <c r="D37" s="418"/>
      <c r="E37" s="418"/>
      <c r="F37" s="418"/>
      <c r="G37" s="418"/>
      <c r="H37" s="418"/>
      <c r="I37" s="418"/>
      <c r="J37" s="418"/>
      <c r="K37" s="418"/>
      <c r="L37" s="418"/>
      <c r="M37" s="419"/>
    </row>
    <row r="38" spans="2:284" x14ac:dyDescent="0.25">
      <c r="B38" s="228" t="s">
        <v>12</v>
      </c>
      <c r="C38" s="261">
        <f>'Peternakan-CH4'!C26</f>
        <v>2011</v>
      </c>
      <c r="D38" s="261">
        <f>'Peternakan-CH4'!D26</f>
        <v>2012</v>
      </c>
      <c r="E38" s="261">
        <f>'Peternakan-CH4'!E26</f>
        <v>2013</v>
      </c>
      <c r="F38" s="261">
        <f>'Peternakan-CH4'!F26</f>
        <v>2014</v>
      </c>
      <c r="G38" s="261">
        <f>'Peternakan-CH4'!G26</f>
        <v>2015</v>
      </c>
      <c r="H38" s="261">
        <f>'Peternakan-CH4'!H26</f>
        <v>2016</v>
      </c>
      <c r="I38" s="261">
        <f>'Peternakan-CH4'!I26</f>
        <v>2017</v>
      </c>
      <c r="J38" s="261">
        <f>'Peternakan-CH4'!J26</f>
        <v>2018</v>
      </c>
      <c r="K38" s="261">
        <f>'Peternakan-CH4'!K26</f>
        <v>2019</v>
      </c>
      <c r="L38" s="261">
        <f>'Peternakan-CH4'!L26</f>
        <v>2020</v>
      </c>
      <c r="M38" s="262">
        <v>2021</v>
      </c>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5681</v>
      </c>
      <c r="D40" s="230">
        <f>'Peternakan-CH4'!D28</f>
        <v>3671</v>
      </c>
      <c r="E40" s="230">
        <f>'Peternakan-CH4'!E28</f>
        <v>3772</v>
      </c>
      <c r="F40" s="230">
        <f>'Peternakan-CH4'!F28</f>
        <v>4266</v>
      </c>
      <c r="G40" s="230">
        <f>'Peternakan-CH4'!G28</f>
        <v>4996</v>
      </c>
      <c r="H40" s="230">
        <f>'Peternakan-CH4'!H28</f>
        <v>5288</v>
      </c>
      <c r="I40" s="230">
        <f>'Peternakan-CH4'!I28</f>
        <v>5316.7360057599999</v>
      </c>
      <c r="J40" s="230">
        <f>'Peternakan-CH4'!J28</f>
        <v>5484.744863542016</v>
      </c>
      <c r="K40" s="230">
        <f>'Peternakan-CH4'!K28</f>
        <v>5658.0628012299439</v>
      </c>
      <c r="L40" s="230">
        <f>'Peternakan-CH4'!L28</f>
        <v>5831.3807389178701</v>
      </c>
      <c r="M40" s="226"/>
    </row>
    <row r="41" spans="2:284" x14ac:dyDescent="0.25">
      <c r="B41" s="56" t="s">
        <v>22</v>
      </c>
      <c r="C41" s="230">
        <f>'Peternakan-CH4'!C29</f>
        <v>82</v>
      </c>
      <c r="D41" s="230">
        <f>'Peternakan-CH4'!D29</f>
        <v>78</v>
      </c>
      <c r="E41" s="230">
        <f>'Peternakan-CH4'!E29</f>
        <v>68</v>
      </c>
      <c r="F41" s="230">
        <f>'Peternakan-CH4'!F29</f>
        <v>60</v>
      </c>
      <c r="G41" s="230">
        <f>'Peternakan-CH4'!G29</f>
        <v>72</v>
      </c>
      <c r="H41" s="230">
        <f>'Peternakan-CH4'!H29</f>
        <v>91.374200000000002</v>
      </c>
      <c r="I41" s="230">
        <f>'Peternakan-CH4'!I29</f>
        <v>91.491799999999998</v>
      </c>
      <c r="J41" s="230">
        <f>'Peternakan-CH4'!J29</f>
        <v>91.609399999999994</v>
      </c>
      <c r="K41" s="230">
        <f>'Peternakan-CH4'!K29</f>
        <v>91.727000000000004</v>
      </c>
      <c r="L41" s="230">
        <f>'Peternakan-CH4'!L29</f>
        <v>91.8446</v>
      </c>
      <c r="M41" s="226"/>
    </row>
    <row r="42" spans="2:284" x14ac:dyDescent="0.25">
      <c r="B42" s="56" t="s">
        <v>65</v>
      </c>
      <c r="C42" s="230">
        <f>'Peternakan-CH4'!C30</f>
        <v>268</v>
      </c>
      <c r="D42" s="230">
        <f>'Peternakan-CH4'!D30</f>
        <v>298</v>
      </c>
      <c r="E42" s="230">
        <f>'Peternakan-CH4'!E30</f>
        <v>88</v>
      </c>
      <c r="F42" s="230">
        <f>'Peternakan-CH4'!F30</f>
        <v>51</v>
      </c>
      <c r="G42" s="230">
        <f>'Peternakan-CH4'!G30</f>
        <v>63</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12635</v>
      </c>
      <c r="D43" s="230">
        <f>'Peternakan-CH4'!D31</f>
        <v>13440</v>
      </c>
      <c r="E43" s="230">
        <f>'Peternakan-CH4'!E31</f>
        <v>10353</v>
      </c>
      <c r="F43" s="230">
        <f>'Peternakan-CH4'!F31</f>
        <v>9730</v>
      </c>
      <c r="G43" s="230">
        <f>'Peternakan-CH4'!G31</f>
        <v>10371</v>
      </c>
      <c r="H43" s="230">
        <f>'Peternakan-CH4'!H31</f>
        <v>14149.699999999999</v>
      </c>
      <c r="I43" s="230">
        <f>'Peternakan-CH4'!I31</f>
        <v>14438.099999999999</v>
      </c>
      <c r="J43" s="230">
        <f>'Peternakan-CH4'!J31</f>
        <v>14726.5</v>
      </c>
      <c r="K43" s="230">
        <f>'Peternakan-CH4'!K31</f>
        <v>15014.9</v>
      </c>
      <c r="L43" s="230">
        <f>'Peternakan-CH4'!L31</f>
        <v>15303.3</v>
      </c>
      <c r="M43" s="226"/>
    </row>
    <row r="44" spans="2:284" x14ac:dyDescent="0.25">
      <c r="B44" s="56" t="s">
        <v>24</v>
      </c>
      <c r="C44" s="230">
        <f>'Peternakan-CH4'!C32</f>
        <v>7</v>
      </c>
      <c r="D44" s="230">
        <f>'Peternakan-CH4'!D32</f>
        <v>7</v>
      </c>
      <c r="E44" s="230">
        <f>'Peternakan-CH4'!E32</f>
        <v>16</v>
      </c>
      <c r="F44" s="230">
        <f>'Peternakan-CH4'!F32</f>
        <v>7</v>
      </c>
      <c r="G44" s="230">
        <f>'Peternakan-CH4'!G32</f>
        <v>10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405390</v>
      </c>
      <c r="D45" s="230">
        <f>'Peternakan-CH4'!D33</f>
        <v>415240</v>
      </c>
      <c r="E45" s="230">
        <f>'Peternakan-CH4'!E33</f>
        <v>465109</v>
      </c>
      <c r="F45" s="230">
        <f>'Peternakan-CH4'!F33</f>
        <v>432502</v>
      </c>
      <c r="G45" s="230">
        <f>'Peternakan-CH4'!G33</f>
        <v>479884</v>
      </c>
      <c r="H45" s="230">
        <f>'Peternakan-CH4'!H33</f>
        <v>481120</v>
      </c>
      <c r="I45" s="230">
        <f>'Peternakan-CH4'!I33</f>
        <v>491494</v>
      </c>
      <c r="J45" s="230">
        <f>'Peternakan-CH4'!J33</f>
        <v>501868</v>
      </c>
      <c r="K45" s="230">
        <f>'Peternakan-CH4'!K33</f>
        <v>512242</v>
      </c>
      <c r="L45" s="230">
        <f>'Peternakan-CH4'!L33</f>
        <v>522616</v>
      </c>
      <c r="M45" s="226"/>
    </row>
    <row r="46" spans="2:284" x14ac:dyDescent="0.25">
      <c r="B46" s="56" t="s">
        <v>73</v>
      </c>
      <c r="C46" s="230">
        <f>'Peternakan-CH4'!C34</f>
        <v>8640860</v>
      </c>
      <c r="D46" s="230">
        <f>'Peternakan-CH4'!D34</f>
        <v>8881634</v>
      </c>
      <c r="E46" s="230">
        <f>'Peternakan-CH4'!E34</f>
        <v>8118500</v>
      </c>
      <c r="F46" s="230">
        <f>'Peternakan-CH4'!F34</f>
        <v>11667271</v>
      </c>
      <c r="G46" s="230">
        <f>'Peternakan-CH4'!G34</f>
        <v>17775680</v>
      </c>
      <c r="H46" s="230">
        <f>'Peternakan-CH4'!H34</f>
        <v>12296069</v>
      </c>
      <c r="I46" s="230">
        <f>'Peternakan-CH4'!I34</f>
        <v>12666426</v>
      </c>
      <c r="J46" s="230">
        <f>'Peternakan-CH4'!J34</f>
        <v>13036783</v>
      </c>
      <c r="K46" s="230">
        <f>'Peternakan-CH4'!K34</f>
        <v>13407140</v>
      </c>
      <c r="L46" s="230">
        <f>'Peternakan-CH4'!L34</f>
        <v>13777497</v>
      </c>
      <c r="M46" s="226"/>
    </row>
    <row r="47" spans="2:284" x14ac:dyDescent="0.25">
      <c r="B47" s="56" t="s">
        <v>74</v>
      </c>
      <c r="C47" s="230">
        <f>'Peternakan-CH4'!C35</f>
        <v>210700</v>
      </c>
      <c r="D47" s="230">
        <f>'Peternakan-CH4'!D35</f>
        <v>225036</v>
      </c>
      <c r="E47" s="230">
        <f>'Peternakan-CH4'!E35</f>
        <v>239085</v>
      </c>
      <c r="F47" s="230">
        <f>'Peternakan-CH4'!F35</f>
        <v>204361</v>
      </c>
      <c r="G47" s="230">
        <f>'Peternakan-CH4'!G35</f>
        <v>399637</v>
      </c>
      <c r="H47" s="230">
        <f>'Peternakan-CH4'!H35</f>
        <v>272866.59999999998</v>
      </c>
      <c r="I47" s="230">
        <f>'Peternakan-CH4'!I35</f>
        <v>278961.40000000002</v>
      </c>
      <c r="J47" s="230">
        <f>'Peternakan-CH4'!J35</f>
        <v>285056.2</v>
      </c>
      <c r="K47" s="230">
        <f>'Peternakan-CH4'!K35</f>
        <v>291151</v>
      </c>
      <c r="L47" s="230">
        <f>'Peternakan-CH4'!L35</f>
        <v>297245.8</v>
      </c>
      <c r="M47" s="289"/>
    </row>
    <row r="48" spans="2:284" x14ac:dyDescent="0.25">
      <c r="B48" s="56" t="s">
        <v>75</v>
      </c>
      <c r="C48" s="230">
        <f>'Peternakan-CH4'!C36</f>
        <v>45415</v>
      </c>
      <c r="D48" s="230">
        <f>'Peternakan-CH4'!D36</f>
        <v>32800</v>
      </c>
      <c r="E48" s="230">
        <f>'Peternakan-CH4'!E36</f>
        <v>34272</v>
      </c>
      <c r="F48" s="230">
        <f>'Peternakan-CH4'!F36</f>
        <v>24423</v>
      </c>
      <c r="G48" s="230">
        <f>'Peternakan-CH4'!G36</f>
        <v>29905</v>
      </c>
      <c r="H48" s="230">
        <f>'Peternakan-CH4'!H36</f>
        <v>42567</v>
      </c>
      <c r="I48" s="230">
        <f>'Peternakan-CH4'!I36</f>
        <v>43915</v>
      </c>
      <c r="J48" s="230">
        <f>'Peternakan-CH4'!J36</f>
        <v>45263</v>
      </c>
      <c r="K48" s="230">
        <f>'Peternakan-CH4'!K36</f>
        <v>46611</v>
      </c>
      <c r="L48" s="230">
        <f>'Peternakan-CH4'!L36</f>
        <v>47959</v>
      </c>
      <c r="M48" s="289"/>
    </row>
    <row r="49" spans="2:12" x14ac:dyDescent="0.25">
      <c r="B49" s="271" t="s">
        <v>66</v>
      </c>
      <c r="C49" s="233">
        <f>'Peternakan-CH4'!C37</f>
        <v>7348</v>
      </c>
      <c r="D49" s="233">
        <f>'Peternakan-CH4'!D37</f>
        <v>7498</v>
      </c>
      <c r="E49" s="233">
        <f>'Peternakan-CH4'!E37</f>
        <v>7942</v>
      </c>
      <c r="F49" s="233">
        <f>'Peternakan-CH4'!F37</f>
        <v>8071</v>
      </c>
      <c r="G49" s="233">
        <f>'Peternakan-CH4'!G37</f>
        <v>8907</v>
      </c>
      <c r="H49" s="233">
        <f>'Peternakan-CH4'!H37</f>
        <v>8857.0499999999993</v>
      </c>
      <c r="I49" s="233">
        <f>'Peternakan-CH4'!I37</f>
        <v>9209</v>
      </c>
      <c r="J49" s="233">
        <f>'Peternakan-CH4'!J37</f>
        <v>9560.9500000000007</v>
      </c>
      <c r="K49" s="233">
        <f>'Peternakan-CH4'!K37</f>
        <v>9912.9</v>
      </c>
      <c r="L49" s="233">
        <f>'Peternakan-CH4'!L37</f>
        <v>10264.85</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32" t="s">
        <v>181</v>
      </c>
      <c r="D3" s="433"/>
      <c r="E3" s="433"/>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4" t="s">
        <v>174</v>
      </c>
      <c r="D4" s="435"/>
      <c r="E4" s="435"/>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9" t="s">
        <v>171</v>
      </c>
      <c r="C5" s="440" t="s">
        <v>43</v>
      </c>
      <c r="D5" s="441" t="s">
        <v>175</v>
      </c>
      <c r="E5" s="442"/>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9"/>
      <c r="C6" s="439"/>
      <c r="D6" s="443" t="s">
        <v>176</v>
      </c>
      <c r="E6" s="187" t="s">
        <v>152</v>
      </c>
      <c r="F6" s="112" t="s">
        <v>153</v>
      </c>
      <c r="G6" s="447">
        <v>0.46</v>
      </c>
      <c r="H6" s="111"/>
      <c r="I6" s="436" t="s">
        <v>200</v>
      </c>
      <c r="K6" s="132">
        <v>3</v>
      </c>
      <c r="L6" s="132" t="s">
        <v>217</v>
      </c>
      <c r="M6" s="133">
        <v>273.60000000000002</v>
      </c>
      <c r="N6" s="134">
        <f>M6/M10</f>
        <v>1.3525055863402704</v>
      </c>
      <c r="P6" s="136">
        <v>3</v>
      </c>
      <c r="Q6" s="136" t="s">
        <v>218</v>
      </c>
      <c r="R6" s="137">
        <v>235.2</v>
      </c>
      <c r="S6" s="138">
        <v>1</v>
      </c>
    </row>
    <row r="7" spans="2:19" ht="16.5" customHeight="1" x14ac:dyDescent="0.25">
      <c r="B7" s="439"/>
      <c r="C7" s="439"/>
      <c r="D7" s="444"/>
      <c r="E7" s="113" t="s">
        <v>154</v>
      </c>
      <c r="F7" s="112" t="s">
        <v>155</v>
      </c>
      <c r="G7" s="437"/>
      <c r="H7" s="111"/>
      <c r="I7" s="437"/>
      <c r="K7" s="132">
        <v>4</v>
      </c>
      <c r="L7" s="132" t="s">
        <v>219</v>
      </c>
      <c r="M7" s="133">
        <v>244.16499999999999</v>
      </c>
      <c r="N7" s="134">
        <f>M7/M10</f>
        <v>1.2069975383361553</v>
      </c>
      <c r="P7" s="132">
        <v>4</v>
      </c>
      <c r="Q7" s="132" t="s">
        <v>220</v>
      </c>
      <c r="R7" s="133">
        <v>152.56</v>
      </c>
      <c r="S7" s="134">
        <f>R7/R6</f>
        <v>0.64863945578231297</v>
      </c>
    </row>
    <row r="8" spans="2:19" x14ac:dyDescent="0.25">
      <c r="B8" s="439"/>
      <c r="C8" s="445" t="s">
        <v>44</v>
      </c>
      <c r="D8" s="443" t="s">
        <v>177</v>
      </c>
      <c r="E8" s="444"/>
      <c r="F8" s="112" t="s">
        <v>156</v>
      </c>
      <c r="G8" s="436">
        <v>0.49</v>
      </c>
      <c r="H8" s="111"/>
      <c r="I8" s="436" t="s">
        <v>201</v>
      </c>
      <c r="K8" s="132">
        <v>5</v>
      </c>
      <c r="L8" s="132" t="s">
        <v>221</v>
      </c>
      <c r="M8" s="133">
        <v>223.2</v>
      </c>
      <c r="N8" s="134">
        <f>M8/M10</f>
        <v>1.1033598204354835</v>
      </c>
      <c r="P8" s="132">
        <v>5</v>
      </c>
      <c r="Q8" s="132" t="s">
        <v>222</v>
      </c>
      <c r="R8" s="139">
        <v>144.22</v>
      </c>
      <c r="S8" s="134">
        <f>R8/R6</f>
        <v>0.61318027210884352</v>
      </c>
    </row>
    <row r="9" spans="2:19" x14ac:dyDescent="0.25">
      <c r="B9" s="439"/>
      <c r="C9" s="446"/>
      <c r="D9" s="443" t="s">
        <v>178</v>
      </c>
      <c r="E9" s="444"/>
      <c r="F9" s="112" t="s">
        <v>157</v>
      </c>
      <c r="G9" s="438"/>
      <c r="H9" s="111"/>
      <c r="I9" s="438"/>
      <c r="K9" s="132">
        <v>6</v>
      </c>
      <c r="L9" s="132" t="s">
        <v>223</v>
      </c>
      <c r="M9" s="133">
        <v>204.64</v>
      </c>
      <c r="N9" s="134">
        <f>M9/M10</f>
        <v>1.0116109034673717</v>
      </c>
      <c r="P9" s="132">
        <v>6</v>
      </c>
      <c r="Q9" s="132" t="s">
        <v>224</v>
      </c>
      <c r="R9" s="133">
        <v>141.12</v>
      </c>
      <c r="S9" s="134">
        <f>R9/R6</f>
        <v>0.60000000000000009</v>
      </c>
    </row>
    <row r="10" spans="2:19" x14ac:dyDescent="0.25">
      <c r="B10" s="439"/>
      <c r="C10" s="445" t="s">
        <v>173</v>
      </c>
      <c r="D10" s="443" t="s">
        <v>179</v>
      </c>
      <c r="E10" s="444"/>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9"/>
      <c r="C11" s="445"/>
      <c r="D11" s="443" t="s">
        <v>180</v>
      </c>
      <c r="E11" s="444"/>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9" t="s">
        <v>172</v>
      </c>
      <c r="C12" s="114" t="s">
        <v>160</v>
      </c>
      <c r="D12" s="448"/>
      <c r="E12" s="448"/>
      <c r="F12" s="56"/>
      <c r="G12" s="111"/>
      <c r="H12" s="115">
        <v>1.1200000000000001</v>
      </c>
      <c r="I12" s="111" t="s">
        <v>185</v>
      </c>
      <c r="K12" s="132">
        <v>9</v>
      </c>
      <c r="L12" s="132" t="s">
        <v>229</v>
      </c>
      <c r="M12" s="133">
        <v>186.655</v>
      </c>
      <c r="N12" s="134">
        <f>M12/M10</f>
        <v>0.92270442331265767</v>
      </c>
    </row>
    <row r="13" spans="2:19" x14ac:dyDescent="0.25">
      <c r="B13" s="449"/>
      <c r="C13" s="197" t="s">
        <v>354</v>
      </c>
      <c r="D13" s="448"/>
      <c r="E13" s="448"/>
      <c r="F13" s="56"/>
      <c r="G13" s="111"/>
      <c r="H13" s="115">
        <v>0.28999999999999998</v>
      </c>
      <c r="I13" s="111" t="s">
        <v>186</v>
      </c>
      <c r="K13" s="132">
        <v>10</v>
      </c>
      <c r="L13" s="132" t="s">
        <v>230</v>
      </c>
      <c r="M13" s="133">
        <v>157.77000000000001</v>
      </c>
      <c r="N13" s="134">
        <f>M13/M10</f>
        <v>0.77991522791266243</v>
      </c>
    </row>
    <row r="14" spans="2:19" x14ac:dyDescent="0.25">
      <c r="B14" s="449"/>
      <c r="C14" s="114" t="s">
        <v>161</v>
      </c>
      <c r="D14" s="448"/>
      <c r="E14" s="448"/>
      <c r="F14" s="56"/>
      <c r="G14" s="111"/>
      <c r="H14" s="115">
        <v>1.02</v>
      </c>
      <c r="I14" s="111" t="s">
        <v>187</v>
      </c>
      <c r="K14" s="132">
        <v>11</v>
      </c>
      <c r="L14" s="132" t="s">
        <v>231</v>
      </c>
      <c r="M14" s="133">
        <v>153.5</v>
      </c>
      <c r="N14" s="134">
        <f>M14/M10</f>
        <v>0.75880704496795126</v>
      </c>
    </row>
    <row r="15" spans="2:19" x14ac:dyDescent="0.25">
      <c r="B15" s="449"/>
      <c r="C15" s="116" t="s">
        <v>162</v>
      </c>
      <c r="D15" s="450"/>
      <c r="E15" s="450"/>
      <c r="F15" s="56"/>
      <c r="G15" s="111"/>
      <c r="H15" s="117">
        <v>1.02</v>
      </c>
      <c r="I15" s="117" t="s">
        <v>188</v>
      </c>
      <c r="K15" s="132">
        <v>12</v>
      </c>
      <c r="L15" s="132" t="s">
        <v>232</v>
      </c>
      <c r="M15" s="133">
        <v>147.54</v>
      </c>
      <c r="N15" s="134">
        <f>M15/M10</f>
        <v>0.72934456947603599</v>
      </c>
    </row>
    <row r="16" spans="2:19" x14ac:dyDescent="0.25">
      <c r="B16" s="449"/>
      <c r="C16" s="116" t="s">
        <v>163</v>
      </c>
      <c r="D16" s="448"/>
      <c r="E16" s="448"/>
      <c r="F16" s="56"/>
      <c r="G16" s="111"/>
      <c r="H16" s="117">
        <v>0.84</v>
      </c>
      <c r="I16" s="117" t="s">
        <v>189</v>
      </c>
      <c r="K16" s="132">
        <v>13</v>
      </c>
      <c r="L16" s="132" t="s">
        <v>233</v>
      </c>
      <c r="M16" s="133">
        <v>146.18671875000001</v>
      </c>
      <c r="N16" s="134">
        <f>M16/M10</f>
        <v>0.72265480174754726</v>
      </c>
    </row>
    <row r="17" spans="2:26" x14ac:dyDescent="0.25">
      <c r="B17" s="449"/>
      <c r="C17" s="116" t="s">
        <v>164</v>
      </c>
      <c r="D17" s="448"/>
      <c r="E17" s="448"/>
      <c r="F17" s="56"/>
      <c r="G17" s="56"/>
      <c r="H17" s="111">
        <v>2.39</v>
      </c>
      <c r="I17" s="111" t="s">
        <v>190</v>
      </c>
      <c r="K17" s="132">
        <v>14</v>
      </c>
      <c r="L17" s="132" t="s">
        <v>234</v>
      </c>
      <c r="M17" s="141">
        <v>145.63885714285715</v>
      </c>
      <c r="N17" s="134">
        <f>M17/M10</f>
        <v>0.71994652000704262</v>
      </c>
      <c r="Y17" s="186"/>
      <c r="Z17" s="186"/>
    </row>
    <row r="18" spans="2:26" x14ac:dyDescent="0.25">
      <c r="B18" s="449"/>
      <c r="C18" s="116" t="s">
        <v>165</v>
      </c>
      <c r="D18" s="448"/>
      <c r="E18" s="448"/>
      <c r="F18" s="56"/>
      <c r="G18" s="56"/>
      <c r="H18" s="115" t="s">
        <v>83</v>
      </c>
      <c r="I18" s="115" t="s">
        <v>83</v>
      </c>
      <c r="K18" s="132">
        <v>15</v>
      </c>
      <c r="L18" s="132" t="s">
        <v>235</v>
      </c>
      <c r="M18" s="133">
        <v>145.53861111111109</v>
      </c>
      <c r="N18" s="134">
        <f>M18/M10</f>
        <v>0.71945096694437816</v>
      </c>
      <c r="Y18" s="186"/>
      <c r="Z18" s="186"/>
    </row>
    <row r="19" spans="2:26" x14ac:dyDescent="0.25">
      <c r="B19" s="449"/>
      <c r="C19" s="116" t="s">
        <v>166</v>
      </c>
      <c r="D19" s="448"/>
      <c r="E19" s="448"/>
      <c r="F19" s="56"/>
      <c r="G19" s="56"/>
      <c r="H19" s="111" t="s">
        <v>167</v>
      </c>
      <c r="I19" s="111" t="s">
        <v>167</v>
      </c>
      <c r="K19" s="132">
        <v>16</v>
      </c>
      <c r="L19" s="132" t="s">
        <v>236</v>
      </c>
      <c r="M19" s="133">
        <v>127</v>
      </c>
      <c r="N19" s="134">
        <f>M19/M10</f>
        <v>0.62780778313309327</v>
      </c>
      <c r="Y19" s="186"/>
      <c r="Z19" s="186"/>
    </row>
    <row r="20" spans="2:26" x14ac:dyDescent="0.25">
      <c r="B20" s="449"/>
      <c r="C20" s="116" t="s">
        <v>168</v>
      </c>
      <c r="D20" s="448"/>
      <c r="E20" s="448"/>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52" t="s">
        <v>256</v>
      </c>
      <c r="C36" s="451" t="s">
        <v>257</v>
      </c>
      <c r="D36" s="451"/>
      <c r="E36" s="451" t="s">
        <v>259</v>
      </c>
      <c r="F36" s="451"/>
      <c r="K36" s="132">
        <v>33</v>
      </c>
      <c r="L36" s="132" t="s">
        <v>251</v>
      </c>
      <c r="M36" s="144">
        <v>323.44704032083536</v>
      </c>
      <c r="N36" s="134">
        <f t="shared" si="0"/>
        <v>1.5989178688565659</v>
      </c>
    </row>
    <row r="37" spans="2:14" ht="15" customHeight="1" x14ac:dyDescent="0.25">
      <c r="B37" s="452"/>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53" t="s">
        <v>263</v>
      </c>
      <c r="D38" s="454">
        <v>1.4</v>
      </c>
      <c r="E38" s="111">
        <v>1</v>
      </c>
      <c r="F38" s="111" t="s">
        <v>264</v>
      </c>
      <c r="K38" s="132">
        <v>35</v>
      </c>
      <c r="L38" s="132" t="s">
        <v>253</v>
      </c>
      <c r="M38" s="144">
        <v>270.79611936186569</v>
      </c>
      <c r="N38" s="134">
        <f t="shared" si="0"/>
        <v>1.3386449714773025</v>
      </c>
    </row>
    <row r="39" spans="2:14" ht="15" customHeight="1" x14ac:dyDescent="0.25">
      <c r="B39" s="148" t="s">
        <v>260</v>
      </c>
      <c r="C39" s="453"/>
      <c r="D39" s="454"/>
      <c r="E39" s="111">
        <v>0.68</v>
      </c>
      <c r="F39" s="111" t="s">
        <v>265</v>
      </c>
      <c r="K39" s="132">
        <v>36</v>
      </c>
      <c r="L39" s="132" t="s">
        <v>254</v>
      </c>
      <c r="M39" s="144">
        <v>271.88698926542628</v>
      </c>
      <c r="N39" s="134">
        <f t="shared" si="0"/>
        <v>1.344037543255578</v>
      </c>
    </row>
    <row r="40" spans="2:14" ht="15" customHeight="1" x14ac:dyDescent="0.25">
      <c r="B40" s="148" t="s">
        <v>262</v>
      </c>
      <c r="C40" s="453"/>
      <c r="D40" s="454"/>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1"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5" t="s">
        <v>27</v>
      </c>
      <c r="E5" s="456"/>
      <c r="F5" s="455" t="s">
        <v>29</v>
      </c>
      <c r="G5" s="457"/>
      <c r="H5" s="171"/>
      <c r="I5" s="455" t="s">
        <v>29</v>
      </c>
      <c r="J5" s="456"/>
      <c r="K5" s="80" t="s">
        <v>27</v>
      </c>
    </row>
    <row r="6" spans="2:11" s="20" customFormat="1" ht="90.75" customHeight="1" x14ac:dyDescent="0.25">
      <c r="B6" s="458" t="s">
        <v>396</v>
      </c>
      <c r="C6" s="423" t="s">
        <v>192</v>
      </c>
      <c r="D6" s="24" t="s">
        <v>28</v>
      </c>
      <c r="E6" s="25" t="s">
        <v>398</v>
      </c>
      <c r="F6" s="24" t="s">
        <v>30</v>
      </c>
      <c r="G6" s="24" t="s">
        <v>31</v>
      </c>
      <c r="H6" s="24" t="s">
        <v>350</v>
      </c>
      <c r="I6" s="24" t="s">
        <v>352</v>
      </c>
      <c r="J6" s="25" t="s">
        <v>32</v>
      </c>
      <c r="K6" s="21" t="s">
        <v>33</v>
      </c>
    </row>
    <row r="7" spans="2:11" x14ac:dyDescent="0.25">
      <c r="B7" s="458"/>
      <c r="C7" s="423"/>
      <c r="D7" s="11" t="s">
        <v>34</v>
      </c>
      <c r="E7" s="8"/>
      <c r="F7" s="11" t="s">
        <v>399</v>
      </c>
      <c r="G7" s="11"/>
      <c r="H7" s="8"/>
      <c r="I7" s="11"/>
      <c r="J7" s="8" t="s">
        <v>401</v>
      </c>
      <c r="K7" s="1" t="s">
        <v>10</v>
      </c>
    </row>
    <row r="8" spans="2:11" s="19" customFormat="1" ht="28.5" customHeight="1" x14ac:dyDescent="0.25">
      <c r="B8" s="458"/>
      <c r="C8" s="423"/>
      <c r="D8" s="26"/>
      <c r="E8" s="27"/>
      <c r="F8" s="26"/>
      <c r="G8" s="26"/>
      <c r="H8" s="26"/>
      <c r="I8" s="26"/>
      <c r="J8" s="27" t="s">
        <v>41</v>
      </c>
      <c r="K8" s="28" t="s">
        <v>40</v>
      </c>
    </row>
    <row r="9" spans="2:11" ht="15.75" thickBot="1" x14ac:dyDescent="0.3">
      <c r="B9" s="459"/>
      <c r="C9" s="460"/>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403">
        <v>2011</v>
      </c>
      <c r="C11" s="6"/>
      <c r="D11" s="260">
        <f>'Direct N2O'!B36*60%</f>
        <v>2054.4</v>
      </c>
      <c r="E11" s="220">
        <v>1.3</v>
      </c>
      <c r="F11" s="88">
        <v>160.9</v>
      </c>
      <c r="G11" s="266">
        <v>1</v>
      </c>
      <c r="H11" s="43">
        <f>'EF&amp;SF lahan sawah'!$H$13</f>
        <v>0.28999999999999998</v>
      </c>
      <c r="I11" s="89">
        <f>'EF&amp;SF lahan sawah'!$N$22</f>
        <v>0.56746289219990131</v>
      </c>
      <c r="J11" s="150">
        <f>F11*G11*H11*I11*$I$28</f>
        <v>30.629886766402873</v>
      </c>
      <c r="K11" s="42">
        <f>D11*E11*J11*10^-6</f>
        <v>8.1803851184767476E-2</v>
      </c>
    </row>
    <row r="12" spans="2:11" x14ac:dyDescent="0.25">
      <c r="B12" s="403">
        <v>2012</v>
      </c>
      <c r="C12" s="6"/>
      <c r="D12" s="260">
        <f>'Direct N2O'!B37*60%</f>
        <v>1668.6</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6.6441737775945767E-2</v>
      </c>
    </row>
    <row r="13" spans="2:11" x14ac:dyDescent="0.25">
      <c r="B13" s="403">
        <v>2013</v>
      </c>
      <c r="C13" s="6"/>
      <c r="D13" s="260">
        <f>'Direct N2O'!B38*60%</f>
        <v>2101.7999999999997</v>
      </c>
      <c r="E13" s="220">
        <v>1.3</v>
      </c>
      <c r="F13" s="88">
        <v>160.9</v>
      </c>
      <c r="G13" s="266">
        <v>1</v>
      </c>
      <c r="H13" s="43">
        <f>'EF&amp;SF lahan sawah'!$H$13</f>
        <v>0.28999999999999998</v>
      </c>
      <c r="I13" s="89">
        <f>'EF&amp;SF lahan sawah'!$N$22</f>
        <v>0.56746289219990131</v>
      </c>
      <c r="J13" s="150">
        <f t="shared" si="0"/>
        <v>30.629886766402873</v>
      </c>
      <c r="K13" s="42">
        <f t="shared" si="1"/>
        <v>8.3691264807313218E-2</v>
      </c>
    </row>
    <row r="14" spans="2:11" x14ac:dyDescent="0.25">
      <c r="B14" s="403">
        <v>2014</v>
      </c>
      <c r="C14" s="6"/>
      <c r="D14" s="260">
        <f>'Direct N2O'!B39*60%</f>
        <v>2418</v>
      </c>
      <c r="E14" s="220">
        <v>1.3</v>
      </c>
      <c r="F14" s="88">
        <v>160.9</v>
      </c>
      <c r="G14" s="266">
        <v>1</v>
      </c>
      <c r="H14" s="43">
        <f>'EF&amp;SF lahan sawah'!$H$13</f>
        <v>0.28999999999999998</v>
      </c>
      <c r="I14" s="89">
        <f>'EF&amp;SF lahan sawah'!$N$22</f>
        <v>0.56746289219990131</v>
      </c>
      <c r="J14" s="150">
        <f t="shared" si="0"/>
        <v>30.629886766402873</v>
      </c>
      <c r="K14" s="42">
        <f t="shared" si="1"/>
        <v>9.6281986061510783E-2</v>
      </c>
    </row>
    <row r="15" spans="2:11" x14ac:dyDescent="0.25">
      <c r="B15" s="403">
        <v>2015</v>
      </c>
      <c r="C15" s="6"/>
      <c r="D15" s="260">
        <f>'Direct N2O'!B40*60%</f>
        <v>2042.3999999999999</v>
      </c>
      <c r="E15" s="220">
        <v>1.3</v>
      </c>
      <c r="F15" s="88">
        <v>160.9</v>
      </c>
      <c r="G15" s="266">
        <v>1</v>
      </c>
      <c r="H15" s="43">
        <f>'EF&amp;SF lahan sawah'!$H$13</f>
        <v>0.28999999999999998</v>
      </c>
      <c r="I15" s="89">
        <f>'EF&amp;SF lahan sawah'!$N$22</f>
        <v>0.56746289219990131</v>
      </c>
      <c r="J15" s="150">
        <f t="shared" si="0"/>
        <v>30.629886766402873</v>
      </c>
      <c r="K15" s="42">
        <f t="shared" si="1"/>
        <v>8.1326024951211592E-2</v>
      </c>
    </row>
    <row r="16" spans="2:11" x14ac:dyDescent="0.25">
      <c r="B16" s="403">
        <v>2016</v>
      </c>
      <c r="C16" s="6"/>
      <c r="D16" s="260">
        <f>'Direct N2O'!B41*60%</f>
        <v>2578.1194381498949</v>
      </c>
      <c r="E16" s="220">
        <v>1.3</v>
      </c>
      <c r="F16" s="88">
        <v>160.9</v>
      </c>
      <c r="G16" s="266">
        <v>1</v>
      </c>
      <c r="H16" s="43">
        <f>'EF&amp;SF lahan sawah'!$H$13</f>
        <v>0.28999999999999998</v>
      </c>
      <c r="I16" s="89">
        <f>'EF&amp;SF lahan sawah'!$N$22</f>
        <v>0.56746289219990131</v>
      </c>
      <c r="J16" s="150">
        <f t="shared" si="0"/>
        <v>30.629886766402873</v>
      </c>
      <c r="K16" s="42">
        <f t="shared" si="1"/>
        <v>0.10265775839903152</v>
      </c>
    </row>
    <row r="17" spans="2:11" x14ac:dyDescent="0.25">
      <c r="B17" s="403">
        <v>2017</v>
      </c>
      <c r="C17" s="6"/>
      <c r="D17" s="260">
        <f>'Direct N2O'!B42*60%</f>
        <v>2665.7754990469916</v>
      </c>
      <c r="E17" s="220">
        <v>1.3</v>
      </c>
      <c r="F17" s="88">
        <v>160.9</v>
      </c>
      <c r="G17" s="266">
        <v>1</v>
      </c>
      <c r="H17" s="43">
        <f>'EF&amp;SF lahan sawah'!$H$13</f>
        <v>0.28999999999999998</v>
      </c>
      <c r="I17" s="89">
        <f>'EF&amp;SF lahan sawah'!$N$22</f>
        <v>0.56746289219990131</v>
      </c>
      <c r="J17" s="150">
        <f t="shared" si="0"/>
        <v>30.629886766402873</v>
      </c>
      <c r="K17" s="42">
        <f t="shared" si="1"/>
        <v>0.1061481221845986</v>
      </c>
    </row>
    <row r="18" spans="2:11" x14ac:dyDescent="0.25">
      <c r="B18" s="403">
        <v>2018</v>
      </c>
      <c r="C18" s="6"/>
      <c r="D18" s="260">
        <f>'Direct N2O'!B43*60%</f>
        <v>2756.4118660145891</v>
      </c>
      <c r="E18" s="220">
        <v>1.3</v>
      </c>
      <c r="F18" s="88">
        <v>160.9</v>
      </c>
      <c r="G18" s="266">
        <v>1</v>
      </c>
      <c r="H18" s="43">
        <f>'EF&amp;SF lahan sawah'!$H$13</f>
        <v>0.28999999999999998</v>
      </c>
      <c r="I18" s="89">
        <f>'EF&amp;SF lahan sawah'!$N$22</f>
        <v>0.56746289219990131</v>
      </c>
      <c r="J18" s="150">
        <f t="shared" si="0"/>
        <v>30.629886766402873</v>
      </c>
      <c r="K18" s="42">
        <f t="shared" si="1"/>
        <v>0.10975715833887495</v>
      </c>
    </row>
    <row r="19" spans="2:11" x14ac:dyDescent="0.25">
      <c r="B19" s="403">
        <v>2019</v>
      </c>
      <c r="C19" s="6"/>
      <c r="D19" s="260">
        <f>'Direct N2O'!B44*60%</f>
        <v>2850.1298694590855</v>
      </c>
      <c r="E19" s="220">
        <v>1.3</v>
      </c>
      <c r="F19" s="88">
        <v>160.9</v>
      </c>
      <c r="G19" s="266">
        <v>1</v>
      </c>
      <c r="H19" s="43">
        <f>'EF&amp;SF lahan sawah'!$H$13</f>
        <v>0.28999999999999998</v>
      </c>
      <c r="I19" s="89">
        <f>'EF&amp;SF lahan sawah'!$N$22</f>
        <v>0.56746289219990131</v>
      </c>
      <c r="J19" s="150">
        <f t="shared" si="0"/>
        <v>30.629886766402873</v>
      </c>
      <c r="K19" s="42">
        <f t="shared" si="1"/>
        <v>0.1134889017223967</v>
      </c>
    </row>
    <row r="20" spans="2:11" x14ac:dyDescent="0.25">
      <c r="B20" s="403">
        <v>2020</v>
      </c>
      <c r="C20" s="6"/>
      <c r="D20" s="260">
        <f>'Direct N2O'!B45*60%</f>
        <v>2947.0342850206948</v>
      </c>
      <c r="E20" s="220">
        <v>1.3</v>
      </c>
      <c r="F20" s="88">
        <v>160.9</v>
      </c>
      <c r="G20" s="266">
        <v>1</v>
      </c>
      <c r="H20" s="43">
        <f>'EF&amp;SF lahan sawah'!$H$13</f>
        <v>0.28999999999999998</v>
      </c>
      <c r="I20" s="89">
        <f>'EF&amp;SF lahan sawah'!$N$22</f>
        <v>0.56746289219990131</v>
      </c>
      <c r="J20" s="150">
        <f t="shared" si="0"/>
        <v>30.629886766402873</v>
      </c>
      <c r="K20" s="42">
        <f t="shared" si="1"/>
        <v>0.11734752438095822</v>
      </c>
    </row>
    <row r="21" spans="2:11" x14ac:dyDescent="0.25">
      <c r="B21" s="403">
        <v>2021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24082.670957691254</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5" t="s">
        <v>27</v>
      </c>
      <c r="E37" s="456"/>
      <c r="F37" s="455" t="s">
        <v>29</v>
      </c>
      <c r="G37" s="457"/>
      <c r="H37" s="258"/>
      <c r="I37" s="455" t="s">
        <v>29</v>
      </c>
      <c r="J37" s="456"/>
      <c r="K37" s="259" t="s">
        <v>27</v>
      </c>
    </row>
    <row r="38" spans="2:11" ht="75" x14ac:dyDescent="0.25">
      <c r="B38" s="458" t="s">
        <v>396</v>
      </c>
      <c r="C38" s="423" t="s">
        <v>192</v>
      </c>
      <c r="D38" s="24" t="s">
        <v>28</v>
      </c>
      <c r="E38" s="25" t="s">
        <v>398</v>
      </c>
      <c r="F38" s="24" t="s">
        <v>30</v>
      </c>
      <c r="G38" s="24" t="s">
        <v>31</v>
      </c>
      <c r="H38" s="24" t="s">
        <v>350</v>
      </c>
      <c r="I38" s="24" t="s">
        <v>352</v>
      </c>
      <c r="J38" s="25" t="s">
        <v>32</v>
      </c>
      <c r="K38" s="21" t="s">
        <v>33</v>
      </c>
    </row>
    <row r="39" spans="2:11" x14ac:dyDescent="0.25">
      <c r="B39" s="458"/>
      <c r="C39" s="423"/>
      <c r="D39" s="11" t="s">
        <v>34</v>
      </c>
      <c r="E39" s="8"/>
      <c r="F39" s="11" t="s">
        <v>399</v>
      </c>
      <c r="G39" s="11"/>
      <c r="H39" s="8"/>
      <c r="I39" s="11"/>
      <c r="J39" s="8" t="s">
        <v>401</v>
      </c>
      <c r="K39" s="1" t="s">
        <v>10</v>
      </c>
    </row>
    <row r="40" spans="2:11" ht="30" x14ac:dyDescent="0.25">
      <c r="B40" s="458"/>
      <c r="C40" s="423"/>
      <c r="D40" s="26"/>
      <c r="E40" s="27"/>
      <c r="F40" s="26"/>
      <c r="G40" s="26"/>
      <c r="H40" s="26"/>
      <c r="I40" s="26"/>
      <c r="J40" s="27" t="s">
        <v>41</v>
      </c>
      <c r="K40" s="28" t="s">
        <v>40</v>
      </c>
    </row>
    <row r="41" spans="2:11" ht="15.75" thickBot="1" x14ac:dyDescent="0.3">
      <c r="B41" s="459"/>
      <c r="C41" s="460"/>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2011</v>
      </c>
      <c r="C43" s="6"/>
      <c r="D43" s="260">
        <f>'Direct N2O'!B36*30%</f>
        <v>1027.2</v>
      </c>
      <c r="E43" s="220">
        <v>1.3</v>
      </c>
      <c r="F43" s="88">
        <v>160.9</v>
      </c>
      <c r="G43" s="266">
        <v>1</v>
      </c>
      <c r="H43" s="43">
        <f>'EF&amp;SF lahan sawah'!$H$13</f>
        <v>0.28999999999999998</v>
      </c>
      <c r="I43" s="89">
        <f>'EF&amp;SF lahan sawah'!$N$27</f>
        <v>1.1568871577513371</v>
      </c>
      <c r="J43" s="150">
        <f>F43*G43*H43*I43*$I$28</f>
        <v>62.445180346605362</v>
      </c>
      <c r="K43" s="42">
        <f>D43*E43*J43*10^-6</f>
        <v>8.3386796027642943E-2</v>
      </c>
    </row>
    <row r="44" spans="2:11" x14ac:dyDescent="0.25">
      <c r="B44" s="308">
        <f t="shared" ref="B44:B53" si="2">B12</f>
        <v>2012</v>
      </c>
      <c r="C44" s="6"/>
      <c r="D44" s="260">
        <f>'Direct N2O'!B37*30%</f>
        <v>834.3</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6.7727418152124699E-2</v>
      </c>
    </row>
    <row r="45" spans="2:11" x14ac:dyDescent="0.25">
      <c r="B45" s="308">
        <f t="shared" si="2"/>
        <v>2013</v>
      </c>
      <c r="C45" s="6"/>
      <c r="D45" s="260">
        <f>'Direct N2O'!B38*30%</f>
        <v>1050.8999999999999</v>
      </c>
      <c r="E45" s="220">
        <v>1.3</v>
      </c>
      <c r="F45" s="88">
        <v>160.9</v>
      </c>
      <c r="G45" s="266">
        <v>1</v>
      </c>
      <c r="H45" s="43">
        <f>'EF&amp;SF lahan sawah'!$H$13</f>
        <v>0.28999999999999998</v>
      </c>
      <c r="I45" s="89">
        <f>'EF&amp;SF lahan sawah'!$N$27</f>
        <v>1.1568871577513371</v>
      </c>
      <c r="J45" s="150">
        <f t="shared" si="3"/>
        <v>62.445180346605362</v>
      </c>
      <c r="K45" s="42">
        <f t="shared" si="4"/>
        <v>8.5310732034121844E-2</v>
      </c>
    </row>
    <row r="46" spans="2:11" x14ac:dyDescent="0.25">
      <c r="B46" s="308">
        <f t="shared" si="2"/>
        <v>2014</v>
      </c>
      <c r="C46" s="6"/>
      <c r="D46" s="260">
        <f>'Direct N2O'!B39*30%</f>
        <v>1209</v>
      </c>
      <c r="E46" s="220">
        <v>1.3</v>
      </c>
      <c r="F46" s="88">
        <v>160.9</v>
      </c>
      <c r="G46" s="266">
        <v>1</v>
      </c>
      <c r="H46" s="43">
        <f>'EF&amp;SF lahan sawah'!$H$13</f>
        <v>0.28999999999999998</v>
      </c>
      <c r="I46" s="89">
        <f>'EF&amp;SF lahan sawah'!$N$27</f>
        <v>1.1568871577513371</v>
      </c>
      <c r="J46" s="150">
        <f t="shared" si="3"/>
        <v>62.445180346605362</v>
      </c>
      <c r="K46" s="42">
        <f t="shared" si="4"/>
        <v>9.8145089950759642E-2</v>
      </c>
    </row>
    <row r="47" spans="2:11" x14ac:dyDescent="0.25">
      <c r="B47" s="308">
        <f t="shared" si="2"/>
        <v>2015</v>
      </c>
      <c r="C47" s="6"/>
      <c r="D47" s="260">
        <f>'Direct N2O'!B40*30%</f>
        <v>1021.1999999999999</v>
      </c>
      <c r="E47" s="220">
        <v>1.3</v>
      </c>
      <c r="F47" s="88">
        <v>160.9</v>
      </c>
      <c r="G47" s="266">
        <v>1</v>
      </c>
      <c r="H47" s="43">
        <f>'EF&amp;SF lahan sawah'!$H$13</f>
        <v>0.28999999999999998</v>
      </c>
      <c r="I47" s="89">
        <f>'EF&amp;SF lahan sawah'!$N$27</f>
        <v>1.1568871577513371</v>
      </c>
      <c r="J47" s="150">
        <f t="shared" si="3"/>
        <v>62.445180346605362</v>
      </c>
      <c r="K47" s="42">
        <f t="shared" si="4"/>
        <v>8.2899723620939419E-2</v>
      </c>
    </row>
    <row r="48" spans="2:11" x14ac:dyDescent="0.25">
      <c r="B48" s="308">
        <f t="shared" si="2"/>
        <v>2016</v>
      </c>
      <c r="C48" s="6"/>
      <c r="D48" s="260">
        <f>'Direct N2O'!B41*30%</f>
        <v>1289.0597190749475</v>
      </c>
      <c r="E48" s="220">
        <v>1.3</v>
      </c>
      <c r="F48" s="88">
        <v>160.9</v>
      </c>
      <c r="G48" s="266">
        <v>1</v>
      </c>
      <c r="H48" s="43">
        <f>'EF&amp;SF lahan sawah'!$H$13</f>
        <v>0.28999999999999998</v>
      </c>
      <c r="I48" s="89">
        <f>'EF&amp;SF lahan sawah'!$N$27</f>
        <v>1.1568871577513371</v>
      </c>
      <c r="J48" s="150">
        <f t="shared" si="3"/>
        <v>62.445180346605362</v>
      </c>
      <c r="K48" s="42">
        <f t="shared" si="4"/>
        <v>0.1046442366257334</v>
      </c>
    </row>
    <row r="49" spans="2:11" x14ac:dyDescent="0.25">
      <c r="B49" s="308">
        <f t="shared" si="2"/>
        <v>2017</v>
      </c>
      <c r="C49" s="6"/>
      <c r="D49" s="260">
        <f>'Direct N2O'!B42*30%</f>
        <v>1332.8877495234958</v>
      </c>
      <c r="E49" s="220">
        <v>1.3</v>
      </c>
      <c r="F49" s="88">
        <v>160.9</v>
      </c>
      <c r="G49" s="266">
        <v>1</v>
      </c>
      <c r="H49" s="43">
        <f>'EF&amp;SF lahan sawah'!$H$13</f>
        <v>0.28999999999999998</v>
      </c>
      <c r="I49" s="89">
        <f>'EF&amp;SF lahan sawah'!$N$27</f>
        <v>1.1568871577513371</v>
      </c>
      <c r="J49" s="150">
        <f t="shared" si="3"/>
        <v>62.445180346605362</v>
      </c>
      <c r="K49" s="42">
        <f t="shared" si="4"/>
        <v>0.10820214067100835</v>
      </c>
    </row>
    <row r="50" spans="2:11" x14ac:dyDescent="0.25">
      <c r="B50" s="308">
        <f t="shared" si="2"/>
        <v>2018</v>
      </c>
      <c r="C50" s="6"/>
      <c r="D50" s="260">
        <f>'Direct N2O'!B43*30%</f>
        <v>1378.2059330072946</v>
      </c>
      <c r="E50" s="220">
        <v>1.3</v>
      </c>
      <c r="F50" s="88">
        <v>160.9</v>
      </c>
      <c r="G50" s="266">
        <v>1</v>
      </c>
      <c r="H50" s="43">
        <f>'EF&amp;SF lahan sawah'!$H$13</f>
        <v>0.28999999999999998</v>
      </c>
      <c r="I50" s="89">
        <f>'EF&amp;SF lahan sawah'!$N$27</f>
        <v>1.1568871577513371</v>
      </c>
      <c r="J50" s="150">
        <f t="shared" si="3"/>
        <v>62.445180346605362</v>
      </c>
      <c r="K50" s="42">
        <f t="shared" si="4"/>
        <v>0.11188101345382262</v>
      </c>
    </row>
    <row r="51" spans="2:11" x14ac:dyDescent="0.25">
      <c r="B51" s="308">
        <f t="shared" si="2"/>
        <v>2019</v>
      </c>
      <c r="C51" s="6"/>
      <c r="D51" s="260">
        <f>'Direct N2O'!B44*30%</f>
        <v>1425.0649347295428</v>
      </c>
      <c r="E51" s="220">
        <v>1.3</v>
      </c>
      <c r="F51" s="88">
        <v>160.9</v>
      </c>
      <c r="G51" s="266">
        <v>1</v>
      </c>
      <c r="H51" s="43">
        <f>'EF&amp;SF lahan sawah'!$H$13</f>
        <v>0.28999999999999998</v>
      </c>
      <c r="I51" s="89">
        <f>'EF&amp;SF lahan sawah'!$N$27</f>
        <v>1.1568871577513371</v>
      </c>
      <c r="J51" s="150">
        <f t="shared" si="3"/>
        <v>62.445180346605362</v>
      </c>
      <c r="K51" s="42">
        <f t="shared" si="4"/>
        <v>0.1156849679112526</v>
      </c>
    </row>
    <row r="52" spans="2:11" x14ac:dyDescent="0.25">
      <c r="B52" s="308">
        <f t="shared" si="2"/>
        <v>2020</v>
      </c>
      <c r="C52" s="6"/>
      <c r="D52" s="260">
        <f>'Direct N2O'!B45*30%</f>
        <v>1473.5171425103474</v>
      </c>
      <c r="E52" s="220">
        <v>1.3</v>
      </c>
      <c r="F52" s="88">
        <v>160.9</v>
      </c>
      <c r="G52" s="266">
        <v>1</v>
      </c>
      <c r="H52" s="43">
        <f>'EF&amp;SF lahan sawah'!$H$13</f>
        <v>0.28999999999999998</v>
      </c>
      <c r="I52" s="89">
        <f>'EF&amp;SF lahan sawah'!$N$27</f>
        <v>1.1568871577513371</v>
      </c>
      <c r="J52" s="150">
        <f t="shared" si="3"/>
        <v>62.445180346605362</v>
      </c>
      <c r="K52" s="42">
        <f t="shared" si="4"/>
        <v>0.11961825682023521</v>
      </c>
    </row>
    <row r="53" spans="2:11" x14ac:dyDescent="0.25">
      <c r="B53" s="308">
        <f t="shared" si="2"/>
        <v>2021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12041.335478845627</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5" t="s">
        <v>27</v>
      </c>
      <c r="E62" s="456"/>
      <c r="F62" s="455" t="s">
        <v>29</v>
      </c>
      <c r="G62" s="457"/>
      <c r="H62" s="258"/>
      <c r="I62" s="455" t="s">
        <v>29</v>
      </c>
      <c r="J62" s="456"/>
      <c r="K62" s="259" t="s">
        <v>27</v>
      </c>
    </row>
    <row r="63" spans="2:11" ht="75" x14ac:dyDescent="0.25">
      <c r="B63" s="458" t="s">
        <v>396</v>
      </c>
      <c r="C63" s="423" t="s">
        <v>192</v>
      </c>
      <c r="D63" s="24" t="s">
        <v>28</v>
      </c>
      <c r="E63" s="25" t="s">
        <v>398</v>
      </c>
      <c r="F63" s="24" t="s">
        <v>30</v>
      </c>
      <c r="G63" s="24" t="s">
        <v>31</v>
      </c>
      <c r="H63" s="24" t="s">
        <v>350</v>
      </c>
      <c r="I63" s="24" t="s">
        <v>352</v>
      </c>
      <c r="J63" s="25" t="s">
        <v>32</v>
      </c>
      <c r="K63" s="21" t="s">
        <v>33</v>
      </c>
    </row>
    <row r="64" spans="2:11" x14ac:dyDescent="0.25">
      <c r="B64" s="458"/>
      <c r="C64" s="423"/>
      <c r="D64" s="11" t="s">
        <v>34</v>
      </c>
      <c r="E64" s="8"/>
      <c r="F64" s="11" t="s">
        <v>399</v>
      </c>
      <c r="G64" s="11"/>
      <c r="H64" s="8"/>
      <c r="I64" s="11"/>
      <c r="J64" s="8" t="s">
        <v>401</v>
      </c>
      <c r="K64" s="1" t="s">
        <v>10</v>
      </c>
    </row>
    <row r="65" spans="2:11" ht="30" x14ac:dyDescent="0.25">
      <c r="B65" s="458"/>
      <c r="C65" s="423"/>
      <c r="D65" s="26"/>
      <c r="E65" s="27"/>
      <c r="F65" s="26"/>
      <c r="G65" s="26"/>
      <c r="H65" s="26"/>
      <c r="I65" s="26"/>
      <c r="J65" s="27" t="s">
        <v>41</v>
      </c>
      <c r="K65" s="28" t="s">
        <v>40</v>
      </c>
    </row>
    <row r="66" spans="2:11" ht="15.75" thickBot="1" x14ac:dyDescent="0.3">
      <c r="B66" s="459"/>
      <c r="C66" s="460"/>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2011</v>
      </c>
      <c r="C68" s="6"/>
      <c r="D68" s="260">
        <f>'Direct N2O'!B36*10%</f>
        <v>342.40000000000003</v>
      </c>
      <c r="E68" s="220">
        <v>1.3</v>
      </c>
      <c r="F68" s="88">
        <v>160.9</v>
      </c>
      <c r="G68" s="201">
        <v>1</v>
      </c>
      <c r="H68" s="43">
        <f>'EF&amp;SF lahan sawah'!$H$13</f>
        <v>0.28999999999999998</v>
      </c>
      <c r="I68" s="89">
        <f>'EF&amp;SF lahan sawah'!$N$38</f>
        <v>1.3386449714773025</v>
      </c>
      <c r="J68" s="150">
        <f>F68*G68*H68*I68*$I$28</f>
        <v>72.255903355739306</v>
      </c>
      <c r="K68" s="42">
        <f>D68*E68*J68*10^-6</f>
        <v>3.2162547701706685E-2</v>
      </c>
    </row>
    <row r="69" spans="2:11" x14ac:dyDescent="0.25">
      <c r="B69" s="308">
        <f t="shared" ref="B69:B78" si="5">B12</f>
        <v>2012</v>
      </c>
      <c r="C69" s="6"/>
      <c r="D69" s="260">
        <f>'Direct N2O'!B37*10%</f>
        <v>278.10000000000002</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2.6122676740200433E-2</v>
      </c>
    </row>
    <row r="70" spans="2:11" x14ac:dyDescent="0.25">
      <c r="B70" s="308">
        <f t="shared" si="5"/>
        <v>2013</v>
      </c>
      <c r="C70" s="6"/>
      <c r="D70" s="260">
        <f>'Direct N2O'!B38*10%</f>
        <v>350.3</v>
      </c>
      <c r="E70" s="220">
        <v>1.3</v>
      </c>
      <c r="F70" s="88">
        <v>160.9</v>
      </c>
      <c r="G70" s="201">
        <v>1</v>
      </c>
      <c r="H70" s="43">
        <f>'EF&amp;SF lahan sawah'!$H$13</f>
        <v>0.28999999999999998</v>
      </c>
      <c r="I70" s="89">
        <f>'EF&amp;SF lahan sawah'!$N$38</f>
        <v>1.3386449714773025</v>
      </c>
      <c r="J70" s="150">
        <f t="shared" si="6"/>
        <v>72.255903355739306</v>
      </c>
      <c r="K70" s="42">
        <f t="shared" si="7"/>
        <v>3.2904615829170127E-2</v>
      </c>
    </row>
    <row r="71" spans="2:11" x14ac:dyDescent="0.25">
      <c r="B71" s="308">
        <f t="shared" si="5"/>
        <v>2014</v>
      </c>
      <c r="C71" s="6"/>
      <c r="D71" s="260">
        <f>'Direct N2O'!B39*10%</f>
        <v>403</v>
      </c>
      <c r="E71" s="220">
        <v>1.3</v>
      </c>
      <c r="F71" s="88">
        <v>160.9</v>
      </c>
      <c r="G71" s="201">
        <v>1</v>
      </c>
      <c r="H71" s="43">
        <f>'EF&amp;SF lahan sawah'!$H$13</f>
        <v>0.28999999999999998</v>
      </c>
      <c r="I71" s="89">
        <f>'EF&amp;SF lahan sawah'!$N$38</f>
        <v>1.3386449714773025</v>
      </c>
      <c r="J71" s="150">
        <f t="shared" si="6"/>
        <v>72.255903355739306</v>
      </c>
      <c r="K71" s="42">
        <f t="shared" si="7"/>
        <v>3.7854867768071815E-2</v>
      </c>
    </row>
    <row r="72" spans="2:11" x14ac:dyDescent="0.25">
      <c r="B72" s="308">
        <f t="shared" si="5"/>
        <v>2015</v>
      </c>
      <c r="C72" s="6"/>
      <c r="D72" s="260">
        <f>'Direct N2O'!B40*10%</f>
        <v>340.40000000000003</v>
      </c>
      <c r="E72" s="220">
        <v>1.3</v>
      </c>
      <c r="F72" s="88">
        <v>160.9</v>
      </c>
      <c r="G72" s="201">
        <v>1</v>
      </c>
      <c r="H72" s="43">
        <f>'EF&amp;SF lahan sawah'!$H$13</f>
        <v>0.28999999999999998</v>
      </c>
      <c r="I72" s="89">
        <f>'EF&amp;SF lahan sawah'!$N$38</f>
        <v>1.3386449714773025</v>
      </c>
      <c r="J72" s="150">
        <f t="shared" si="6"/>
        <v>72.255903355739306</v>
      </c>
      <c r="K72" s="42">
        <f t="shared" si="7"/>
        <v>3.1974682352981759E-2</v>
      </c>
    </row>
    <row r="73" spans="2:11" x14ac:dyDescent="0.25">
      <c r="B73" s="308">
        <f t="shared" si="5"/>
        <v>2016</v>
      </c>
      <c r="C73" s="6"/>
      <c r="D73" s="260">
        <f>'Direct N2O'!B41*10%</f>
        <v>429.68657302498252</v>
      </c>
      <c r="E73" s="220">
        <v>1.3</v>
      </c>
      <c r="F73" s="88">
        <v>160.9</v>
      </c>
      <c r="G73" s="201">
        <v>1</v>
      </c>
      <c r="H73" s="43">
        <f>'EF&amp;SF lahan sawah'!$H$13</f>
        <v>0.28999999999999998</v>
      </c>
      <c r="I73" s="89">
        <f>'EF&amp;SF lahan sawah'!$N$38</f>
        <v>1.3386449714773025</v>
      </c>
      <c r="J73" s="150">
        <f t="shared" si="6"/>
        <v>72.255903355739306</v>
      </c>
      <c r="K73" s="42">
        <f t="shared" si="7"/>
        <v>4.0361608941877541E-2</v>
      </c>
    </row>
    <row r="74" spans="2:11" x14ac:dyDescent="0.25">
      <c r="B74" s="308">
        <f t="shared" si="5"/>
        <v>2017</v>
      </c>
      <c r="C74" s="6"/>
      <c r="D74" s="260">
        <f>'Direct N2O'!B42*10%</f>
        <v>444.29591650783198</v>
      </c>
      <c r="E74" s="220">
        <v>1.3</v>
      </c>
      <c r="F74" s="88">
        <v>160.9</v>
      </c>
      <c r="G74" s="201">
        <v>1</v>
      </c>
      <c r="H74" s="43">
        <f>'EF&amp;SF lahan sawah'!$H$13</f>
        <v>0.28999999999999998</v>
      </c>
      <c r="I74" s="89">
        <f>'EF&amp;SF lahan sawah'!$N$38</f>
        <v>1.3386449714773025</v>
      </c>
      <c r="J74" s="150">
        <f t="shared" si="6"/>
        <v>72.255903355739306</v>
      </c>
      <c r="K74" s="42">
        <f t="shared" si="7"/>
        <v>4.1733903645901384E-2</v>
      </c>
    </row>
    <row r="75" spans="2:11" x14ac:dyDescent="0.25">
      <c r="B75" s="308">
        <f t="shared" si="5"/>
        <v>2018</v>
      </c>
      <c r="C75" s="6"/>
      <c r="D75" s="260">
        <f>'Direct N2O'!B43*10%</f>
        <v>459.40197766909824</v>
      </c>
      <c r="E75" s="220">
        <v>1.3</v>
      </c>
      <c r="F75" s="88">
        <v>160.9</v>
      </c>
      <c r="G75" s="201">
        <v>1</v>
      </c>
      <c r="H75" s="43">
        <f>'EF&amp;SF lahan sawah'!$H$13</f>
        <v>0.28999999999999998</v>
      </c>
      <c r="I75" s="89">
        <f>'EF&amp;SF lahan sawah'!$N$38</f>
        <v>1.3386449714773025</v>
      </c>
      <c r="J75" s="150">
        <f t="shared" si="6"/>
        <v>72.255903355739306</v>
      </c>
      <c r="K75" s="42">
        <f t="shared" si="7"/>
        <v>4.3152856369862033E-2</v>
      </c>
    </row>
    <row r="76" spans="2:11" x14ac:dyDescent="0.25">
      <c r="B76" s="308">
        <f t="shared" si="5"/>
        <v>2019</v>
      </c>
      <c r="C76" s="6"/>
      <c r="D76" s="260">
        <f>'Direct N2O'!B44*10%</f>
        <v>475.02164490984762</v>
      </c>
      <c r="E76" s="220">
        <v>1.3</v>
      </c>
      <c r="F76" s="88">
        <v>160.9</v>
      </c>
      <c r="G76" s="201">
        <v>1</v>
      </c>
      <c r="H76" s="43">
        <f>'EF&amp;SF lahan sawah'!$H$13</f>
        <v>0.28999999999999998</v>
      </c>
      <c r="I76" s="89">
        <f>'EF&amp;SF lahan sawah'!$N$38</f>
        <v>1.3386449714773025</v>
      </c>
      <c r="J76" s="150">
        <f t="shared" si="6"/>
        <v>72.255903355739306</v>
      </c>
      <c r="K76" s="42">
        <f t="shared" si="7"/>
        <v>4.4620053486437342E-2</v>
      </c>
    </row>
    <row r="77" spans="2:11" x14ac:dyDescent="0.25">
      <c r="B77" s="308">
        <f t="shared" si="5"/>
        <v>2020</v>
      </c>
      <c r="C77" s="6"/>
      <c r="D77" s="260">
        <f>'Direct N2O'!B45*10%</f>
        <v>491.17238083678251</v>
      </c>
      <c r="E77" s="220">
        <v>1.3</v>
      </c>
      <c r="F77" s="88">
        <v>160.9</v>
      </c>
      <c r="G77" s="201">
        <v>1</v>
      </c>
      <c r="H77" s="43">
        <f>'EF&amp;SF lahan sawah'!$H$13</f>
        <v>0.28999999999999998</v>
      </c>
      <c r="I77" s="89">
        <f>'EF&amp;SF lahan sawah'!$N$38</f>
        <v>1.3386449714773025</v>
      </c>
      <c r="J77" s="150">
        <f t="shared" si="6"/>
        <v>72.255903355739306</v>
      </c>
      <c r="K77" s="42">
        <f t="shared" si="7"/>
        <v>4.6137135304976214E-2</v>
      </c>
    </row>
    <row r="78" spans="2:11" x14ac:dyDescent="0.25">
      <c r="B78" s="308">
        <f t="shared" si="5"/>
        <v>2021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4013.7784929485429</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61" t="s">
        <v>288</v>
      </c>
      <c r="D5" s="462"/>
      <c r="E5" s="462"/>
      <c r="F5" s="462"/>
      <c r="G5" s="463"/>
    </row>
    <row r="6" spans="2:7" ht="45" x14ac:dyDescent="0.25">
      <c r="B6" s="458" t="s">
        <v>396</v>
      </c>
      <c r="C6" s="23" t="s">
        <v>280</v>
      </c>
      <c r="D6" s="160" t="s">
        <v>54</v>
      </c>
      <c r="E6" s="164" t="s">
        <v>289</v>
      </c>
      <c r="F6" s="24" t="s">
        <v>54</v>
      </c>
      <c r="G6" s="157" t="s">
        <v>31</v>
      </c>
    </row>
    <row r="7" spans="2:7" ht="17.25" x14ac:dyDescent="0.25">
      <c r="B7" s="458"/>
      <c r="C7" s="23" t="s">
        <v>281</v>
      </c>
      <c r="D7" s="161" t="s">
        <v>290</v>
      </c>
      <c r="E7" s="24" t="s">
        <v>281</v>
      </c>
      <c r="F7" s="11" t="s">
        <v>291</v>
      </c>
      <c r="G7" s="93"/>
    </row>
    <row r="8" spans="2:7" x14ac:dyDescent="0.25">
      <c r="B8" s="458"/>
      <c r="C8" s="153"/>
      <c r="D8" s="162" t="s">
        <v>282</v>
      </c>
      <c r="E8" s="165"/>
      <c r="F8" s="26" t="s">
        <v>292</v>
      </c>
      <c r="G8" s="92"/>
    </row>
    <row r="9" spans="2:7" ht="18.75" thickBot="1" x14ac:dyDescent="0.4">
      <c r="B9" s="459"/>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7" t="s">
        <v>56</v>
      </c>
      <c r="D5" s="457"/>
      <c r="E5" s="464"/>
    </row>
    <row r="6" spans="2:5" ht="45" x14ac:dyDescent="0.25">
      <c r="B6" s="465" t="s">
        <v>396</v>
      </c>
      <c r="C6" s="173" t="s">
        <v>46</v>
      </c>
      <c r="D6" s="173" t="s">
        <v>48</v>
      </c>
      <c r="E6" s="173" t="s">
        <v>50</v>
      </c>
    </row>
    <row r="7" spans="2:5" x14ac:dyDescent="0.25">
      <c r="B7" s="466"/>
      <c r="C7" s="30" t="s">
        <v>47</v>
      </c>
      <c r="D7" s="30" t="s">
        <v>49</v>
      </c>
      <c r="E7" s="30" t="s">
        <v>51</v>
      </c>
    </row>
    <row r="8" spans="2:5" x14ac:dyDescent="0.25">
      <c r="B8" s="466"/>
      <c r="C8" s="31"/>
      <c r="D8" s="31"/>
      <c r="E8" s="30" t="s">
        <v>52</v>
      </c>
    </row>
    <row r="9" spans="2:5" ht="15.75" thickBot="1" x14ac:dyDescent="0.3">
      <c r="B9" s="467"/>
      <c r="C9" s="14" t="s">
        <v>53</v>
      </c>
      <c r="D9" s="14" t="s">
        <v>54</v>
      </c>
      <c r="E9" s="14" t="s">
        <v>55</v>
      </c>
    </row>
    <row r="10" spans="2:5" x14ac:dyDescent="0.25">
      <c r="B10" s="3"/>
      <c r="C10" s="3"/>
      <c r="D10" s="3"/>
      <c r="E10" s="3"/>
    </row>
    <row r="11" spans="2:5" x14ac:dyDescent="0.25">
      <c r="B11" s="308">
        <f>'Lahan sawah'!B11</f>
        <v>2011</v>
      </c>
      <c r="C11" s="260">
        <f>'Direct N2O'!T36*10^-3</f>
        <v>1307.3920000000001</v>
      </c>
      <c r="D11" s="224">
        <v>0.2</v>
      </c>
      <c r="E11" s="225">
        <f>C11*D11</f>
        <v>261.47840000000002</v>
      </c>
    </row>
    <row r="12" spans="2:5" x14ac:dyDescent="0.25">
      <c r="B12" s="308">
        <f>'Lahan sawah'!B12</f>
        <v>2012</v>
      </c>
      <c r="C12" s="260">
        <f>'Direct N2O'!T37*10^-3</f>
        <v>1171.1390000000001</v>
      </c>
      <c r="D12" s="224">
        <v>0.2</v>
      </c>
      <c r="E12" s="225">
        <f t="shared" ref="E12:E21" si="0">C12*D12</f>
        <v>234.22780000000003</v>
      </c>
    </row>
    <row r="13" spans="2:5" x14ac:dyDescent="0.25">
      <c r="B13" s="308">
        <f>'Lahan sawah'!B13</f>
        <v>2013</v>
      </c>
      <c r="C13" s="260">
        <f>'Direct N2O'!T38*10^-3</f>
        <v>1442.7830000000001</v>
      </c>
      <c r="D13" s="224">
        <v>0.2</v>
      </c>
      <c r="E13" s="225">
        <f t="shared" si="0"/>
        <v>288.55660000000006</v>
      </c>
    </row>
    <row r="14" spans="2:5" x14ac:dyDescent="0.25">
      <c r="B14" s="308">
        <f>'Lahan sawah'!B14</f>
        <v>2014</v>
      </c>
      <c r="C14" s="260">
        <f>'Direct N2O'!T39*10^-3</f>
        <v>1581.268</v>
      </c>
      <c r="D14" s="224">
        <v>0.2</v>
      </c>
      <c r="E14" s="225">
        <f t="shared" si="0"/>
        <v>316.25360000000001</v>
      </c>
    </row>
    <row r="15" spans="2:5" x14ac:dyDescent="0.25">
      <c r="B15" s="308">
        <f>'Lahan sawah'!B15</f>
        <v>2015</v>
      </c>
      <c r="C15" s="260">
        <f>'Direct N2O'!T40*10^-3</f>
        <v>1377.24</v>
      </c>
      <c r="D15" s="224">
        <v>0.2</v>
      </c>
      <c r="E15" s="225">
        <f t="shared" si="0"/>
        <v>275.44800000000004</v>
      </c>
    </row>
    <row r="16" spans="2:5" x14ac:dyDescent="0.25">
      <c r="B16" s="308">
        <f>'Lahan sawah'!B16</f>
        <v>2016</v>
      </c>
      <c r="C16" s="260">
        <f>'Direct N2O'!T41*10^-3</f>
        <v>1181.638075818702</v>
      </c>
      <c r="D16" s="224">
        <v>0.2</v>
      </c>
      <c r="E16" s="225">
        <f t="shared" si="0"/>
        <v>236.3276151637404</v>
      </c>
    </row>
    <row r="17" spans="2:13" x14ac:dyDescent="0.25">
      <c r="B17" s="308">
        <f>'Lahan sawah'!B17</f>
        <v>2017</v>
      </c>
      <c r="C17" s="260">
        <f>'Direct N2O'!T42*10^-3</f>
        <v>1221.8137703965378</v>
      </c>
      <c r="D17" s="224">
        <v>0.2</v>
      </c>
      <c r="E17" s="225">
        <f t="shared" si="0"/>
        <v>244.36275407930759</v>
      </c>
    </row>
    <row r="18" spans="2:13" x14ac:dyDescent="0.25">
      <c r="B18" s="308">
        <f>'Lahan sawah'!B18</f>
        <v>2018</v>
      </c>
      <c r="C18" s="260">
        <f>'Direct N2O'!T43*10^-3</f>
        <v>1263.3554385900202</v>
      </c>
      <c r="D18" s="224">
        <v>0.2</v>
      </c>
      <c r="E18" s="176">
        <f t="shared" si="0"/>
        <v>252.67108771800406</v>
      </c>
    </row>
    <row r="19" spans="2:13" x14ac:dyDescent="0.25">
      <c r="B19" s="308">
        <f>'Lahan sawah'!B19</f>
        <v>2019</v>
      </c>
      <c r="C19" s="260">
        <f>'Direct N2O'!T44*10^-3</f>
        <v>1306.309523502081</v>
      </c>
      <c r="D19" s="224">
        <v>0.2</v>
      </c>
      <c r="E19" s="176">
        <f t="shared" si="0"/>
        <v>261.26190470041621</v>
      </c>
    </row>
    <row r="20" spans="2:13" x14ac:dyDescent="0.25">
      <c r="B20" s="308">
        <f>'Lahan sawah'!B20</f>
        <v>2020</v>
      </c>
      <c r="C20" s="260">
        <f>'Direct N2O'!T45*10^-3</f>
        <v>1350.7240473011518</v>
      </c>
      <c r="D20" s="224">
        <v>0.2</v>
      </c>
      <c r="E20" s="176">
        <f t="shared" si="0"/>
        <v>270.14480946023036</v>
      </c>
    </row>
    <row r="21" spans="2:13" x14ac:dyDescent="0.25">
      <c r="B21" s="308">
        <f>'Lahan sawah'!B21</f>
        <v>2021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784.2628000000002</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29" zoomScale="85" zoomScaleNormal="85" workbookViewId="0">
      <selection activeCell="K42" sqref="K42"/>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0.2851562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2011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83" t="s">
        <v>367</v>
      </c>
      <c r="B3" s="483"/>
      <c r="C3" s="484" t="s">
        <v>368</v>
      </c>
      <c r="D3" s="484"/>
      <c r="E3" s="484"/>
      <c r="F3" s="484"/>
      <c r="G3" s="484"/>
      <c r="H3" s="311"/>
      <c r="I3" s="316"/>
      <c r="J3" s="316"/>
      <c r="K3" s="316"/>
      <c r="L3" s="316"/>
      <c r="M3" s="316"/>
      <c r="N3" s="316"/>
      <c r="O3" s="316"/>
      <c r="P3" s="311"/>
      <c r="Q3" s="316"/>
      <c r="R3" s="316"/>
      <c r="S3" s="316"/>
      <c r="T3" s="316"/>
      <c r="U3" s="316"/>
      <c r="V3" s="316"/>
      <c r="W3" s="316"/>
      <c r="Y3" s="316"/>
      <c r="Z3" s="316"/>
      <c r="AA3" s="316"/>
      <c r="AB3" s="316"/>
      <c r="AC3" s="316"/>
      <c r="AD3" s="316"/>
      <c r="AE3" s="316"/>
      <c r="AG3" s="490"/>
      <c r="AH3" s="490"/>
      <c r="AI3" s="492"/>
      <c r="AJ3" s="492"/>
      <c r="AK3" s="492"/>
      <c r="AL3" s="492"/>
      <c r="AM3" s="492"/>
      <c r="AO3" s="490"/>
      <c r="AP3" s="490"/>
      <c r="AQ3" s="492"/>
      <c r="AR3" s="492"/>
      <c r="AS3" s="492"/>
      <c r="AT3" s="492"/>
      <c r="AU3" s="492"/>
      <c r="AW3" s="490"/>
      <c r="AX3" s="490"/>
      <c r="AY3" s="492"/>
      <c r="AZ3" s="492"/>
      <c r="BA3" s="492"/>
      <c r="BB3" s="492"/>
      <c r="BC3" s="492"/>
      <c r="BE3" s="490"/>
      <c r="BF3" s="490"/>
      <c r="BG3" s="492"/>
      <c r="BH3" s="492"/>
      <c r="BI3" s="492"/>
      <c r="BJ3" s="492"/>
      <c r="BK3" s="492"/>
      <c r="BM3" s="490"/>
      <c r="BN3" s="490"/>
      <c r="BO3" s="492"/>
      <c r="BP3" s="492"/>
      <c r="BQ3" s="492"/>
      <c r="BR3" s="492"/>
      <c r="BS3" s="492"/>
      <c r="BU3" s="490"/>
      <c r="BV3" s="490"/>
      <c r="BW3" s="492"/>
      <c r="BX3" s="492"/>
      <c r="BY3" s="492"/>
      <c r="BZ3" s="492"/>
      <c r="CA3" s="492"/>
      <c r="CC3" s="316"/>
      <c r="CD3" s="316"/>
      <c r="CE3" s="316"/>
      <c r="CF3" s="316"/>
      <c r="CG3" s="316"/>
      <c r="CH3" s="316"/>
      <c r="CI3" s="316"/>
    </row>
    <row r="4" spans="1:87" s="313" customFormat="1" ht="13.5" customHeight="1" x14ac:dyDescent="0.25">
      <c r="A4" s="483" t="s">
        <v>369</v>
      </c>
      <c r="B4" s="483"/>
      <c r="C4" s="484" t="s">
        <v>481</v>
      </c>
      <c r="D4" s="484"/>
      <c r="E4" s="484"/>
      <c r="F4" s="484"/>
      <c r="G4" s="484"/>
      <c r="H4" s="311"/>
      <c r="I4" s="316"/>
      <c r="J4" s="316"/>
      <c r="K4" s="316"/>
      <c r="L4" s="316"/>
      <c r="M4" s="316"/>
      <c r="N4" s="316"/>
      <c r="O4" s="316"/>
      <c r="P4" s="311"/>
      <c r="Q4" s="316"/>
      <c r="R4" s="316"/>
      <c r="S4" s="316"/>
      <c r="T4" s="316"/>
      <c r="U4" s="316"/>
      <c r="V4" s="316"/>
      <c r="W4" s="316"/>
      <c r="Y4" s="316"/>
      <c r="Z4" s="316"/>
      <c r="AA4" s="316"/>
      <c r="AB4" s="316"/>
      <c r="AC4" s="316"/>
      <c r="AD4" s="316"/>
      <c r="AE4" s="316"/>
      <c r="AG4" s="490"/>
      <c r="AH4" s="490"/>
      <c r="AI4" s="492"/>
      <c r="AJ4" s="492"/>
      <c r="AK4" s="492"/>
      <c r="AL4" s="492"/>
      <c r="AM4" s="492"/>
      <c r="AO4" s="490"/>
      <c r="AP4" s="490"/>
      <c r="AQ4" s="492"/>
      <c r="AR4" s="492"/>
      <c r="AS4" s="492"/>
      <c r="AT4" s="492"/>
      <c r="AU4" s="492"/>
      <c r="AW4" s="490"/>
      <c r="AX4" s="490"/>
      <c r="AY4" s="492"/>
      <c r="AZ4" s="492"/>
      <c r="BA4" s="492"/>
      <c r="BB4" s="492"/>
      <c r="BC4" s="492"/>
      <c r="BE4" s="490"/>
      <c r="BF4" s="490"/>
      <c r="BG4" s="492"/>
      <c r="BH4" s="492"/>
      <c r="BI4" s="492"/>
      <c r="BJ4" s="492"/>
      <c r="BK4" s="492"/>
      <c r="BM4" s="490"/>
      <c r="BN4" s="490"/>
      <c r="BO4" s="492"/>
      <c r="BP4" s="492"/>
      <c r="BQ4" s="492"/>
      <c r="BR4" s="492"/>
      <c r="BS4" s="492"/>
      <c r="BU4" s="490"/>
      <c r="BV4" s="490"/>
      <c r="BW4" s="492"/>
      <c r="BX4" s="492"/>
      <c r="BY4" s="492"/>
      <c r="BZ4" s="492"/>
      <c r="CA4" s="492"/>
      <c r="CC4" s="316"/>
      <c r="CD4" s="316"/>
      <c r="CE4" s="316"/>
      <c r="CF4" s="316"/>
      <c r="CG4" s="316"/>
      <c r="CH4" s="316"/>
      <c r="CI4" s="316"/>
    </row>
    <row r="5" spans="1:87" s="313" customFormat="1" x14ac:dyDescent="0.25">
      <c r="A5" s="483" t="s">
        <v>370</v>
      </c>
      <c r="B5" s="483"/>
      <c r="C5" s="484" t="s">
        <v>371</v>
      </c>
      <c r="D5" s="484"/>
      <c r="E5" s="484"/>
      <c r="F5" s="484"/>
      <c r="G5" s="484"/>
      <c r="H5" s="311"/>
      <c r="I5" s="316"/>
      <c r="J5" s="316"/>
      <c r="K5" s="316"/>
      <c r="L5" s="316"/>
      <c r="M5" s="316"/>
      <c r="N5" s="316"/>
      <c r="O5" s="316"/>
      <c r="P5" s="311"/>
      <c r="Q5" s="316"/>
      <c r="R5" s="316"/>
      <c r="S5" s="316"/>
      <c r="T5" s="316"/>
      <c r="U5" s="316"/>
      <c r="V5" s="316"/>
      <c r="W5" s="316"/>
      <c r="Y5" s="316"/>
      <c r="Z5" s="316"/>
      <c r="AA5" s="316"/>
      <c r="AB5" s="316"/>
      <c r="AC5" s="316"/>
      <c r="AD5" s="316"/>
      <c r="AE5" s="316"/>
      <c r="AG5" s="490"/>
      <c r="AH5" s="490"/>
      <c r="AI5" s="492"/>
      <c r="AJ5" s="492"/>
      <c r="AK5" s="492"/>
      <c r="AL5" s="492"/>
      <c r="AM5" s="492"/>
      <c r="AO5" s="490"/>
      <c r="AP5" s="490"/>
      <c r="AQ5" s="492"/>
      <c r="AR5" s="492"/>
      <c r="AS5" s="492"/>
      <c r="AT5" s="492"/>
      <c r="AU5" s="492"/>
      <c r="AW5" s="490"/>
      <c r="AX5" s="490"/>
      <c r="AY5" s="492"/>
      <c r="AZ5" s="492"/>
      <c r="BA5" s="492"/>
      <c r="BB5" s="492"/>
      <c r="BC5" s="492"/>
      <c r="BE5" s="490"/>
      <c r="BF5" s="490"/>
      <c r="BG5" s="492"/>
      <c r="BH5" s="492"/>
      <c r="BI5" s="492"/>
      <c r="BJ5" s="492"/>
      <c r="BK5" s="492"/>
      <c r="BM5" s="490"/>
      <c r="BN5" s="490"/>
      <c r="BO5" s="492"/>
      <c r="BP5" s="492"/>
      <c r="BQ5" s="492"/>
      <c r="BR5" s="492"/>
      <c r="BS5" s="492"/>
      <c r="BU5" s="490"/>
      <c r="BV5" s="490"/>
      <c r="BW5" s="492"/>
      <c r="BX5" s="492"/>
      <c r="BY5" s="492"/>
      <c r="BZ5" s="492"/>
      <c r="CA5" s="492"/>
      <c r="CC5" s="316"/>
      <c r="CD5" s="316"/>
      <c r="CE5" s="316"/>
      <c r="CF5" s="316"/>
      <c r="CG5" s="316"/>
      <c r="CH5" s="316"/>
      <c r="CI5" s="316"/>
    </row>
    <row r="6" spans="1:87" s="313" customFormat="1" x14ac:dyDescent="0.25">
      <c r="A6" s="483" t="s">
        <v>372</v>
      </c>
      <c r="B6" s="483"/>
      <c r="C6" s="484" t="s">
        <v>373</v>
      </c>
      <c r="D6" s="484"/>
      <c r="E6" s="484"/>
      <c r="F6" s="484"/>
      <c r="G6" s="484"/>
      <c r="H6" s="311"/>
      <c r="I6" s="316"/>
      <c r="J6" s="316"/>
      <c r="K6" s="316"/>
      <c r="L6" s="316"/>
      <c r="M6" s="316"/>
      <c r="N6" s="316"/>
      <c r="O6" s="316"/>
      <c r="P6" s="311"/>
      <c r="Q6" s="316"/>
      <c r="R6" s="316"/>
      <c r="S6" s="316"/>
      <c r="T6" s="316"/>
      <c r="U6" s="316"/>
      <c r="V6" s="316"/>
      <c r="W6" s="316"/>
      <c r="Y6" s="316"/>
      <c r="Z6" s="316"/>
      <c r="AA6" s="316"/>
      <c r="AB6" s="316"/>
      <c r="AC6" s="316"/>
      <c r="AD6" s="316"/>
      <c r="AE6" s="316"/>
      <c r="AG6" s="490"/>
      <c r="AH6" s="490"/>
      <c r="AI6" s="492"/>
      <c r="AJ6" s="492"/>
      <c r="AK6" s="492"/>
      <c r="AL6" s="492"/>
      <c r="AM6" s="492"/>
      <c r="AO6" s="490"/>
      <c r="AP6" s="490"/>
      <c r="AQ6" s="492"/>
      <c r="AR6" s="492"/>
      <c r="AS6" s="492"/>
      <c r="AT6" s="492"/>
      <c r="AU6" s="492"/>
      <c r="AW6" s="490"/>
      <c r="AX6" s="490"/>
      <c r="AY6" s="492"/>
      <c r="AZ6" s="492"/>
      <c r="BA6" s="492"/>
      <c r="BB6" s="492"/>
      <c r="BC6" s="492"/>
      <c r="BE6" s="490"/>
      <c r="BF6" s="490"/>
      <c r="BG6" s="492"/>
      <c r="BH6" s="492"/>
      <c r="BI6" s="492"/>
      <c r="BJ6" s="492"/>
      <c r="BK6" s="492"/>
      <c r="BM6" s="490"/>
      <c r="BN6" s="490"/>
      <c r="BO6" s="492"/>
      <c r="BP6" s="492"/>
      <c r="BQ6" s="492"/>
      <c r="BR6" s="492"/>
      <c r="BS6" s="492"/>
      <c r="BU6" s="490"/>
      <c r="BV6" s="490"/>
      <c r="BW6" s="492"/>
      <c r="BX6" s="492"/>
      <c r="BY6" s="492"/>
      <c r="BZ6" s="492"/>
      <c r="CA6" s="492"/>
      <c r="CC6" s="316"/>
      <c r="CD6" s="316"/>
      <c r="CE6" s="316"/>
      <c r="CF6" s="316"/>
      <c r="CG6" s="316"/>
      <c r="CH6" s="316"/>
      <c r="CI6" s="316"/>
    </row>
    <row r="7" spans="1:87" s="313" customFormat="1" x14ac:dyDescent="0.25">
      <c r="A7" s="485" t="s">
        <v>3</v>
      </c>
      <c r="B7" s="485"/>
      <c r="C7" s="486" t="s">
        <v>374</v>
      </c>
      <c r="D7" s="486"/>
      <c r="E7" s="486"/>
      <c r="F7" s="486"/>
      <c r="G7" s="486"/>
      <c r="H7" s="311"/>
      <c r="I7" s="316"/>
      <c r="J7" s="316"/>
      <c r="K7" s="316"/>
      <c r="L7" s="316"/>
      <c r="M7" s="316"/>
      <c r="N7" s="316"/>
      <c r="O7" s="316"/>
      <c r="P7" s="311"/>
      <c r="Q7" s="316"/>
      <c r="R7" s="316"/>
      <c r="S7" s="316"/>
      <c r="T7" s="316"/>
      <c r="U7" s="316"/>
      <c r="V7" s="316"/>
      <c r="W7" s="316"/>
      <c r="Y7" s="316"/>
      <c r="Z7" s="316"/>
      <c r="AA7" s="316"/>
      <c r="AB7" s="316"/>
      <c r="AC7" s="316"/>
      <c r="AD7" s="316"/>
      <c r="AE7" s="316"/>
      <c r="AG7" s="490"/>
      <c r="AH7" s="490"/>
      <c r="AI7" s="493"/>
      <c r="AJ7" s="493"/>
      <c r="AK7" s="493"/>
      <c r="AL7" s="493"/>
      <c r="AM7" s="493"/>
      <c r="AO7" s="490"/>
      <c r="AP7" s="490"/>
      <c r="AQ7" s="493"/>
      <c r="AR7" s="493"/>
      <c r="AS7" s="493"/>
      <c r="AT7" s="493"/>
      <c r="AU7" s="493"/>
      <c r="AW7" s="490"/>
      <c r="AX7" s="490"/>
      <c r="AY7" s="493"/>
      <c r="AZ7" s="493"/>
      <c r="BA7" s="493"/>
      <c r="BB7" s="493"/>
      <c r="BC7" s="493"/>
      <c r="BE7" s="490"/>
      <c r="BF7" s="490"/>
      <c r="BG7" s="493"/>
      <c r="BH7" s="493"/>
      <c r="BI7" s="493"/>
      <c r="BJ7" s="493"/>
      <c r="BK7" s="493"/>
      <c r="BM7" s="490"/>
      <c r="BN7" s="490"/>
      <c r="BO7" s="493"/>
      <c r="BP7" s="493"/>
      <c r="BQ7" s="493"/>
      <c r="BR7" s="493"/>
      <c r="BS7" s="493"/>
      <c r="BU7" s="490"/>
      <c r="BV7" s="490"/>
      <c r="BW7" s="493"/>
      <c r="BX7" s="493"/>
      <c r="BY7" s="493"/>
      <c r="BZ7" s="493"/>
      <c r="CA7" s="493"/>
      <c r="CC7" s="316"/>
      <c r="CD7" s="316"/>
      <c r="CE7" s="316"/>
      <c r="CF7" s="316"/>
      <c r="CG7" s="316"/>
      <c r="CH7" s="316"/>
      <c r="CI7" s="316"/>
    </row>
    <row r="8" spans="1:87" s="313" customFormat="1" ht="39.75" x14ac:dyDescent="0.25">
      <c r="A8" s="482" t="s">
        <v>375</v>
      </c>
      <c r="B8" s="482"/>
      <c r="C8" s="482" t="s">
        <v>376</v>
      </c>
      <c r="D8" s="482"/>
      <c r="E8" s="482" t="s">
        <v>482</v>
      </c>
      <c r="F8" s="482"/>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82"/>
      <c r="B9" s="482"/>
      <c r="C9" s="482" t="s">
        <v>484</v>
      </c>
      <c r="D9" s="482"/>
      <c r="E9" s="482" t="s">
        <v>485</v>
      </c>
      <c r="F9" s="482"/>
      <c r="G9" s="489"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82"/>
      <c r="B10" s="482"/>
      <c r="C10" s="482"/>
      <c r="D10" s="482"/>
      <c r="E10" s="482"/>
      <c r="F10" s="482"/>
      <c r="G10" s="489"/>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82"/>
      <c r="B11" s="482"/>
      <c r="C11" s="482"/>
      <c r="D11" s="482"/>
      <c r="E11" s="482" t="s">
        <v>377</v>
      </c>
      <c r="F11" s="482"/>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82"/>
      <c r="B12" s="482"/>
      <c r="C12" s="472" t="s">
        <v>378</v>
      </c>
      <c r="D12" s="472"/>
      <c r="E12" s="472" t="s">
        <v>54</v>
      </c>
      <c r="F12" s="472"/>
      <c r="G12" s="355" t="s">
        <v>488</v>
      </c>
      <c r="H12" s="311"/>
      <c r="I12" s="310" t="s">
        <v>396</v>
      </c>
      <c r="J12" s="311">
        <v>2012</v>
      </c>
      <c r="K12" s="316"/>
      <c r="L12" s="310" t="s">
        <v>396</v>
      </c>
      <c r="M12" s="311">
        <v>2013</v>
      </c>
      <c r="N12" s="316"/>
      <c r="O12" s="310" t="s">
        <v>396</v>
      </c>
      <c r="P12" s="311">
        <v>2014</v>
      </c>
      <c r="Q12" s="314"/>
      <c r="R12" s="310" t="s">
        <v>396</v>
      </c>
      <c r="S12" s="311">
        <v>2015</v>
      </c>
      <c r="T12" s="316"/>
      <c r="U12" s="310" t="s">
        <v>396</v>
      </c>
      <c r="V12" s="311">
        <v>2016</v>
      </c>
      <c r="W12" s="356"/>
      <c r="X12" s="310" t="s">
        <v>396</v>
      </c>
      <c r="Y12" s="311">
        <v>2017</v>
      </c>
      <c r="Z12" s="314"/>
      <c r="AA12" s="310" t="s">
        <v>396</v>
      </c>
      <c r="AB12" s="311">
        <v>2018</v>
      </c>
      <c r="AC12" s="316"/>
      <c r="AD12" s="310" t="s">
        <v>396</v>
      </c>
      <c r="AE12" s="311">
        <v>2019</v>
      </c>
      <c r="AG12" s="310" t="s">
        <v>396</v>
      </c>
      <c r="AH12" s="311">
        <v>2020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8" t="s">
        <v>489</v>
      </c>
      <c r="B13" s="330" t="s">
        <v>379</v>
      </c>
      <c r="C13" s="357" t="s">
        <v>490</v>
      </c>
      <c r="D13" s="358">
        <f>$AA36</f>
        <v>601400.32000000007</v>
      </c>
      <c r="E13" s="480" t="s">
        <v>491</v>
      </c>
      <c r="F13" s="359">
        <v>0.01</v>
      </c>
      <c r="G13" s="360">
        <f>D13*$F$13</f>
        <v>6014.003200000001</v>
      </c>
      <c r="I13" s="358">
        <f>$AA37</f>
        <v>538723.94000000006</v>
      </c>
      <c r="J13" s="360">
        <f>I13*$F$13</f>
        <v>5387.2394000000004</v>
      </c>
      <c r="L13" s="358">
        <f>$AA38</f>
        <v>663680.18000000005</v>
      </c>
      <c r="M13" s="360">
        <f>L13*$F$13</f>
        <v>6636.8018000000011</v>
      </c>
      <c r="N13" s="362"/>
      <c r="O13" s="358">
        <f>$AA39</f>
        <v>727383.28</v>
      </c>
      <c r="P13" s="360">
        <f>O13*$F$13</f>
        <v>7273.8328000000001</v>
      </c>
      <c r="Q13" s="363"/>
      <c r="R13" s="358">
        <f>$AA40</f>
        <v>633530.4</v>
      </c>
      <c r="S13" s="360">
        <f>R13*$F$13</f>
        <v>6335.3040000000001</v>
      </c>
      <c r="T13" s="314"/>
      <c r="U13" s="358">
        <f>$AA41</f>
        <v>543553.51487660292</v>
      </c>
      <c r="V13" s="360">
        <f>U13*$F$13</f>
        <v>5435.5351487660291</v>
      </c>
      <c r="W13" s="313"/>
      <c r="X13" s="358">
        <f>$AA42</f>
        <v>562034.33438240748</v>
      </c>
      <c r="Y13" s="360">
        <f>X13*$F$13</f>
        <v>5620.3433438240745</v>
      </c>
      <c r="Z13" s="314"/>
      <c r="AA13" s="358">
        <f>$AA43</f>
        <v>581143.50175140926</v>
      </c>
      <c r="AB13" s="360">
        <f>AA13*$F$13</f>
        <v>5811.4350175140926</v>
      </c>
      <c r="AC13" s="314"/>
      <c r="AD13" s="358">
        <f>$AA44</f>
        <v>600902.38081095729</v>
      </c>
      <c r="AE13" s="360">
        <f>AD13*$F$13</f>
        <v>6009.0238081095731</v>
      </c>
      <c r="AF13" s="313"/>
      <c r="AG13" s="358">
        <f>$AA45</f>
        <v>621333.06175852986</v>
      </c>
      <c r="AH13" s="360">
        <f>AG13*$F$13</f>
        <v>6213.3306175852986</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87"/>
      <c r="B14" s="365" t="s">
        <v>380</v>
      </c>
      <c r="C14" s="366" t="s">
        <v>492</v>
      </c>
      <c r="D14" s="367">
        <v>0</v>
      </c>
      <c r="E14" s="488"/>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77" t="s">
        <v>493</v>
      </c>
      <c r="B15" s="369" t="s">
        <v>379</v>
      </c>
      <c r="C15" s="370" t="s">
        <v>490</v>
      </c>
      <c r="D15" s="361">
        <f>$U36</f>
        <v>433136</v>
      </c>
      <c r="E15" s="479" t="s">
        <v>494</v>
      </c>
      <c r="F15" s="371">
        <v>3.0000000000000001E-3</v>
      </c>
      <c r="G15" s="360">
        <f>D15*$F$15</f>
        <v>1299.4080000000001</v>
      </c>
      <c r="I15" s="361">
        <f>$U37</f>
        <v>351796.5</v>
      </c>
      <c r="J15" s="360">
        <f>I15*$F$15</f>
        <v>1055.3895</v>
      </c>
      <c r="L15" s="361">
        <f>$U38</f>
        <v>443129.5</v>
      </c>
      <c r="M15" s="360">
        <f>L15*$F$15</f>
        <v>1329.3885</v>
      </c>
      <c r="N15" s="362"/>
      <c r="O15" s="361">
        <f>$U39</f>
        <v>509795</v>
      </c>
      <c r="P15" s="360">
        <f>O15*$F$15</f>
        <v>1529.385</v>
      </c>
      <c r="Q15" s="363"/>
      <c r="R15" s="361">
        <f>$U40</f>
        <v>430606</v>
      </c>
      <c r="S15" s="360">
        <f>R15*$F$15</f>
        <v>1291.818</v>
      </c>
      <c r="T15" s="314"/>
      <c r="U15" s="361">
        <f>$U41</f>
        <v>543553.51487660292</v>
      </c>
      <c r="V15" s="360">
        <f>U15*$F$15</f>
        <v>1630.6605446298088</v>
      </c>
      <c r="W15" s="313"/>
      <c r="X15" s="361">
        <f>$U42</f>
        <v>562034.33438240748</v>
      </c>
      <c r="Y15" s="360">
        <f>X15*$F$15</f>
        <v>1686.1030031472226</v>
      </c>
      <c r="Z15" s="314"/>
      <c r="AA15" s="361">
        <f>$U43</f>
        <v>581143.50175140926</v>
      </c>
      <c r="AB15" s="360">
        <f>AA15*$F$15</f>
        <v>1743.4305052542279</v>
      </c>
      <c r="AC15" s="314"/>
      <c r="AD15" s="361">
        <f>$U44</f>
        <v>600902.38081095729</v>
      </c>
      <c r="AE15" s="360">
        <f>AD15*$F$15</f>
        <v>1802.7071424328719</v>
      </c>
      <c r="AF15" s="313"/>
      <c r="AG15" s="361">
        <f>$U45</f>
        <v>621333.06175852986</v>
      </c>
      <c r="AH15" s="360">
        <f>AG15*$F$15</f>
        <v>1863.9991852755895</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8"/>
      <c r="B16" s="330" t="s">
        <v>380</v>
      </c>
      <c r="C16" s="357" t="s">
        <v>492</v>
      </c>
      <c r="D16" s="358">
        <v>0</v>
      </c>
      <c r="E16" s="480"/>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81" t="s">
        <v>25</v>
      </c>
      <c r="B17" s="481"/>
      <c r="C17" s="372"/>
      <c r="D17" s="373"/>
      <c r="E17" s="372"/>
      <c r="F17" s="372"/>
      <c r="G17" s="374">
        <f>SUM(G13:G16)</f>
        <v>7313.4112000000014</v>
      </c>
      <c r="I17" s="373"/>
      <c r="J17" s="374">
        <f>SUM(J13:J16)</f>
        <v>6442.6289000000006</v>
      </c>
      <c r="L17" s="373"/>
      <c r="M17" s="374">
        <f>SUM(M13:M16)</f>
        <v>7966.1903000000011</v>
      </c>
      <c r="N17" s="362"/>
      <c r="O17" s="373"/>
      <c r="P17" s="374">
        <f>SUM(P13:P16)</f>
        <v>8803.2178000000004</v>
      </c>
      <c r="Q17" s="363"/>
      <c r="R17" s="373"/>
      <c r="S17" s="374">
        <f>SUM(S13:S16)</f>
        <v>7627.1220000000003</v>
      </c>
      <c r="T17" s="354"/>
      <c r="U17" s="373"/>
      <c r="V17" s="374">
        <f>SUM(V13:V16)</f>
        <v>7066.1956933958381</v>
      </c>
      <c r="W17" s="313"/>
      <c r="X17" s="373"/>
      <c r="Y17" s="374">
        <f>SUM(Y13:Y16)</f>
        <v>7306.4463469712973</v>
      </c>
      <c r="Z17" s="375"/>
      <c r="AA17" s="373"/>
      <c r="AB17" s="374">
        <f>SUM(AB13:AB16)</f>
        <v>7554.8655227683203</v>
      </c>
      <c r="AC17" s="354"/>
      <c r="AD17" s="373"/>
      <c r="AE17" s="374">
        <f>SUM(AE13:AE16)</f>
        <v>7811.7309505424455</v>
      </c>
      <c r="AF17" s="313"/>
      <c r="AG17" s="373"/>
      <c r="AH17" s="374">
        <f>SUM(AH13:AH16)</f>
        <v>8077.3298028608879</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0" t="s">
        <v>507</v>
      </c>
      <c r="G18" s="391">
        <f>G17</f>
        <v>7313.4112000000014</v>
      </c>
      <c r="I18" s="390" t="s">
        <v>507</v>
      </c>
      <c r="J18" s="391">
        <f>J17</f>
        <v>6442.6289000000006</v>
      </c>
      <c r="L18" s="390" t="s">
        <v>507</v>
      </c>
      <c r="M18" s="391">
        <f>M17</f>
        <v>7966.1903000000011</v>
      </c>
      <c r="N18" s="315"/>
      <c r="O18" s="390" t="s">
        <v>507</v>
      </c>
      <c r="P18" s="391">
        <f>P17</f>
        <v>8803.2178000000004</v>
      </c>
      <c r="Q18" s="376"/>
      <c r="R18" s="390" t="s">
        <v>507</v>
      </c>
      <c r="S18" s="391">
        <f>S17</f>
        <v>7627.1220000000003</v>
      </c>
      <c r="T18" s="313"/>
      <c r="U18" s="390" t="s">
        <v>507</v>
      </c>
      <c r="V18" s="391">
        <f>V17</f>
        <v>7066.1956933958381</v>
      </c>
      <c r="W18" s="313"/>
      <c r="X18" s="390" t="s">
        <v>507</v>
      </c>
      <c r="Y18" s="391">
        <f>Y17</f>
        <v>7306.4463469712973</v>
      </c>
      <c r="Z18" s="313"/>
      <c r="AA18" s="390" t="s">
        <v>507</v>
      </c>
      <c r="AB18" s="391">
        <f>AB17</f>
        <v>7554.8655227683203</v>
      </c>
      <c r="AC18" s="313"/>
      <c r="AD18" s="390" t="s">
        <v>507</v>
      </c>
      <c r="AE18" s="391">
        <f>AE17</f>
        <v>7811.7309505424455</v>
      </c>
      <c r="AF18" s="313"/>
      <c r="AG18" s="390" t="s">
        <v>507</v>
      </c>
      <c r="AH18" s="391">
        <f>AH17</f>
        <v>8077.3298028608879</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2">
        <f>G18*44/28</f>
        <v>11492.503314285716</v>
      </c>
      <c r="J19" s="392">
        <f>J18*44/28</f>
        <v>10124.131128571429</v>
      </c>
      <c r="M19" s="392">
        <f>M18*44/28</f>
        <v>12518.299042857145</v>
      </c>
      <c r="N19" s="315"/>
      <c r="P19" s="392">
        <f>P18*44/28</f>
        <v>13833.627971428572</v>
      </c>
      <c r="Q19" s="317"/>
      <c r="S19" s="392">
        <f>S18*44/28</f>
        <v>11985.477428571428</v>
      </c>
      <c r="T19" s="313"/>
      <c r="V19" s="392">
        <f>V18*44/28</f>
        <v>11104.021803907746</v>
      </c>
      <c r="W19" s="313"/>
      <c r="Y19" s="392">
        <f>Y18*44/28</f>
        <v>11481.55854524061</v>
      </c>
      <c r="Z19" s="313"/>
      <c r="AB19" s="392">
        <f>AB18*44/28</f>
        <v>11871.931535778789</v>
      </c>
      <c r="AC19" s="313"/>
      <c r="AE19" s="392">
        <f>AE18*44/28</f>
        <v>12275.577207995271</v>
      </c>
      <c r="AF19" s="313"/>
      <c r="AH19" s="392">
        <f>AH18*44/28</f>
        <v>12692.94683306711</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6" t="s">
        <v>386</v>
      </c>
      <c r="B25" s="476"/>
      <c r="C25" s="474" t="s">
        <v>387</v>
      </c>
      <c r="D25" s="475"/>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71" t="s">
        <v>495</v>
      </c>
      <c r="C34" s="471"/>
      <c r="D34" s="471"/>
      <c r="E34" s="471"/>
      <c r="F34" s="471"/>
      <c r="G34" s="471"/>
      <c r="H34" s="468" t="s">
        <v>496</v>
      </c>
      <c r="I34" s="469"/>
      <c r="J34" s="469"/>
      <c r="K34" s="469"/>
      <c r="L34" s="469"/>
      <c r="M34" s="470"/>
      <c r="N34" s="473" t="s">
        <v>497</v>
      </c>
      <c r="O34" s="473"/>
      <c r="P34" s="473"/>
      <c r="Q34" s="473"/>
      <c r="R34" s="473"/>
      <c r="S34" s="473"/>
      <c r="T34" s="473"/>
      <c r="U34" s="491" t="s">
        <v>499</v>
      </c>
      <c r="V34" s="491"/>
      <c r="W34" s="491"/>
      <c r="X34" s="491"/>
      <c r="Y34" s="491"/>
      <c r="Z34" s="491"/>
      <c r="AA34" s="491"/>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2" t="s">
        <v>406</v>
      </c>
      <c r="V35" s="382" t="s">
        <v>407</v>
      </c>
      <c r="W35" s="382" t="s">
        <v>390</v>
      </c>
      <c r="X35" s="383" t="s">
        <v>391</v>
      </c>
      <c r="Y35" s="384" t="s">
        <v>392</v>
      </c>
      <c r="Z35" s="382" t="s">
        <v>393</v>
      </c>
      <c r="AA35" s="335" t="s">
        <v>500</v>
      </c>
      <c r="AJ35" s="311" t="s">
        <v>423</v>
      </c>
      <c r="AK35" s="311" t="s">
        <v>270</v>
      </c>
    </row>
    <row r="36" spans="1:38" ht="15" x14ac:dyDescent="0.25">
      <c r="A36" s="377">
        <f>'Lahan sawah'!B11</f>
        <v>2011</v>
      </c>
      <c r="B36" s="401">
        <f>[1]Samarinda!$B16</f>
        <v>3424</v>
      </c>
      <c r="C36" s="406">
        <f>[1]Samarinda!$G16</f>
        <v>23</v>
      </c>
      <c r="D36" s="378">
        <f t="shared" ref="D36:D45" si="0">B36+C36</f>
        <v>3447</v>
      </c>
      <c r="E36" s="338">
        <f>D60</f>
        <v>227</v>
      </c>
      <c r="F36" s="339"/>
      <c r="G36" s="407">
        <f>[2]SAMARINDA!F17</f>
        <v>1136</v>
      </c>
      <c r="H36" s="340">
        <v>275</v>
      </c>
      <c r="I36" s="340"/>
      <c r="J36" s="340"/>
      <c r="K36" s="340"/>
      <c r="L36" s="340"/>
      <c r="M36" s="340">
        <v>322</v>
      </c>
      <c r="N36" s="341">
        <f t="shared" ref="N36:S36" si="1">H36*B36</f>
        <v>941600</v>
      </c>
      <c r="O36" s="341">
        <f t="shared" si="1"/>
        <v>0</v>
      </c>
      <c r="P36" s="341">
        <f t="shared" si="1"/>
        <v>0</v>
      </c>
      <c r="Q36" s="341">
        <f t="shared" si="1"/>
        <v>0</v>
      </c>
      <c r="R36" s="341">
        <f t="shared" si="1"/>
        <v>0</v>
      </c>
      <c r="S36" s="341">
        <f t="shared" si="1"/>
        <v>365792</v>
      </c>
      <c r="T36" s="381">
        <f>SUM(N36:S36)</f>
        <v>1307392</v>
      </c>
      <c r="U36" s="386">
        <f>N36*46%</f>
        <v>433136</v>
      </c>
      <c r="V36" s="386">
        <f t="shared" ref="V36:Z46" si="2">O36*46%</f>
        <v>0</v>
      </c>
      <c r="W36" s="386">
        <f t="shared" si="2"/>
        <v>0</v>
      </c>
      <c r="X36" s="386">
        <f t="shared" si="2"/>
        <v>0</v>
      </c>
      <c r="Y36" s="386">
        <f t="shared" si="2"/>
        <v>0</v>
      </c>
      <c r="Z36" s="386">
        <f t="shared" si="2"/>
        <v>168264.32000000001</v>
      </c>
      <c r="AA36" s="387">
        <f>T36*46%</f>
        <v>601400.32000000007</v>
      </c>
      <c r="AJ36" s="311">
        <v>8700</v>
      </c>
      <c r="AL36" s="342">
        <f t="shared" ref="AL36:AL46" si="3">W36+X36+Y36</f>
        <v>0</v>
      </c>
    </row>
    <row r="37" spans="1:38" ht="15" x14ac:dyDescent="0.25">
      <c r="A37" s="377">
        <f>'Lahan sawah'!B12</f>
        <v>2012</v>
      </c>
      <c r="B37" s="401">
        <f>[1]Samarinda!$B17</f>
        <v>2781</v>
      </c>
      <c r="C37" s="406">
        <f>[1]Samarinda!$G17</f>
        <v>0</v>
      </c>
      <c r="D37" s="378">
        <f t="shared" si="0"/>
        <v>2781</v>
      </c>
      <c r="E37" s="338">
        <f>E60</f>
        <v>154</v>
      </c>
      <c r="F37" s="339"/>
      <c r="G37" s="407">
        <f>[2]SAMARINDA!F18</f>
        <v>1262</v>
      </c>
      <c r="H37" s="340">
        <v>275</v>
      </c>
      <c r="I37" s="340"/>
      <c r="J37" s="340"/>
      <c r="K37" s="340"/>
      <c r="L37" s="340"/>
      <c r="M37" s="340">
        <v>322</v>
      </c>
      <c r="N37" s="341">
        <f t="shared" ref="N37:N46" si="4">H37*B37</f>
        <v>764775</v>
      </c>
      <c r="O37" s="341">
        <f t="shared" ref="O37:P43" si="5">I37*C37</f>
        <v>0</v>
      </c>
      <c r="P37" s="343">
        <f t="shared" si="5"/>
        <v>0</v>
      </c>
      <c r="Q37" s="341">
        <f t="shared" ref="Q37:Q46" si="6">K37*E37</f>
        <v>0</v>
      </c>
      <c r="R37" s="341">
        <f t="shared" ref="R37:S46" si="7">L37*F37</f>
        <v>0</v>
      </c>
      <c r="S37" s="341">
        <f t="shared" si="7"/>
        <v>406364</v>
      </c>
      <c r="T37" s="381">
        <f t="shared" ref="T37:T46" si="8">SUM(N37:S37)</f>
        <v>1171139</v>
      </c>
      <c r="U37" s="386">
        <f t="shared" ref="U37:U46" si="9">N37*46%</f>
        <v>351796.5</v>
      </c>
      <c r="V37" s="386">
        <f t="shared" si="2"/>
        <v>0</v>
      </c>
      <c r="W37" s="386">
        <f t="shared" si="2"/>
        <v>0</v>
      </c>
      <c r="X37" s="386">
        <f t="shared" si="2"/>
        <v>0</v>
      </c>
      <c r="Y37" s="386">
        <f t="shared" si="2"/>
        <v>0</v>
      </c>
      <c r="Z37" s="386">
        <f t="shared" si="2"/>
        <v>186927.44</v>
      </c>
      <c r="AA37" s="387">
        <f t="shared" ref="AA37:AA46" si="10">T37*46%</f>
        <v>538723.94000000006</v>
      </c>
      <c r="AJ37" s="311">
        <v>8700</v>
      </c>
      <c r="AL37" s="342">
        <f t="shared" si="3"/>
        <v>0</v>
      </c>
    </row>
    <row r="38" spans="1:38" ht="15" x14ac:dyDescent="0.25">
      <c r="A38" s="377">
        <f>'Lahan sawah'!B13</f>
        <v>2013</v>
      </c>
      <c r="B38" s="401">
        <f>[1]Samarinda!$B18</f>
        <v>3503</v>
      </c>
      <c r="C38" s="406">
        <f>[1]Samarinda!$G18</f>
        <v>190</v>
      </c>
      <c r="D38" s="378">
        <f t="shared" si="0"/>
        <v>3693</v>
      </c>
      <c r="E38" s="338">
        <f>F60</f>
        <v>222</v>
      </c>
      <c r="F38" s="339"/>
      <c r="G38" s="407">
        <f>[2]SAMARINDA!F19</f>
        <v>1489</v>
      </c>
      <c r="H38" s="340">
        <v>275</v>
      </c>
      <c r="I38" s="340"/>
      <c r="J38" s="340"/>
      <c r="K38" s="340"/>
      <c r="L38" s="340"/>
      <c r="M38" s="340">
        <v>322</v>
      </c>
      <c r="N38" s="341">
        <f t="shared" si="4"/>
        <v>963325</v>
      </c>
      <c r="O38" s="341">
        <f t="shared" si="5"/>
        <v>0</v>
      </c>
      <c r="P38" s="343">
        <f t="shared" si="5"/>
        <v>0</v>
      </c>
      <c r="Q38" s="341">
        <f t="shared" si="6"/>
        <v>0</v>
      </c>
      <c r="R38" s="341">
        <f t="shared" si="7"/>
        <v>0</v>
      </c>
      <c r="S38" s="341">
        <f t="shared" si="7"/>
        <v>479458</v>
      </c>
      <c r="T38" s="381">
        <f t="shared" si="8"/>
        <v>1442783</v>
      </c>
      <c r="U38" s="386">
        <f t="shared" si="9"/>
        <v>443129.5</v>
      </c>
      <c r="V38" s="386">
        <f t="shared" si="2"/>
        <v>0</v>
      </c>
      <c r="W38" s="386">
        <f t="shared" si="2"/>
        <v>0</v>
      </c>
      <c r="X38" s="386">
        <f t="shared" si="2"/>
        <v>0</v>
      </c>
      <c r="Y38" s="386">
        <f t="shared" si="2"/>
        <v>0</v>
      </c>
      <c r="Z38" s="386">
        <f t="shared" si="2"/>
        <v>220550.68000000002</v>
      </c>
      <c r="AA38" s="387">
        <f t="shared" si="10"/>
        <v>663680.18000000005</v>
      </c>
      <c r="AJ38" s="311">
        <v>8700</v>
      </c>
      <c r="AL38" s="342">
        <f t="shared" si="3"/>
        <v>0</v>
      </c>
    </row>
    <row r="39" spans="1:38" ht="15" x14ac:dyDescent="0.25">
      <c r="A39" s="377">
        <f>'Lahan sawah'!B14</f>
        <v>2014</v>
      </c>
      <c r="B39" s="401">
        <f>[1]Samarinda!$B19</f>
        <v>4030</v>
      </c>
      <c r="C39" s="406">
        <f>[1]Samarinda!$G19</f>
        <v>120</v>
      </c>
      <c r="D39" s="378">
        <f t="shared" si="0"/>
        <v>4150</v>
      </c>
      <c r="E39" s="338">
        <f>G60</f>
        <v>154</v>
      </c>
      <c r="F39" s="339"/>
      <c r="G39" s="407">
        <f>[2]SAMARINDA!F20</f>
        <v>1469</v>
      </c>
      <c r="H39" s="340">
        <v>275</v>
      </c>
      <c r="I39" s="340"/>
      <c r="J39" s="340"/>
      <c r="K39" s="340"/>
      <c r="L39" s="340"/>
      <c r="M39" s="340">
        <v>322</v>
      </c>
      <c r="N39" s="341">
        <f t="shared" si="4"/>
        <v>1108250</v>
      </c>
      <c r="O39" s="341">
        <f t="shared" si="5"/>
        <v>0</v>
      </c>
      <c r="P39" s="343">
        <f t="shared" si="5"/>
        <v>0</v>
      </c>
      <c r="Q39" s="341">
        <f t="shared" si="6"/>
        <v>0</v>
      </c>
      <c r="R39" s="341">
        <f t="shared" si="7"/>
        <v>0</v>
      </c>
      <c r="S39" s="341">
        <f t="shared" si="7"/>
        <v>473018</v>
      </c>
      <c r="T39" s="381">
        <f t="shared" si="8"/>
        <v>1581268</v>
      </c>
      <c r="U39" s="386">
        <f t="shared" si="9"/>
        <v>509795</v>
      </c>
      <c r="V39" s="386">
        <f t="shared" si="2"/>
        <v>0</v>
      </c>
      <c r="W39" s="386">
        <f t="shared" si="2"/>
        <v>0</v>
      </c>
      <c r="X39" s="386">
        <f t="shared" si="2"/>
        <v>0</v>
      </c>
      <c r="Y39" s="386">
        <f t="shared" si="2"/>
        <v>0</v>
      </c>
      <c r="Z39" s="386">
        <f t="shared" si="2"/>
        <v>217588.28</v>
      </c>
      <c r="AA39" s="387">
        <f t="shared" si="10"/>
        <v>727383.28</v>
      </c>
      <c r="AJ39" s="311">
        <v>8700</v>
      </c>
      <c r="AL39" s="342">
        <f t="shared" si="3"/>
        <v>0</v>
      </c>
    </row>
    <row r="40" spans="1:38" ht="15" x14ac:dyDescent="0.25">
      <c r="A40" s="377">
        <f>'Lahan sawah'!B15</f>
        <v>2015</v>
      </c>
      <c r="B40" s="401">
        <f>[1]Samarinda!$B20</f>
        <v>3404</v>
      </c>
      <c r="C40" s="406">
        <f>[1]Samarinda!$G20</f>
        <v>104</v>
      </c>
      <c r="D40" s="378">
        <f t="shared" si="0"/>
        <v>3508</v>
      </c>
      <c r="E40" s="338">
        <f>H60</f>
        <v>168</v>
      </c>
      <c r="F40" s="339"/>
      <c r="G40" s="407">
        <f>[2]SAMARINDA!F21</f>
        <v>1370</v>
      </c>
      <c r="H40" s="340">
        <v>275</v>
      </c>
      <c r="I40" s="340"/>
      <c r="J40" s="340"/>
      <c r="K40" s="340"/>
      <c r="L40" s="340"/>
      <c r="M40" s="340">
        <v>322</v>
      </c>
      <c r="N40" s="341">
        <f t="shared" si="4"/>
        <v>936100</v>
      </c>
      <c r="O40" s="341">
        <f t="shared" si="5"/>
        <v>0</v>
      </c>
      <c r="P40" s="343">
        <f t="shared" si="5"/>
        <v>0</v>
      </c>
      <c r="Q40" s="341">
        <f t="shared" si="6"/>
        <v>0</v>
      </c>
      <c r="R40" s="341">
        <f t="shared" si="7"/>
        <v>0</v>
      </c>
      <c r="S40" s="341">
        <f t="shared" si="7"/>
        <v>441140</v>
      </c>
      <c r="T40" s="381">
        <f t="shared" si="8"/>
        <v>1377240</v>
      </c>
      <c r="U40" s="386">
        <f t="shared" si="9"/>
        <v>430606</v>
      </c>
      <c r="V40" s="386">
        <f t="shared" si="2"/>
        <v>0</v>
      </c>
      <c r="W40" s="386">
        <f t="shared" si="2"/>
        <v>0</v>
      </c>
      <c r="X40" s="386">
        <f t="shared" si="2"/>
        <v>0</v>
      </c>
      <c r="Y40" s="386">
        <f t="shared" si="2"/>
        <v>0</v>
      </c>
      <c r="Z40" s="386">
        <f t="shared" si="2"/>
        <v>202924.40000000002</v>
      </c>
      <c r="AA40" s="387">
        <f t="shared" si="10"/>
        <v>633530.4</v>
      </c>
      <c r="AJ40" s="311">
        <v>8700</v>
      </c>
      <c r="AL40" s="342">
        <f t="shared" si="3"/>
        <v>0</v>
      </c>
    </row>
    <row r="41" spans="1:38" ht="15" x14ac:dyDescent="0.25">
      <c r="A41" s="377">
        <f>'Lahan sawah'!B16</f>
        <v>2016</v>
      </c>
      <c r="B41" s="401">
        <f>[1]Samarinda!$B21</f>
        <v>4296.865730249825</v>
      </c>
      <c r="C41" s="406">
        <f>[1]Samarinda!$G21</f>
        <v>140.30331375017636</v>
      </c>
      <c r="D41" s="378">
        <f t="shared" si="0"/>
        <v>4437.1690440000011</v>
      </c>
      <c r="E41" s="338">
        <f>I60</f>
        <v>0</v>
      </c>
      <c r="F41" s="339"/>
      <c r="G41" s="407">
        <f>[2]SAMARINDA!F22</f>
        <v>1370</v>
      </c>
      <c r="H41" s="340">
        <v>275</v>
      </c>
      <c r="I41" s="340"/>
      <c r="J41" s="340"/>
      <c r="K41" s="340"/>
      <c r="L41" s="340"/>
      <c r="M41" s="340">
        <v>0</v>
      </c>
      <c r="N41" s="341">
        <f t="shared" si="4"/>
        <v>1181638.0758187019</v>
      </c>
      <c r="O41" s="341">
        <f t="shared" si="5"/>
        <v>0</v>
      </c>
      <c r="P41" s="341">
        <f t="shared" si="5"/>
        <v>0</v>
      </c>
      <c r="Q41" s="341">
        <f t="shared" si="6"/>
        <v>0</v>
      </c>
      <c r="R41" s="341">
        <f t="shared" si="7"/>
        <v>0</v>
      </c>
      <c r="S41" s="341">
        <f t="shared" si="7"/>
        <v>0</v>
      </c>
      <c r="T41" s="381">
        <f t="shared" si="8"/>
        <v>1181638.0758187019</v>
      </c>
      <c r="U41" s="386">
        <f t="shared" si="9"/>
        <v>543553.51487660292</v>
      </c>
      <c r="V41" s="386">
        <f t="shared" si="2"/>
        <v>0</v>
      </c>
      <c r="W41" s="386">
        <f t="shared" si="2"/>
        <v>0</v>
      </c>
      <c r="X41" s="386">
        <f t="shared" si="2"/>
        <v>0</v>
      </c>
      <c r="Y41" s="386">
        <f t="shared" si="2"/>
        <v>0</v>
      </c>
      <c r="Z41" s="386">
        <f t="shared" si="2"/>
        <v>0</v>
      </c>
      <c r="AA41" s="387">
        <f t="shared" si="10"/>
        <v>543553.51487660292</v>
      </c>
      <c r="AJ41" s="311">
        <v>8700</v>
      </c>
      <c r="AL41" s="342">
        <f t="shared" si="3"/>
        <v>0</v>
      </c>
    </row>
    <row r="42" spans="1:38" ht="15" x14ac:dyDescent="0.25">
      <c r="A42" s="377">
        <f>'Lahan sawah'!B17</f>
        <v>2017</v>
      </c>
      <c r="B42" s="401">
        <f>[1]Samarinda!$B22</f>
        <v>4442.9591650783195</v>
      </c>
      <c r="C42" s="406">
        <f>[1]Samarinda!$G22</f>
        <v>145.07362641768239</v>
      </c>
      <c r="D42" s="378">
        <f t="shared" si="0"/>
        <v>4588.0327914960017</v>
      </c>
      <c r="E42" s="338">
        <f>J60</f>
        <v>0</v>
      </c>
      <c r="F42" s="339"/>
      <c r="G42" s="407">
        <f>[2]SAMARINDA!F23</f>
        <v>1730.31</v>
      </c>
      <c r="H42" s="340">
        <v>275</v>
      </c>
      <c r="I42" s="340"/>
      <c r="J42" s="340"/>
      <c r="K42" s="340"/>
      <c r="L42" s="340"/>
      <c r="M42" s="340">
        <v>0</v>
      </c>
      <c r="N42" s="341">
        <f t="shared" si="4"/>
        <v>1221813.7703965378</v>
      </c>
      <c r="O42" s="341">
        <f t="shared" si="5"/>
        <v>0</v>
      </c>
      <c r="P42" s="341">
        <f t="shared" si="5"/>
        <v>0</v>
      </c>
      <c r="Q42" s="341">
        <f t="shared" si="6"/>
        <v>0</v>
      </c>
      <c r="R42" s="341">
        <f t="shared" si="7"/>
        <v>0</v>
      </c>
      <c r="S42" s="341">
        <f t="shared" si="7"/>
        <v>0</v>
      </c>
      <c r="T42" s="381">
        <f t="shared" si="8"/>
        <v>1221813.7703965378</v>
      </c>
      <c r="U42" s="386">
        <f t="shared" si="9"/>
        <v>562034.33438240748</v>
      </c>
      <c r="V42" s="386">
        <f t="shared" si="2"/>
        <v>0</v>
      </c>
      <c r="W42" s="386">
        <f t="shared" si="2"/>
        <v>0</v>
      </c>
      <c r="X42" s="386">
        <f t="shared" si="2"/>
        <v>0</v>
      </c>
      <c r="Y42" s="386">
        <f t="shared" si="2"/>
        <v>0</v>
      </c>
      <c r="Z42" s="386">
        <f t="shared" si="2"/>
        <v>0</v>
      </c>
      <c r="AA42" s="387">
        <f t="shared" si="10"/>
        <v>562034.33438240748</v>
      </c>
      <c r="AJ42" s="311">
        <v>8700</v>
      </c>
      <c r="AL42" s="342">
        <f t="shared" si="3"/>
        <v>0</v>
      </c>
    </row>
    <row r="43" spans="1:38" ht="15" x14ac:dyDescent="0.25">
      <c r="A43" s="377">
        <f>'Lahan sawah'!B18</f>
        <v>2018</v>
      </c>
      <c r="B43" s="401">
        <f>[1]Samarinda!$B23</f>
        <v>4594.0197766909823</v>
      </c>
      <c r="C43" s="406">
        <f>[1]Samarinda!$G23</f>
        <v>150.00612971588359</v>
      </c>
      <c r="D43" s="378">
        <f t="shared" si="0"/>
        <v>4744.0259064068659</v>
      </c>
      <c r="E43" s="338">
        <f>K60</f>
        <v>0</v>
      </c>
      <c r="F43" s="339">
        <f>D64</f>
        <v>0</v>
      </c>
      <c r="G43" s="407">
        <f>[2]SAMARINDA!F24</f>
        <v>2185.3815299999997</v>
      </c>
      <c r="H43" s="340">
        <v>275</v>
      </c>
      <c r="I43" s="340"/>
      <c r="J43" s="340"/>
      <c r="K43" s="340"/>
      <c r="L43" s="340"/>
      <c r="M43" s="340">
        <v>0</v>
      </c>
      <c r="N43" s="341">
        <f>H43*B43</f>
        <v>1263355.4385900202</v>
      </c>
      <c r="O43" s="341">
        <f t="shared" si="5"/>
        <v>0</v>
      </c>
      <c r="P43" s="341">
        <f t="shared" si="5"/>
        <v>0</v>
      </c>
      <c r="Q43" s="341">
        <f t="shared" si="6"/>
        <v>0</v>
      </c>
      <c r="R43" s="341">
        <f t="shared" si="7"/>
        <v>0</v>
      </c>
      <c r="S43" s="341">
        <f t="shared" si="7"/>
        <v>0</v>
      </c>
      <c r="T43" s="381">
        <f t="shared" si="8"/>
        <v>1263355.4385900202</v>
      </c>
      <c r="U43" s="386">
        <f t="shared" si="9"/>
        <v>581143.50175140926</v>
      </c>
      <c r="V43" s="386">
        <f t="shared" si="2"/>
        <v>0</v>
      </c>
      <c r="W43" s="386">
        <f t="shared" si="2"/>
        <v>0</v>
      </c>
      <c r="X43" s="386">
        <f t="shared" si="2"/>
        <v>0</v>
      </c>
      <c r="Y43" s="386">
        <f t="shared" si="2"/>
        <v>0</v>
      </c>
      <c r="Z43" s="386">
        <f t="shared" si="2"/>
        <v>0</v>
      </c>
      <c r="AA43" s="387">
        <f t="shared" si="10"/>
        <v>581143.50175140926</v>
      </c>
      <c r="AJ43" s="311">
        <v>8700</v>
      </c>
      <c r="AK43" s="344" t="e">
        <f>((46/100)*AJ43)+((21/100)*#REF!)+((15/100)*#REF!)</f>
        <v>#REF!</v>
      </c>
      <c r="AL43" s="342">
        <f t="shared" si="3"/>
        <v>0</v>
      </c>
    </row>
    <row r="44" spans="1:38" ht="15" x14ac:dyDescent="0.25">
      <c r="A44" s="377">
        <f>'Lahan sawah'!B19</f>
        <v>2019</v>
      </c>
      <c r="B44" s="401">
        <f>[1]Samarinda!$B24</f>
        <v>4750.216449098476</v>
      </c>
      <c r="C44" s="406">
        <f>[1]Samarinda!$G24</f>
        <v>155.10633812622365</v>
      </c>
      <c r="D44" s="378">
        <f t="shared" si="0"/>
        <v>4905.3227872246998</v>
      </c>
      <c r="E44" s="338">
        <f>L60</f>
        <v>0</v>
      </c>
      <c r="F44" s="338">
        <f>E64</f>
        <v>0</v>
      </c>
      <c r="G44" s="407">
        <f>[2]SAMARINDA!F25</f>
        <v>2760.1368723899996</v>
      </c>
      <c r="H44" s="340">
        <v>275</v>
      </c>
      <c r="I44" s="340"/>
      <c r="J44" s="340"/>
      <c r="K44" s="340"/>
      <c r="L44" s="340"/>
      <c r="M44" s="340">
        <v>0</v>
      </c>
      <c r="N44" s="341">
        <f t="shared" si="4"/>
        <v>1306309.5235020809</v>
      </c>
      <c r="O44" s="341">
        <f>I44*C44</f>
        <v>0</v>
      </c>
      <c r="P44" s="341">
        <f t="shared" ref="P44:P46" si="11">J44*D44</f>
        <v>0</v>
      </c>
      <c r="Q44" s="341">
        <f t="shared" si="6"/>
        <v>0</v>
      </c>
      <c r="R44" s="341">
        <f t="shared" si="7"/>
        <v>0</v>
      </c>
      <c r="S44" s="341">
        <f t="shared" si="7"/>
        <v>0</v>
      </c>
      <c r="T44" s="381">
        <f t="shared" si="8"/>
        <v>1306309.5235020809</v>
      </c>
      <c r="U44" s="386">
        <f t="shared" si="9"/>
        <v>600902.38081095729</v>
      </c>
      <c r="V44" s="386">
        <f t="shared" si="2"/>
        <v>0</v>
      </c>
      <c r="W44" s="386">
        <f t="shared" si="2"/>
        <v>0</v>
      </c>
      <c r="X44" s="386">
        <f t="shared" si="2"/>
        <v>0</v>
      </c>
      <c r="Y44" s="386">
        <f t="shared" si="2"/>
        <v>0</v>
      </c>
      <c r="Z44" s="386">
        <f t="shared" si="2"/>
        <v>0</v>
      </c>
      <c r="AA44" s="387">
        <f t="shared" si="10"/>
        <v>600902.38081095729</v>
      </c>
      <c r="AJ44" s="311">
        <v>8700</v>
      </c>
      <c r="AK44" s="344" t="e">
        <f>((46/100)*AJ44)+((21/100)*#REF!)+((15/100)*#REF!)</f>
        <v>#REF!</v>
      </c>
      <c r="AL44" s="342">
        <f t="shared" si="3"/>
        <v>0</v>
      </c>
    </row>
    <row r="45" spans="1:38" ht="15" x14ac:dyDescent="0.25">
      <c r="A45" s="377">
        <f>'Lahan sawah'!B20</f>
        <v>2020</v>
      </c>
      <c r="B45" s="401">
        <f>[1]Samarinda!$B25</f>
        <v>4911.7238083678249</v>
      </c>
      <c r="C45" s="406">
        <f>[1]Samarinda!$G25</f>
        <v>160.37995362251527</v>
      </c>
      <c r="D45" s="378">
        <f t="shared" si="0"/>
        <v>5072.10376199034</v>
      </c>
      <c r="E45" s="338">
        <f>M60</f>
        <v>0</v>
      </c>
      <c r="F45" s="338">
        <f>F64</f>
        <v>0</v>
      </c>
      <c r="G45" s="407">
        <f>[2]SAMARINDA!F26</f>
        <v>3486.0528698285693</v>
      </c>
      <c r="H45" s="340">
        <v>275</v>
      </c>
      <c r="I45" s="340"/>
      <c r="J45" s="340"/>
      <c r="K45" s="340"/>
      <c r="L45" s="340"/>
      <c r="M45" s="340">
        <v>0</v>
      </c>
      <c r="N45" s="341">
        <f t="shared" si="4"/>
        <v>1350724.0473011518</v>
      </c>
      <c r="O45" s="341">
        <f>I45*C45</f>
        <v>0</v>
      </c>
      <c r="P45" s="341">
        <f t="shared" si="11"/>
        <v>0</v>
      </c>
      <c r="Q45" s="341">
        <f t="shared" si="6"/>
        <v>0</v>
      </c>
      <c r="R45" s="341">
        <f t="shared" si="7"/>
        <v>0</v>
      </c>
      <c r="S45" s="341">
        <f t="shared" si="7"/>
        <v>0</v>
      </c>
      <c r="T45" s="381">
        <f t="shared" si="8"/>
        <v>1350724.0473011518</v>
      </c>
      <c r="U45" s="386">
        <f t="shared" si="9"/>
        <v>621333.06175852986</v>
      </c>
      <c r="V45" s="386">
        <f t="shared" si="2"/>
        <v>0</v>
      </c>
      <c r="W45" s="386">
        <f t="shared" si="2"/>
        <v>0</v>
      </c>
      <c r="X45" s="386">
        <f t="shared" si="2"/>
        <v>0</v>
      </c>
      <c r="Y45" s="386">
        <f t="shared" si="2"/>
        <v>0</v>
      </c>
      <c r="Z45" s="386">
        <f t="shared" si="2"/>
        <v>0</v>
      </c>
      <c r="AA45" s="387">
        <f t="shared" si="10"/>
        <v>621333.06175852986</v>
      </c>
      <c r="AJ45" s="311">
        <v>8700</v>
      </c>
      <c r="AK45" s="344" t="e">
        <f>((46/100)*AJ45)+((21/100)*#REF!)+((15/100)*#REF!)</f>
        <v>#REF!</v>
      </c>
      <c r="AL45" s="342">
        <f t="shared" si="3"/>
        <v>0</v>
      </c>
    </row>
    <row r="46" spans="1:38" x14ac:dyDescent="0.2">
      <c r="A46" s="377">
        <f>'Lahan sawah'!B21</f>
        <v>2021</v>
      </c>
      <c r="B46" s="402"/>
      <c r="C46" s="402"/>
      <c r="D46" s="379">
        <f t="shared" ref="D46" si="12">B46+C46</f>
        <v>0</v>
      </c>
      <c r="E46" s="345"/>
      <c r="F46" s="338">
        <f>G64</f>
        <v>0</v>
      </c>
      <c r="G46" s="408"/>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1">
        <f t="shared" si="8"/>
        <v>0</v>
      </c>
      <c r="U46" s="386">
        <f t="shared" si="9"/>
        <v>0</v>
      </c>
      <c r="V46" s="386">
        <f t="shared" si="2"/>
        <v>0</v>
      </c>
      <c r="W46" s="386">
        <f t="shared" si="2"/>
        <v>0</v>
      </c>
      <c r="X46" s="386">
        <f t="shared" si="2"/>
        <v>0</v>
      </c>
      <c r="Y46" s="386">
        <f t="shared" si="2"/>
        <v>0</v>
      </c>
      <c r="Z46" s="386">
        <f t="shared" si="2"/>
        <v>0</v>
      </c>
      <c r="AA46" s="387">
        <f t="shared" si="10"/>
        <v>0</v>
      </c>
      <c r="AJ46" s="311">
        <v>8700</v>
      </c>
      <c r="AK46" s="344" t="e">
        <f>((46/100)*AJ46)+((21/100)*#REF!)+((15/100)*#REF!)</f>
        <v>#REF!</v>
      </c>
      <c r="AL46" s="342">
        <f t="shared" si="3"/>
        <v>0</v>
      </c>
    </row>
    <row r="47" spans="1:38" x14ac:dyDescent="0.25">
      <c r="A47" s="377">
        <f>'Lahan sawah'!B22</f>
        <v>0</v>
      </c>
      <c r="B47" s="346"/>
      <c r="C47" s="346"/>
      <c r="D47" s="347"/>
      <c r="E47" s="346"/>
      <c r="F47" s="346"/>
      <c r="G47" s="346"/>
      <c r="H47" s="340"/>
      <c r="I47" s="340"/>
      <c r="J47" s="340"/>
      <c r="K47" s="340"/>
      <c r="L47" s="340"/>
      <c r="M47" s="340"/>
      <c r="N47" s="337"/>
      <c r="O47" s="337"/>
      <c r="P47" s="337"/>
      <c r="Q47" s="337"/>
      <c r="R47" s="337"/>
      <c r="S47" s="337"/>
      <c r="T47" s="337"/>
      <c r="U47" s="385"/>
      <c r="V47" s="385"/>
      <c r="W47" s="385"/>
      <c r="X47" s="385"/>
      <c r="Y47" s="385"/>
      <c r="Z47" s="385"/>
      <c r="AA47" s="385"/>
    </row>
    <row r="48" spans="1:38" x14ac:dyDescent="0.25">
      <c r="A48" s="377">
        <f>'Lahan sawah'!B23</f>
        <v>0</v>
      </c>
      <c r="B48" s="346"/>
      <c r="C48" s="346"/>
      <c r="D48" s="347"/>
      <c r="E48" s="346"/>
      <c r="F48" s="346"/>
      <c r="G48" s="346"/>
      <c r="H48" s="340"/>
      <c r="I48" s="340"/>
      <c r="J48" s="340"/>
      <c r="K48" s="340"/>
      <c r="L48" s="340"/>
      <c r="M48" s="340"/>
      <c r="N48" s="337"/>
      <c r="O48" s="337"/>
      <c r="P48" s="337"/>
      <c r="Q48" s="337"/>
      <c r="R48" s="337"/>
      <c r="S48" s="337"/>
      <c r="T48" s="337"/>
      <c r="U48" s="385"/>
      <c r="V48" s="385"/>
      <c r="W48" s="385"/>
      <c r="X48" s="385"/>
      <c r="Y48" s="385"/>
      <c r="Z48" s="385"/>
      <c r="AA48" s="385"/>
    </row>
    <row r="49" spans="1:27" x14ac:dyDescent="0.25">
      <c r="A49" s="377">
        <f>'Lahan sawah'!B24</f>
        <v>0</v>
      </c>
      <c r="B49" s="346"/>
      <c r="C49" s="346"/>
      <c r="D49" s="347"/>
      <c r="E49" s="346"/>
      <c r="F49" s="346"/>
      <c r="G49" s="346"/>
      <c r="H49" s="340"/>
      <c r="I49" s="340"/>
      <c r="J49" s="340"/>
      <c r="K49" s="340"/>
      <c r="L49" s="340"/>
      <c r="M49" s="340"/>
      <c r="N49" s="337"/>
      <c r="O49" s="337"/>
      <c r="P49" s="337"/>
      <c r="Q49" s="337"/>
      <c r="R49" s="337"/>
      <c r="S49" s="337"/>
      <c r="T49" s="337"/>
      <c r="U49" s="385"/>
      <c r="V49" s="385"/>
      <c r="W49" s="385"/>
      <c r="X49" s="385"/>
      <c r="Y49" s="385"/>
      <c r="Z49" s="385"/>
      <c r="AA49" s="385"/>
    </row>
    <row r="51" spans="1:27" ht="15" customHeight="1" x14ac:dyDescent="0.25">
      <c r="C51" s="346"/>
      <c r="D51" s="471" t="s">
        <v>410</v>
      </c>
      <c r="E51" s="471"/>
      <c r="F51" s="471"/>
      <c r="G51" s="471"/>
      <c r="H51" s="471"/>
      <c r="I51" s="471"/>
      <c r="J51" s="471"/>
      <c r="K51" s="471"/>
      <c r="L51" s="471"/>
      <c r="M51" s="471"/>
    </row>
    <row r="52" spans="1:27" x14ac:dyDescent="0.25">
      <c r="A52" s="380"/>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1" t="s">
        <v>422</v>
      </c>
    </row>
    <row r="53" spans="1:27" ht="15" x14ac:dyDescent="0.25">
      <c r="A53" s="380"/>
      <c r="C53" s="346" t="s">
        <v>408</v>
      </c>
      <c r="D53" s="409">
        <f>[1]Samarinda!$Z$16</f>
        <v>24</v>
      </c>
      <c r="E53" s="409">
        <f>[1]Samarinda!$Z$17</f>
        <v>20</v>
      </c>
      <c r="F53" s="409">
        <f>[1]Samarinda!$Z$18</f>
        <v>16</v>
      </c>
      <c r="G53" s="409">
        <f>[1]Samarinda!$Z$19</f>
        <v>31</v>
      </c>
      <c r="H53" s="409">
        <f>[1]Samarinda!$Z$20</f>
        <v>1</v>
      </c>
      <c r="I53" s="409">
        <f>[1]Samarinda!$Z$21</f>
        <v>0</v>
      </c>
      <c r="J53" s="409">
        <f>[1]Samarinda!$Z$22</f>
        <v>0</v>
      </c>
      <c r="K53" s="409">
        <f>[1]Samarinda!$Z$23</f>
        <v>0</v>
      </c>
      <c r="L53" s="409">
        <f>[1]Samarinda!$Z$24</f>
        <v>0</v>
      </c>
      <c r="M53" s="409">
        <f>[1]Samarinda!$Z$25</f>
        <v>0</v>
      </c>
      <c r="N53" s="311" t="s">
        <v>421</v>
      </c>
    </row>
    <row r="54" spans="1:27" ht="15" x14ac:dyDescent="0.25">
      <c r="A54" s="380"/>
      <c r="C54" s="346" t="s">
        <v>409</v>
      </c>
      <c r="D54" s="409">
        <f>[1]Samarinda!$AD$16</f>
        <v>5</v>
      </c>
      <c r="E54" s="409">
        <f>[1]Samarinda!$AD$17</f>
        <v>3</v>
      </c>
      <c r="F54" s="409">
        <f>[1]Samarinda!$AD$18</f>
        <v>1</v>
      </c>
      <c r="G54" s="409">
        <f>[1]Samarinda!$AD$19</f>
        <v>1</v>
      </c>
      <c r="H54" s="409">
        <f>[1]Samarinda!$AD$20</f>
        <v>2</v>
      </c>
      <c r="I54" s="409">
        <f>[1]Samarinda!$AD$21</f>
        <v>0</v>
      </c>
      <c r="J54" s="409">
        <f>[1]Samarinda!$AD$22</f>
        <v>0</v>
      </c>
      <c r="K54" s="409">
        <f>[1]Samarinda!$AD$23</f>
        <v>0</v>
      </c>
      <c r="L54" s="409">
        <f>[1]Samarinda!$AD$24</f>
        <v>0</v>
      </c>
      <c r="M54" s="409">
        <f>[1]Samarinda!$AD$25</f>
        <v>0</v>
      </c>
    </row>
    <row r="55" spans="1:27" ht="15" x14ac:dyDescent="0.25">
      <c r="A55" s="380"/>
      <c r="C55" s="346" t="s">
        <v>412</v>
      </c>
      <c r="D55" s="409">
        <f>[1]Samarinda!$AC$16</f>
        <v>15</v>
      </c>
      <c r="E55" s="409">
        <f>[1]Samarinda!$AC$17</f>
        <v>11</v>
      </c>
      <c r="F55" s="409">
        <f>[1]Samarinda!$AC$18</f>
        <v>12</v>
      </c>
      <c r="G55" s="409">
        <f>[1]Samarinda!$AC$19</f>
        <v>17</v>
      </c>
      <c r="H55" s="409">
        <f>[1]Samarinda!$AC$20</f>
        <v>12</v>
      </c>
      <c r="I55" s="409">
        <f>[1]Samarinda!$AC$21</f>
        <v>0</v>
      </c>
      <c r="J55" s="409">
        <f>[1]Samarinda!$AC$22</f>
        <v>0</v>
      </c>
      <c r="K55" s="409">
        <f>[1]Samarinda!$AC$23</f>
        <v>0</v>
      </c>
      <c r="L55" s="409">
        <f>[1]Samarinda!$AC$24</f>
        <v>0</v>
      </c>
      <c r="M55" s="409">
        <f>[1]Samarinda!$AC$25</f>
        <v>0</v>
      </c>
    </row>
    <row r="56" spans="1:27" ht="15" x14ac:dyDescent="0.25">
      <c r="A56" s="380"/>
      <c r="C56" s="346" t="s">
        <v>413</v>
      </c>
      <c r="D56" s="409">
        <f>[1]Samarinda!$AE$16</f>
        <v>4</v>
      </c>
      <c r="E56" s="409">
        <f>[1]Samarinda!$AE$17</f>
        <v>2</v>
      </c>
      <c r="F56" s="409">
        <f>[1]Samarinda!$AE$18</f>
        <v>1</v>
      </c>
      <c r="G56" s="409">
        <f>[1]Samarinda!$AE$19</f>
        <v>0</v>
      </c>
      <c r="H56" s="409">
        <f>[1]Samarinda!$AE$20</f>
        <v>0</v>
      </c>
      <c r="I56" s="409">
        <f>[1]Samarinda!$AE$21</f>
        <v>0</v>
      </c>
      <c r="J56" s="409">
        <f>[1]Samarinda!$AE$22</f>
        <v>0</v>
      </c>
      <c r="K56" s="409">
        <f>[1]Samarinda!$AE$23</f>
        <v>0</v>
      </c>
      <c r="L56" s="409">
        <f>[1]Samarinda!$AE$24</f>
        <v>0</v>
      </c>
      <c r="M56" s="409">
        <f>[1]Samarinda!$AE$25</f>
        <v>0</v>
      </c>
    </row>
    <row r="57" spans="1:27" ht="15" x14ac:dyDescent="0.25">
      <c r="A57" s="380"/>
      <c r="C57" s="346" t="s">
        <v>411</v>
      </c>
      <c r="D57" s="409">
        <f>[1]Samarinda!$AA$16</f>
        <v>147</v>
      </c>
      <c r="E57" s="409">
        <f>[1]Samarinda!$AA$17</f>
        <v>106</v>
      </c>
      <c r="F57" s="409">
        <f>[1]Samarinda!$AA$18</f>
        <v>169</v>
      </c>
      <c r="G57" s="409">
        <f>[1]Samarinda!$AA$19</f>
        <v>85</v>
      </c>
      <c r="H57" s="409">
        <f>[1]Samarinda!$AA$20</f>
        <v>139</v>
      </c>
      <c r="I57" s="409">
        <f>[1]Samarinda!$AA$21</f>
        <v>0</v>
      </c>
      <c r="J57" s="409">
        <f>[1]Samarinda!$AA$22</f>
        <v>0</v>
      </c>
      <c r="K57" s="409">
        <f>[1]Samarinda!$AA$23</f>
        <v>0</v>
      </c>
      <c r="L57" s="409">
        <f>[1]Samarinda!$AA$24</f>
        <v>0</v>
      </c>
      <c r="M57" s="409">
        <f>[1]Samarinda!$AA$25</f>
        <v>0</v>
      </c>
    </row>
    <row r="58" spans="1:27" ht="15" x14ac:dyDescent="0.25">
      <c r="C58" s="346" t="s">
        <v>414</v>
      </c>
      <c r="D58" s="410">
        <f>[1]Samarinda!$AB$16</f>
        <v>32</v>
      </c>
      <c r="E58" s="410">
        <f>[1]Samarinda!$AB$17</f>
        <v>12</v>
      </c>
      <c r="F58" s="410">
        <f>[1]Samarinda!$AB$18</f>
        <v>23</v>
      </c>
      <c r="G58" s="410">
        <f>[1]Samarinda!$AB$19</f>
        <v>20</v>
      </c>
      <c r="H58" s="410">
        <f>[1]Samarinda!$AB$20</f>
        <v>14</v>
      </c>
      <c r="I58" s="410">
        <f>[1]Samarinda!$AB$21</f>
        <v>0</v>
      </c>
      <c r="J58" s="410">
        <f>[1]Samarinda!$AB$22</f>
        <v>0</v>
      </c>
      <c r="K58" s="410">
        <f>[1]Samarinda!$AB$23</f>
        <v>0</v>
      </c>
      <c r="L58" s="410">
        <f>[1]Samarinda!$AB$24</f>
        <v>0</v>
      </c>
      <c r="M58" s="410">
        <f>[1]Samarinda!$AB$25</f>
        <v>0</v>
      </c>
    </row>
    <row r="59" spans="1:27" ht="15" x14ac:dyDescent="0.25">
      <c r="C59" s="346" t="s">
        <v>415</v>
      </c>
      <c r="D59" s="411"/>
      <c r="E59" s="411"/>
      <c r="F59" s="412"/>
      <c r="G59" s="412"/>
      <c r="H59" s="412"/>
      <c r="I59" s="412"/>
      <c r="J59" s="412"/>
      <c r="K59" s="412"/>
      <c r="L59" s="412"/>
      <c r="M59" s="412"/>
    </row>
    <row r="60" spans="1:27" s="351" customFormat="1" x14ac:dyDescent="0.25">
      <c r="A60" s="350"/>
      <c r="C60" s="352" t="s">
        <v>416</v>
      </c>
      <c r="D60" s="353">
        <f>SUM(D53:D59)</f>
        <v>227</v>
      </c>
      <c r="E60" s="353">
        <f t="shared" ref="E60:G60" si="13">SUM(E53:E59)</f>
        <v>154</v>
      </c>
      <c r="F60" s="353">
        <f t="shared" si="13"/>
        <v>222</v>
      </c>
      <c r="G60" s="353">
        <f t="shared" si="13"/>
        <v>154</v>
      </c>
      <c r="H60" s="353">
        <f t="shared" ref="H60:M60" si="14">SUM(H53:H59)</f>
        <v>168</v>
      </c>
      <c r="I60" s="353">
        <f t="shared" si="14"/>
        <v>0</v>
      </c>
      <c r="J60" s="353">
        <f t="shared" si="14"/>
        <v>0</v>
      </c>
      <c r="K60" s="353">
        <f t="shared" si="14"/>
        <v>0</v>
      </c>
      <c r="L60" s="353">
        <f t="shared" si="14"/>
        <v>0</v>
      </c>
      <c r="M60" s="353">
        <f t="shared" si="14"/>
        <v>0</v>
      </c>
    </row>
    <row r="62" spans="1:27" ht="15" customHeight="1" x14ac:dyDescent="0.25">
      <c r="C62" s="346"/>
      <c r="D62" s="471" t="s">
        <v>410</v>
      </c>
      <c r="E62" s="471"/>
      <c r="F62" s="471"/>
      <c r="G62" s="471"/>
      <c r="H62" s="471"/>
      <c r="I62" s="471"/>
      <c r="J62" s="471"/>
      <c r="K62" s="471"/>
      <c r="L62" s="471"/>
      <c r="M62" s="471"/>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2017-10-17T15:17:47Z</dcterms:modified>
</cp:coreProperties>
</file>