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V16" i="7" l="1"/>
  <c r="L37" i="1" l="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37" i="7"/>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3" i="7"/>
  <c r="FJ14" i="7"/>
  <c r="FJ15" i="7"/>
  <c r="FJ16" i="7"/>
  <c r="FJ12" i="7"/>
  <c r="FJ11" i="7"/>
  <c r="CH17" i="1"/>
  <c r="CH16" i="1"/>
  <c r="CH15" i="1"/>
  <c r="BZ17" i="1"/>
  <c r="BZ16" i="1"/>
  <c r="BZ15" i="1"/>
  <c r="BR17" i="1"/>
  <c r="BR16" i="1"/>
  <c r="BR15" i="1"/>
  <c r="BJ17" i="1"/>
  <c r="BJ16" i="1"/>
  <c r="BJ15" i="1"/>
  <c r="BB17" i="1"/>
  <c r="BB16" i="1"/>
  <c r="BB15"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D76" i="2" l="1"/>
  <c r="D19" i="2"/>
  <c r="D51" i="2"/>
  <c r="D50" i="2"/>
  <c r="D75" i="2"/>
  <c r="D18" i="2"/>
  <c r="D77" i="2"/>
  <c r="D20" i="2"/>
  <c r="D52" i="2"/>
  <c r="D49" i="2"/>
  <c r="D17" i="2"/>
  <c r="D74" i="2"/>
  <c r="E120" i="12"/>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EJ20" i="7" l="1"/>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3" i="2"/>
  <c r="D12" i="2"/>
  <c r="D14" i="2"/>
  <c r="D15" i="2"/>
  <c r="D48" i="2"/>
  <c r="D68" i="2"/>
  <c r="D72" i="2" l="1"/>
  <c r="D69" i="2"/>
  <c r="D11" i="2"/>
  <c r="D13" i="2"/>
  <c r="D47" i="2"/>
  <c r="D73" i="2"/>
  <c r="D71" i="2"/>
  <c r="D70" i="2"/>
  <c r="D16"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E18" i="1"/>
  <c r="CG18" i="1"/>
  <c r="BW22" i="1"/>
  <c r="BW18" i="1"/>
  <c r="CA18" i="1" s="1"/>
  <c r="BO22" i="1"/>
  <c r="BS22" i="1" s="1"/>
  <c r="BT22" i="1" s="1"/>
  <c r="BO18" i="1"/>
  <c r="BQ18" i="1" s="1"/>
  <c r="BG22" i="1"/>
  <c r="BK22" i="1" s="1"/>
  <c r="BL22" i="1" s="1"/>
  <c r="BG18" i="1"/>
  <c r="AY22" i="1"/>
  <c r="AY18" i="1"/>
  <c r="BA18" i="1" s="1"/>
  <c r="AQ22" i="1"/>
  <c r="AQ18" i="1"/>
  <c r="AI22" i="1"/>
  <c r="AI18" i="1"/>
  <c r="AM18" i="1" s="1"/>
  <c r="AA22" i="1"/>
  <c r="AE22" i="1" s="1"/>
  <c r="AF22" i="1" s="1"/>
  <c r="AA18" i="1"/>
  <c r="S22" i="1"/>
  <c r="S18" i="1"/>
  <c r="U18" i="1" s="1"/>
  <c r="K18" i="1"/>
  <c r="CH22" i="1"/>
  <c r="CH21" i="1"/>
  <c r="CH20" i="1"/>
  <c r="CH19" i="1"/>
  <c r="CH18" i="1"/>
  <c r="CH14" i="1"/>
  <c r="CH13" i="1"/>
  <c r="CH12" i="1"/>
  <c r="BZ22" i="1"/>
  <c r="BZ21" i="1"/>
  <c r="BZ20" i="1"/>
  <c r="BZ19" i="1"/>
  <c r="BZ18" i="1"/>
  <c r="BZ14" i="1"/>
  <c r="BZ13" i="1"/>
  <c r="BZ12" i="1"/>
  <c r="BR22" i="1"/>
  <c r="BR21" i="1"/>
  <c r="BR20" i="1"/>
  <c r="BR19" i="1"/>
  <c r="BR18" i="1"/>
  <c r="BR14" i="1"/>
  <c r="BR13" i="1"/>
  <c r="BR12" i="1"/>
  <c r="BJ22" i="1"/>
  <c r="BJ21" i="1"/>
  <c r="BJ20" i="1"/>
  <c r="BJ19" i="1"/>
  <c r="BJ18" i="1"/>
  <c r="BJ14" i="1"/>
  <c r="BJ13" i="1"/>
  <c r="BJ12" i="1"/>
  <c r="BB22" i="1"/>
  <c r="BB21" i="1"/>
  <c r="BB20" i="1"/>
  <c r="BB19" i="1"/>
  <c r="BB18"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C18" i="1"/>
  <c r="C22" i="1"/>
  <c r="AM22" i="1" l="1"/>
  <c r="AN22" i="1" s="1"/>
  <c r="CA22" i="1"/>
  <c r="CB22" i="1" s="1"/>
  <c r="W22" i="1"/>
  <c r="X22" i="1" s="1"/>
  <c r="BC22" i="1"/>
  <c r="BD22" i="1" s="1"/>
  <c r="CI18" i="1"/>
  <c r="CJ18" i="1" s="1"/>
  <c r="AU18" i="1"/>
  <c r="AU22" i="1"/>
  <c r="AV22" i="1" s="1"/>
  <c r="O22" i="1"/>
  <c r="P22" i="1" s="1"/>
  <c r="AE18" i="1"/>
  <c r="BK18" i="1"/>
  <c r="CI22" i="1"/>
  <c r="CJ22" i="1" s="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F18" i="1" l="1"/>
  <c r="BL18" i="1"/>
  <c r="AV18" i="1"/>
  <c r="H18" i="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FI11" i="7" s="1"/>
  <c r="FK11" i="7" s="1"/>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EK11" i="7"/>
  <c r="CK11" i="7"/>
  <c r="AK11" i="7"/>
  <c r="AU11" i="7"/>
  <c r="P17" i="1"/>
  <c r="AF12" i="1"/>
  <c r="BD15" i="1"/>
  <c r="CJ17" i="1"/>
  <c r="P15" i="1"/>
  <c r="CB13" i="1"/>
  <c r="CB23" i="1" s="1"/>
  <c r="BD12" i="1"/>
  <c r="BT17" i="1"/>
  <c r="BD17" i="1"/>
  <c r="P12" i="1"/>
  <c r="AF13" i="1"/>
  <c r="CJ12" i="1"/>
  <c r="BT12" i="1"/>
  <c r="AV12" i="1"/>
  <c r="AK46" i="13"/>
  <c r="AK45" i="13"/>
  <c r="AK44" i="13"/>
  <c r="AK43" i="13"/>
  <c r="R37" i="13"/>
  <c r="R38" i="13"/>
  <c r="R39" i="13"/>
  <c r="R40" i="13"/>
  <c r="R41" i="13"/>
  <c r="R42" i="13"/>
  <c r="R43" i="13"/>
  <c r="N46" i="13"/>
  <c r="R36" i="13"/>
  <c r="CJ23" i="1" l="1"/>
  <c r="B116" i="12" s="1"/>
  <c r="U46" i="13"/>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05" i="12"/>
  <c r="BU11" i="7"/>
  <c r="BU23" i="7" s="1"/>
  <c r="F129" i="12"/>
  <c r="F83" i="14" s="1"/>
  <c r="JY11" i="7"/>
  <c r="JY23" i="7" s="1"/>
  <c r="C117" i="12" s="1"/>
  <c r="D46" i="13"/>
  <c r="E117" i="12" l="1"/>
  <c r="L130" i="12" s="1"/>
  <c r="L84" i="14" s="1"/>
  <c r="E116" i="12"/>
  <c r="L129" i="12" s="1"/>
  <c r="L83" i="14"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K23" i="7"/>
  <c r="W14" i="7" l="1"/>
  <c r="Y14" i="7" s="1"/>
  <c r="W12" i="7"/>
  <c r="Y12" i="7" s="1"/>
  <c r="E44" i="12"/>
  <c r="E133" i="12"/>
  <c r="E87" i="14" s="1"/>
  <c r="C133" i="12"/>
  <c r="C87" i="14" s="1"/>
  <c r="E22" i="12"/>
  <c r="E54" i="12"/>
  <c r="E55" i="12" s="1"/>
  <c r="E86" i="14"/>
  <c r="E9" i="12"/>
  <c r="B132" i="12" s="1"/>
  <c r="B86" i="14" s="1"/>
  <c r="D132" i="12"/>
  <c r="B83" i="14"/>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AM1-Ternak: sesuaikan angka FE pada Panduan Teknis Hal 86 dimulai pada tahun 2017</t>
        </r>
      </text>
    </comment>
    <comment ref="C30" authorId="0" shapeId="0">
      <text>
        <r>
          <rPr>
            <b/>
            <sz val="9"/>
            <color indexed="81"/>
            <rFont val="Tahoma"/>
            <charset val="1"/>
          </rPr>
          <t>Iwied:</t>
        </r>
        <r>
          <rPr>
            <sz val="9"/>
            <color indexed="81"/>
            <rFont val="Tahoma"/>
            <charset val="1"/>
          </rPr>
          <t xml:space="preserve">
AM2-Ternak: Merubah sistem pengelolaan kotoran menjadi disebarkan harian agar tidak menumpuk dan dimulai tahun 2017</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5.xml><?xml version="1.0" encoding="utf-8"?>
<comments xmlns="http://schemas.openxmlformats.org/spreadsheetml/2006/main">
  <authors>
    <author>Iwied</author>
  </authors>
  <commentList>
    <comment ref="H42" authorId="0" shapeId="0">
      <text>
        <r>
          <rPr>
            <b/>
            <sz val="9"/>
            <color indexed="81"/>
            <rFont val="Tahoma"/>
            <charset val="1"/>
          </rPr>
          <t>Iwied:</t>
        </r>
        <r>
          <rPr>
            <sz val="9"/>
            <color indexed="81"/>
            <rFont val="Tahoma"/>
            <charset val="1"/>
          </rPr>
          <t xml:space="preserve">
AM 3: Penurunan penggunaan Urea dan mengganti dengan pupuk kompos</t>
        </r>
      </text>
    </comment>
    <comment ref="H43" authorId="0" shapeId="0">
      <text>
        <r>
          <rPr>
            <b/>
            <sz val="9"/>
            <color indexed="81"/>
            <rFont val="Tahoma"/>
            <charset val="1"/>
          </rPr>
          <t>Iwied:</t>
        </r>
        <r>
          <rPr>
            <sz val="9"/>
            <color indexed="81"/>
            <rFont val="Tahoma"/>
            <charset val="1"/>
          </rPr>
          <t xml:space="preserve">
AM 3: Penurunan penggunaan Urea dan mengganti dengan pupuk kompos</t>
        </r>
      </text>
    </comment>
    <comment ref="H44" authorId="0" shapeId="0">
      <text>
        <r>
          <rPr>
            <b/>
            <sz val="9"/>
            <color indexed="81"/>
            <rFont val="Tahoma"/>
            <charset val="1"/>
          </rPr>
          <t>Iwied:</t>
        </r>
        <r>
          <rPr>
            <sz val="9"/>
            <color indexed="81"/>
            <rFont val="Tahoma"/>
            <charset val="1"/>
          </rPr>
          <t xml:space="preserve">
AM 3: Penurunan penggunaan Urea dan mengganti dengan pupuk kompos</t>
        </r>
      </text>
    </comment>
    <comment ref="H45" authorId="0" shapeId="0">
      <text>
        <r>
          <rPr>
            <b/>
            <sz val="9"/>
            <color indexed="81"/>
            <rFont val="Tahoma"/>
            <charset val="1"/>
          </rPr>
          <t>Iwied:</t>
        </r>
        <r>
          <rPr>
            <sz val="9"/>
            <color indexed="81"/>
            <rFont val="Tahoma"/>
            <charset val="1"/>
          </rPr>
          <t xml:space="preserve">
AM 3: Penurunan penggunaan Urea dan mengganti dengan pupuk kompos</t>
        </r>
      </text>
    </comment>
    <comment ref="H46" authorId="0" shapeId="0">
      <text>
        <r>
          <rPr>
            <b/>
            <sz val="9"/>
            <color indexed="81"/>
            <rFont val="Tahoma"/>
            <charset val="1"/>
          </rPr>
          <t>Iwied:</t>
        </r>
        <r>
          <rPr>
            <sz val="9"/>
            <color indexed="81"/>
            <rFont val="Tahoma"/>
            <charset val="1"/>
          </rPr>
          <t xml:space="preserve">
AM 3: Penurunan penggunaan Urea dan mengganti dengan pupuk kompos</t>
        </r>
      </text>
    </comment>
  </commentList>
</comments>
</file>

<file path=xl/sharedStrings.xml><?xml version="1.0" encoding="utf-8"?>
<sst xmlns="http://schemas.openxmlformats.org/spreadsheetml/2006/main" count="2460" uniqueCount="520">
  <si>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</si>
  <si>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</si>
  <si>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</si>
  <si>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</si>
  <si>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</si>
  <si>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</si>
  <si>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</si>
  <si>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</si>
  <si>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</si>
  <si>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</si>
  <si>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</si>
  <si>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</si>
  <si>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</si>
  <si>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</si>
  <si>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</si>
  <si>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</si>
  <si>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</si>
  <si>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</si>
  <si>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</si>
  <si>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</si>
  <si>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</si>
  <si>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</si>
  <si>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</si>
  <si>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</si>
  <si>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</si>
  <si>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</si>
  <si>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</si>
  <si>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</si>
  <si>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</si>
  <si>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</si>
  <si>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</si>
  <si>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</si>
  <si>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</si>
  <si>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</si>
  <si>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</si>
  <si>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</si>
  <si>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</si>
  <si>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</si>
  <si>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</si>
  <si>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</si>
  <si>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</si>
  <si>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</si>
  <si>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</si>
  <si>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</si>
  <si>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</si>
  <si>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</si>
  <si>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</si>
  <si>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</si>
  <si>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</si>
  <si>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</si>
  <si>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</si>
  <si>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</si>
  <si>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</si>
  <si>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</si>
  <si>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</si>
  <si>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</si>
  <si>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</si>
  <si>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</si>
  <si>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</si>
  <si>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</si>
  <si>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</si>
  <si>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</si>
  <si>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</si>
  <si>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</si>
  <si>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</si>
  <si>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</si>
  <si>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</si>
  <si>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</si>
  <si>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</si>
  <si>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</si>
  <si>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</si>
  <si>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</si>
  <si>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</si>
  <si>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</si>
  <si>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</si>
  <si>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</si>
  <si>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</si>
  <si>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</si>
  <si>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</si>
  <si>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</si>
  <si>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</si>
  <si>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</si>
  <si>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</si>
  <si>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</si>
  <si>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</si>
  <si>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</si>
  <si>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</si>
  <si>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</si>
  <si>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</si>
  <si>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</si>
  <si>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</si>
  <si>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</si>
  <si>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</si>
  <si>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</si>
  <si>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</si>
  <si>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</si>
  <si>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</si>
  <si>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</si>
  <si>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</si>
  <si>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</si>
  <si>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</si>
  <si>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</si>
  <si>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</si>
  <si>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</si>
  <si>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</si>
  <si>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</si>
  <si>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</si>
  <si>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</si>
  <si>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</si>
  <si>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</si>
  <si>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</si>
  <si>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</si>
  <si>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</si>
  <si>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</si>
  <si>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</si>
  <si>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</si>
  <si>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</si>
  <si>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</si>
  <si>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</si>
  <si>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</si>
  <si>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</si>
  <si>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</si>
  <si>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</si>
  <si>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</si>
  <si>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</si>
  <si>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</si>
  <si>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</si>
  <si>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</si>
  <si>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</si>
  <si>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</si>
  <si>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</si>
  <si>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</si>
  <si>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</si>
  <si>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</si>
  <si>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</si>
  <si>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</si>
  <si>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</si>
  <si>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</si>
  <si>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</si>
  <si>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</si>
  <si>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</si>
  <si>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</si>
  <si>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</si>
  <si>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</si>
  <si>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</si>
  <si>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</si>
  <si>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</si>
  <si>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</si>
  <si>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</si>
  <si>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</si>
  <si>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</si>
  <si>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</si>
  <si>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</si>
  <si>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</si>
  <si>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</si>
  <si>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</si>
  <si>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</si>
  <si>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</si>
  <si>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</si>
  <si>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</si>
  <si>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</si>
  <si>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</si>
  <si>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</si>
  <si>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</si>
  <si>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</si>
  <si>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</si>
  <si>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</si>
  <si>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</si>
  <si>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</si>
  <si>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</si>
  <si>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</si>
  <si>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</si>
  <si>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</si>
  <si>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</si>
  <si>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</si>
  <si>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</si>
  <si>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</si>
  <si>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</si>
  <si>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</si>
  <si>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</si>
  <si>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</si>
  <si>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</si>
  <si>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</si>
  <si>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</si>
  <si>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</si>
  <si>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</si>
  <si>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</si>
  <si>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</si>
  <si>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</si>
  <si>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</si>
  <si>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</si>
  <si>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</si>
  <si>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</si>
  <si>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</si>
  <si>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</si>
  <si>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</si>
  <si>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</si>
  <si>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</si>
  <si>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</si>
  <si>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</si>
  <si>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</si>
  <si>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</si>
  <si>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</si>
  <si>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</si>
  <si>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</si>
  <si>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</si>
  <si>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</si>
  <si>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</si>
  <si>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</si>
  <si>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</si>
  <si>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</si>
  <si>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</si>
  <si>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</si>
  <si>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</si>
  <si>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</si>
  <si>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</si>
  <si>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</si>
  <si>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</si>
  <si>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</si>
  <si>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</si>
  <si>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</si>
  <si>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</si>
  <si>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</si>
  <si>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</si>
  <si>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</si>
  <si>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</si>
  <si>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</si>
  <si>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</si>
  <si>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</si>
  <si>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</si>
  <si>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</si>
  <si>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</si>
  <si>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</si>
  <si>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</si>
  <si>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</si>
  <si>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</si>
  <si>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</si>
  <si>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</si>
  <si>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</si>
  <si>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</si>
  <si>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</si>
  <si>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</si>
  <si>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</si>
  <si>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</si>
  <si>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</si>
  <si>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</si>
  <si>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</si>
  <si>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</si>
  <si>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</si>
  <si>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</si>
  <si>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</si>
  <si>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</si>
  <si>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</si>
  <si>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</si>
  <si>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</si>
  <si>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</si>
  <si>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</si>
  <si>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</si>
  <si>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</si>
  <si>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</si>
  <si>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</si>
  <si>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</si>
  <si>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</si>
  <si>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</si>
  <si>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</si>
  <si>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</si>
  <si>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</si>
  <si>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</si>
  <si>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</si>
  <si>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</si>
  <si>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</si>
  <si>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</si>
  <si>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</si>
  <si>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</si>
  <si>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</si>
  <si>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</si>
  <si>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</si>
  <si>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</si>
  <si>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</si>
  <si>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</si>
  <si>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</si>
  <si>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</si>
  <si>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</si>
  <si>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</si>
  <si>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</si>
  <si>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</si>
  <si>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</si>
  <si>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</si>
  <si>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</si>
  <si>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</si>
  <si>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</si>
  <si>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</si>
  <si>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</si>
  <si>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</si>
  <si>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</si>
  <si>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</si>
  <si>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</si>
  <si>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</si>
  <si>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</si>
  <si>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</si>
  <si>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</si>
  <si>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</si>
  <si>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</si>
  <si>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</si>
  <si>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</si>
  <si>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</si>
  <si>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</si>
  <si>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</si>
  <si>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</si>
  <si>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</si>
  <si>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</si>
  <si>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</si>
  <si>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</si>
  <si>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</si>
  <si>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</si>
  <si>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</si>
  <si>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</si>
  <si>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</si>
  <si>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</si>
  <si>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</si>
  <si>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</si>
  <si>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</si>
  <si>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</si>
  <si>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</si>
  <si>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</si>
  <si>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</si>
  <si>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</si>
  <si>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</si>
  <si>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</si>
  <si>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</si>
  <si>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</si>
  <si>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</si>
  <si>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</si>
  <si>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</si>
  <si>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</si>
  <si>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</si>
  <si>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</si>
  <si>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</si>
  <si>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</si>
  <si>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</si>
  <si>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</si>
  <si>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</si>
  <si>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</si>
  <si>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</si>
  <si>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</si>
  <si>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</si>
  <si>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</si>
  <si>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</si>
  <si>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</si>
  <si>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</si>
  <si>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</si>
  <si>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</si>
  <si>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</si>
  <si>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</si>
  <si>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</si>
  <si>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</si>
  <si>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</si>
  <si>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</si>
  <si>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</si>
  <si>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</si>
  <si>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</si>
  <si>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</si>
  <si>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</si>
  <si>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</si>
  <si>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</si>
  <si>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</si>
  <si>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</si>
  <si>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</si>
  <si>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</si>
  <si>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</si>
  <si>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</si>
  <si>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</si>
  <si>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</si>
  <si>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</si>
  <si>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</si>
  <si>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</si>
  <si>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</si>
  <si>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</si>
  <si>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</si>
  <si>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</si>
  <si>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</si>
  <si>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</si>
  <si>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</si>
  <si>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</si>
  <si>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</si>
  <si>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</si>
  <si>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</si>
  <si>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</si>
  <si>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</si>
  <si>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</si>
  <si>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</si>
  <si>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</si>
  <si>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</si>
  <si>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</si>
  <si>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</si>
  <si>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</si>
  <si>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</si>
  <si>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</si>
  <si>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</si>
  <si>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</si>
  <si>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</si>
  <si>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</si>
  <si>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</si>
  <si>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</si>
  <si>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</si>
  <si>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</si>
  <si>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</si>
  <si>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</si>
  <si>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</si>
  <si>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</si>
  <si>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</si>
  <si>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</si>
  <si>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</si>
  <si>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</si>
  <si>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</si>
  <si>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</si>
  <si>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</si>
  <si>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</si>
  <si>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</si>
  <si>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</si>
  <si>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</si>
  <si>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</si>
  <si>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</si>
  <si>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</si>
  <si>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</si>
  <si>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</si>
  <si>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</si>
  <si>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</si>
  <si>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</si>
  <si>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</si>
  <si>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</si>
  <si>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</si>
  <si>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</si>
  <si>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</si>
  <si>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</si>
  <si>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</si>
  <si>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</si>
  <si>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</si>
  <si>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</si>
  <si>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</si>
  <si>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</si>
  <si>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</si>
  <si>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</si>
  <si>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</si>
  <si>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</si>
  <si>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</si>
  <si>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</si>
  <si>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</si>
  <si>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</si>
  <si>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</si>
  <si>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</si>
  <si>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</si>
  <si>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</si>
  <si>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</si>
  <si>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</si>
  <si>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</si>
  <si>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</si>
  <si>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</si>
  <si>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</si>
  <si>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</si>
  <si>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</si>
  <si>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</si>
  <si>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</si>
  <si>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</si>
  <si>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</si>
  <si>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</si>
  <si>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</si>
  <si>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</si>
  <si>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</si>
  <si>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</si>
  <si>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</si>
  <si>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</si>
  <si>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</si>
  <si>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</si>
  <si>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</si>
  <si>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</si>
  <si>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</si>
  <si>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</si>
  <si>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</si>
  <si>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</si>
  <si>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</si>
  <si>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</si>
  <si>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</si>
  <si>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</si>
  <si>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</si>
  <si>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</si>
  <si>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</si>
  <si>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</si>
  <si>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</si>
  <si>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</si>
  <si>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</si>
  <si>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</si>
  <si>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</si>
  <si>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</si>
  <si>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</si>
  <si>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</si>
  <si>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</si>
  <si>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</si>
  <si>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</si>
  <si>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</si>
  <si>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</si>
  <si>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</si>
  <si>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</si>
  <si>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</si>
  <si>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</si>
  <si>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</si>
  <si>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</si>
  <si>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</si>
  <si>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</si>
  <si>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</si>
  <si>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</si>
  <si>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</si>
  <si>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</si>
  <si>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</si>
  <si>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</si>
  <si>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</si>
  <si>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</si>
  <si>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</si>
  <si>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KUTAI TIMUR</t>
  </si>
  <si>
    <t>Data populasi ternak KUTAI TIMUR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</si>
</sst>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theme="1"/>
      <name val="Arial"/>
      <family val="2"/>
    </font>
    <font>
      <sz val="11"/>
      <color indexed="8"/>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13">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0" fontId="26"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6" borderId="9" xfId="0" applyFont="1"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27" fillId="6" borderId="17" xfId="5"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0" fontId="39" fillId="0" borderId="0" xfId="0" applyFont="1" applyAlignment="1">
      <alignmen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166" fontId="47" fillId="6" borderId="17" xfId="1" applyNumberFormat="1" applyFont="1" applyFill="1" applyBorder="1" applyAlignment="1">
      <alignment vertical="center"/>
    </xf>
    <xf numFmtId="3" fontId="48" fillId="6" borderId="17" xfId="0" applyNumberFormat="1" applyFont="1" applyFill="1" applyBorder="1" applyAlignment="1">
      <alignment horizontal="right" vertical="center" wrapText="1"/>
    </xf>
    <xf numFmtId="164" fontId="48" fillId="6" borderId="17" xfId="8" applyFont="1" applyFill="1" applyBorder="1" applyAlignment="1">
      <alignment horizontal="right" vertical="center" wrapText="1"/>
    </xf>
    <xf numFmtId="0" fontId="48" fillId="6" borderId="17" xfId="0" applyFont="1" applyFill="1" applyBorder="1" applyAlignment="1">
      <alignment horizontal="right" vertical="center" wrapText="1"/>
    </xf>
    <xf numFmtId="0" fontId="32" fillId="6" borderId="17" xfId="0" applyFont="1" applyFill="1" applyBorder="1" applyAlignment="1">
      <alignment horizontal="right" vertical="center" wrapText="1"/>
    </xf>
    <xf numFmtId="0" fontId="0" fillId="0" borderId="3" xfId="0" applyBorder="1" applyAlignment="1">
      <alignment horizontal="center"/>
    </xf>
    <xf numFmtId="0" fontId="22" fillId="16" borderId="17" xfId="3" applyFill="1" applyBorder="1"/>
    <xf numFmtId="0" fontId="22" fillId="16" borderId="19" xfId="3" applyFill="1" applyBorder="1"/>
    <xf numFmtId="0" fontId="22" fillId="16" borderId="21" xfId="3" applyFill="1" applyBorder="1"/>
    <xf numFmtId="0" fontId="22" fillId="16" borderId="22" xfId="3" applyFill="1" applyBorder="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64" fontId="27" fillId="16" borderId="17" xfId="5" applyNumberFormat="1" applyFont="1" applyFill="1" applyBorder="1" applyAlignment="1">
      <alignment vertical="center"/>
    </xf>
    <xf numFmtId="164" fontId="43" fillId="16" borderId="57" xfId="8" applyFont="1" applyFill="1" applyBorder="1" applyAlignment="1">
      <alignment horizontal="right" vertical="center" wrapText="1"/>
    </xf>
    <xf numFmtId="164" fontId="27" fillId="16" borderId="17" xfId="8" applyFont="1" applyFill="1" applyBorder="1" applyAlignment="1">
      <alignment vertical="center"/>
    </xf>
    <xf numFmtId="164" fontId="38" fillId="16" borderId="17" xfId="8" applyFont="1" applyFill="1" applyBorder="1" applyAlignment="1">
      <alignment vertical="center"/>
    </xf>
    <xf numFmtId="164" fontId="39" fillId="16" borderId="57" xfId="8" applyFont="1" applyFill="1" applyBorder="1" applyAlignment="1">
      <alignment horizontal="right" vertical="center" wrapText="1"/>
    </xf>
    <xf numFmtId="164" fontId="39" fillId="16" borderId="17" xfId="8" applyFont="1" applyFill="1" applyBorder="1" applyAlignment="1">
      <alignment vertical="center"/>
    </xf>
    <xf numFmtId="171" fontId="31" fillId="6" borderId="17" xfId="1" applyNumberFormat="1" applyFont="1" applyFill="1" applyBorder="1" applyAlignment="1">
      <alignment horizontal="right" vertical="center"/>
    </xf>
    <xf numFmtId="171" fontId="1" fillId="6" borderId="17" xfId="1" applyNumberFormat="1" applyFont="1" applyFill="1" applyBorder="1" applyAlignment="1">
      <alignment vertical="center"/>
    </xf>
    <xf numFmtId="165" fontId="32" fillId="6" borderId="17" xfId="1" applyFont="1" applyFill="1" applyBorder="1" applyAlignment="1">
      <alignment vertical="center"/>
    </xf>
    <xf numFmtId="166" fontId="32" fillId="6" borderId="17" xfId="2" applyNumberFormat="1" applyFont="1" applyFill="1" applyBorder="1" applyAlignment="1">
      <alignment vertical="center"/>
    </xf>
    <xf numFmtId="166" fontId="32" fillId="6" borderId="17" xfId="1" applyNumberFormat="1" applyFont="1" applyFill="1" applyBorder="1" applyAlignment="1">
      <alignment vertical="center"/>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2" fillId="5" borderId="8" xfId="3" applyFill="1" applyBorder="1" applyAlignment="1">
      <alignment horizontal="center"/>
    </xf>
    <xf numFmtId="0" fontId="3" fillId="13" borderId="47" xfId="3" applyFont="1" applyFill="1" applyBorder="1" applyAlignment="1">
      <alignment horizontal="center" vertical="center"/>
    </xf>
    <xf numFmtId="0" fontId="0" fillId="0" borderId="9"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4" fillId="5" borderId="15" xfId="0" applyFont="1" applyFill="1" applyBorder="1" applyAlignment="1">
      <alignment horizontal="center" vertical="center"/>
    </xf>
    <xf numFmtId="0" fontId="0" fillId="0" borderId="9" xfId="0" applyBorder="1" applyAlignment="1">
      <alignment horizontal="center" vertic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42" xfId="3" applyBorder="1" applyAlignment="1">
      <alignment horizontal="center" vertical="center"/>
    </xf>
    <xf numFmtId="0" fontId="22" fillId="0" borderId="24" xfId="3" quotePrefix="1" applyBorder="1" applyAlignment="1">
      <alignment horizontal="center" vertical="center"/>
    </xf>
    <xf numFmtId="0" fontId="22" fillId="0" borderId="24" xfId="3"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22" fillId="0" borderId="17" xfId="3" applyBorder="1" applyAlignment="1">
      <alignment horizontal="center"/>
    </xf>
    <xf numFmtId="0" fontId="22" fillId="0" borderId="17" xfId="3" applyBorder="1" applyAlignment="1">
      <alignment horizontal="center" vertical="justify"/>
    </xf>
    <xf numFmtId="0" fontId="22" fillId="0" borderId="17" xfId="3" applyFill="1" applyBorder="1" applyAlignment="1">
      <alignment horizont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6" borderId="17" xfId="5" applyFont="1" applyFill="1" applyBorder="1" applyAlignment="1">
      <alignment horizontal="center" vertical="center"/>
    </xf>
    <xf numFmtId="0" fontId="36" fillId="0" borderId="17" xfId="5" applyFont="1" applyBorder="1" applyAlignment="1">
      <alignment horizontal="center" vertical="center" wrapText="1"/>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17" xfId="5" applyFont="1" applyFill="1" applyBorder="1" applyAlignment="1">
      <alignment vertical="center" wrapText="1"/>
    </xf>
    <xf numFmtId="0" fontId="27" fillId="8" borderId="24" xfId="5" applyFont="1" applyFill="1" applyBorder="1" applyAlignment="1">
      <alignment horizontal="center" vertical="center" wrapText="1"/>
    </xf>
    <xf numFmtId="0" fontId="27" fillId="8" borderId="17" xfId="5" applyFont="1" applyFill="1" applyBorder="1" applyAlignment="1">
      <alignment horizontal="center" vertical="center" wrapText="1"/>
    </xf>
    <xf numFmtId="0" fontId="36" fillId="8" borderId="17" xfId="5" applyFont="1" applyFill="1" applyBorder="1" applyAlignment="1">
      <alignment horizontal="center" vertical="center"/>
    </xf>
    <xf numFmtId="0" fontId="27" fillId="0" borderId="17" xfId="5" applyFont="1" applyBorder="1" applyAlignment="1">
      <alignment horizontal="center" vertical="center" wrapText="1"/>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21" xfId="5" applyFont="1" applyFill="1" applyBorder="1" applyAlignment="1">
      <alignment vertical="center" wrapText="1"/>
    </xf>
    <xf numFmtId="0" fontId="27" fillId="8" borderId="21" xfId="5" applyFont="1" applyFill="1" applyBorder="1" applyAlignment="1">
      <alignment horizontal="center" vertical="center" wrapText="1"/>
    </xf>
    <xf numFmtId="0" fontId="27" fillId="6" borderId="17" xfId="5" applyFont="1" applyFill="1" applyBorder="1" applyAlignment="1">
      <alignment horizontal="center" vertical="center" wrapText="1"/>
    </xf>
    <xf numFmtId="0" fontId="36" fillId="0" borderId="0" xfId="5" applyFont="1" applyFill="1" applyBorder="1" applyAlignment="1">
      <alignment horizontal="right" vertical="center" wrapText="1"/>
    </xf>
    <xf numFmtId="0" fontId="27" fillId="16" borderId="17" xfId="5" applyFont="1" applyFill="1" applyBorder="1" applyAlignment="1">
      <alignment horizontal="center" vertical="center"/>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2891.4</c:v>
                </c:pt>
                <c:pt idx="1">
                  <c:v>3041.4</c:v>
                </c:pt>
                <c:pt idx="2">
                  <c:v>3043.2</c:v>
                </c:pt>
                <c:pt idx="3">
                  <c:v>3642.6</c:v>
                </c:pt>
                <c:pt idx="4">
                  <c:v>3343.2</c:v>
                </c:pt>
                <c:pt idx="5">
                  <c:v>1806.6</c:v>
                </c:pt>
                <c:pt idx="6">
                  <c:v>5071.2000000000007</c:v>
                </c:pt>
                <c:pt idx="7">
                  <c:v>5260.8</c:v>
                </c:pt>
                <c:pt idx="8">
                  <c:v>5802.4000000000005</c:v>
                </c:pt>
                <c:pt idx="9">
                  <c:v>6096</c:v>
                </c:pt>
              </c:numCache>
            </c:numRef>
          </c:yVal>
          <c:smooth val="0"/>
        </c:ser>
        <c:dLbls>
          <c:showLegendKey val="0"/>
          <c:showVal val="0"/>
          <c:showCatName val="0"/>
          <c:showSerName val="0"/>
          <c:showPercent val="0"/>
          <c:showBubbleSize val="0"/>
        </c:dLbls>
        <c:axId val="307400872"/>
        <c:axId val="307401264"/>
      </c:scatterChart>
      <c:valAx>
        <c:axId val="307400872"/>
        <c:scaling>
          <c:orientation val="minMax"/>
        </c:scaling>
        <c:delete val="0"/>
        <c:axPos val="b"/>
        <c:numFmt formatCode="General" sourceLinked="1"/>
        <c:majorTickMark val="out"/>
        <c:minorTickMark val="none"/>
        <c:tickLblPos val="nextTo"/>
        <c:txPr>
          <a:bodyPr/>
          <a:lstStyle/>
          <a:p>
            <a:pPr>
              <a:defRPr lang="en-US"/>
            </a:pPr>
            <a:endParaRPr lang="en-US"/>
          </a:p>
        </c:txPr>
        <c:crossAx val="307401264"/>
        <c:crosses val="autoZero"/>
        <c:crossBetween val="midCat"/>
      </c:valAx>
      <c:valAx>
        <c:axId val="307401264"/>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74008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557800</c:v>
                </c:pt>
                <c:pt idx="1">
                  <c:v>625168</c:v>
                </c:pt>
                <c:pt idx="2">
                  <c:v>626591</c:v>
                </c:pt>
                <c:pt idx="3">
                  <c:v>633398</c:v>
                </c:pt>
                <c:pt idx="4">
                  <c:v>465533</c:v>
                </c:pt>
                <c:pt idx="5">
                  <c:v>470495</c:v>
                </c:pt>
                <c:pt idx="6">
                  <c:v>470745</c:v>
                </c:pt>
                <c:pt idx="7">
                  <c:v>471245</c:v>
                </c:pt>
                <c:pt idx="8">
                  <c:v>471495</c:v>
                </c:pt>
                <c:pt idx="9">
                  <c:v>472495</c:v>
                </c:pt>
              </c:numCache>
            </c:numRef>
          </c:val>
        </c:ser>
        <c:dLbls>
          <c:showLegendKey val="0"/>
          <c:showVal val="0"/>
          <c:showCatName val="0"/>
          <c:showSerName val="0"/>
          <c:showPercent val="0"/>
          <c:showBubbleSize val="0"/>
        </c:dLbls>
        <c:gapWidth val="150"/>
        <c:axId val="308767960"/>
        <c:axId val="308768352"/>
      </c:barChart>
      <c:catAx>
        <c:axId val="308767960"/>
        <c:scaling>
          <c:orientation val="minMax"/>
        </c:scaling>
        <c:delete val="0"/>
        <c:axPos val="b"/>
        <c:majorTickMark val="out"/>
        <c:minorTickMark val="none"/>
        <c:tickLblPos val="nextTo"/>
        <c:txPr>
          <a:bodyPr/>
          <a:lstStyle/>
          <a:p>
            <a:pPr>
              <a:defRPr lang="en-US"/>
            </a:pPr>
            <a:endParaRPr lang="en-US"/>
          </a:p>
        </c:txPr>
        <c:crossAx val="308768352"/>
        <c:crosses val="autoZero"/>
        <c:auto val="1"/>
        <c:lblAlgn val="ctr"/>
        <c:lblOffset val="100"/>
        <c:noMultiLvlLbl val="0"/>
      </c:catAx>
      <c:valAx>
        <c:axId val="3087683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7679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1821500</c:v>
                </c:pt>
                <c:pt idx="1">
                  <c:v>1903693</c:v>
                </c:pt>
                <c:pt idx="2">
                  <c:v>1825000</c:v>
                </c:pt>
                <c:pt idx="3">
                  <c:v>2192083</c:v>
                </c:pt>
                <c:pt idx="4">
                  <c:v>3705919</c:v>
                </c:pt>
                <c:pt idx="5">
                  <c:v>1648162</c:v>
                </c:pt>
                <c:pt idx="6">
                  <c:v>1748805</c:v>
                </c:pt>
                <c:pt idx="7">
                  <c:v>1859196</c:v>
                </c:pt>
                <c:pt idx="8">
                  <c:v>1938835</c:v>
                </c:pt>
                <c:pt idx="9">
                  <c:v>2013722</c:v>
                </c:pt>
              </c:numCache>
            </c:numRef>
          </c:val>
        </c:ser>
        <c:dLbls>
          <c:showLegendKey val="0"/>
          <c:showVal val="0"/>
          <c:showCatName val="0"/>
          <c:showSerName val="0"/>
          <c:showPercent val="0"/>
          <c:showBubbleSize val="0"/>
        </c:dLbls>
        <c:gapWidth val="150"/>
        <c:axId val="308769136"/>
        <c:axId val="308769528"/>
      </c:barChart>
      <c:catAx>
        <c:axId val="308769136"/>
        <c:scaling>
          <c:orientation val="minMax"/>
        </c:scaling>
        <c:delete val="0"/>
        <c:axPos val="b"/>
        <c:majorTickMark val="out"/>
        <c:minorTickMark val="none"/>
        <c:tickLblPos val="nextTo"/>
        <c:txPr>
          <a:bodyPr/>
          <a:lstStyle/>
          <a:p>
            <a:pPr>
              <a:defRPr lang="en-US"/>
            </a:pPr>
            <a:endParaRPr lang="en-US"/>
          </a:p>
        </c:txPr>
        <c:crossAx val="308769528"/>
        <c:crosses val="autoZero"/>
        <c:auto val="1"/>
        <c:lblAlgn val="ctr"/>
        <c:lblOffset val="100"/>
        <c:noMultiLvlLbl val="0"/>
      </c:catAx>
      <c:valAx>
        <c:axId val="3087695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7691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15000</c:v>
                </c:pt>
                <c:pt idx="1">
                  <c:v>29293</c:v>
                </c:pt>
                <c:pt idx="2">
                  <c:v>29293</c:v>
                </c:pt>
                <c:pt idx="3">
                  <c:v>28166</c:v>
                </c:pt>
                <c:pt idx="4">
                  <c:v>40570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770312"/>
        <c:axId val="308770704"/>
      </c:barChart>
      <c:catAx>
        <c:axId val="308770312"/>
        <c:scaling>
          <c:orientation val="minMax"/>
        </c:scaling>
        <c:delete val="0"/>
        <c:axPos val="b"/>
        <c:majorTickMark val="out"/>
        <c:minorTickMark val="none"/>
        <c:tickLblPos val="nextTo"/>
        <c:txPr>
          <a:bodyPr/>
          <a:lstStyle/>
          <a:p>
            <a:pPr>
              <a:defRPr lang="en-US"/>
            </a:pPr>
            <a:endParaRPr lang="en-US"/>
          </a:p>
        </c:txPr>
        <c:crossAx val="308770704"/>
        <c:crosses val="autoZero"/>
        <c:auto val="1"/>
        <c:lblAlgn val="ctr"/>
        <c:lblOffset val="100"/>
        <c:noMultiLvlLbl val="0"/>
      </c:catAx>
      <c:valAx>
        <c:axId val="3087707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7703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11213</c:v>
                </c:pt>
                <c:pt idx="1">
                  <c:v>16588</c:v>
                </c:pt>
                <c:pt idx="2">
                  <c:v>17199</c:v>
                </c:pt>
                <c:pt idx="3">
                  <c:v>29446</c:v>
                </c:pt>
                <c:pt idx="4">
                  <c:v>21273</c:v>
                </c:pt>
                <c:pt idx="5">
                  <c:v>5343</c:v>
                </c:pt>
                <c:pt idx="6">
                  <c:v>5450</c:v>
                </c:pt>
                <c:pt idx="7">
                  <c:v>5559</c:v>
                </c:pt>
                <c:pt idx="8">
                  <c:v>5670</c:v>
                </c:pt>
                <c:pt idx="9">
                  <c:v>5783</c:v>
                </c:pt>
              </c:numCache>
            </c:numRef>
          </c:val>
        </c:ser>
        <c:dLbls>
          <c:showLegendKey val="0"/>
          <c:showVal val="0"/>
          <c:showCatName val="0"/>
          <c:showSerName val="0"/>
          <c:showPercent val="0"/>
          <c:showBubbleSize val="0"/>
        </c:dLbls>
        <c:gapWidth val="150"/>
        <c:axId val="308771488"/>
        <c:axId val="308771880"/>
      </c:barChart>
      <c:catAx>
        <c:axId val="308771488"/>
        <c:scaling>
          <c:orientation val="minMax"/>
        </c:scaling>
        <c:delete val="0"/>
        <c:axPos val="b"/>
        <c:majorTickMark val="out"/>
        <c:minorTickMark val="none"/>
        <c:tickLblPos val="nextTo"/>
        <c:txPr>
          <a:bodyPr/>
          <a:lstStyle/>
          <a:p>
            <a:pPr>
              <a:defRPr lang="en-US"/>
            </a:pPr>
            <a:endParaRPr lang="en-US"/>
          </a:p>
        </c:txPr>
        <c:crossAx val="308771880"/>
        <c:crosses val="autoZero"/>
        <c:auto val="1"/>
        <c:lblAlgn val="ctr"/>
        <c:lblOffset val="100"/>
        <c:noMultiLvlLbl val="0"/>
      </c:catAx>
      <c:valAx>
        <c:axId val="3087718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7714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2891.4</c:v>
                </c:pt>
                <c:pt idx="1">
                  <c:v>3041.4</c:v>
                </c:pt>
                <c:pt idx="2">
                  <c:v>3043.2</c:v>
                </c:pt>
                <c:pt idx="3">
                  <c:v>3642.6</c:v>
                </c:pt>
                <c:pt idx="4">
                  <c:v>3343.2</c:v>
                </c:pt>
                <c:pt idx="5">
                  <c:v>1806.6</c:v>
                </c:pt>
                <c:pt idx="6">
                  <c:v>5071.2000000000007</c:v>
                </c:pt>
                <c:pt idx="7">
                  <c:v>5260.8</c:v>
                </c:pt>
                <c:pt idx="8">
                  <c:v>5802.4000000000005</c:v>
                </c:pt>
                <c:pt idx="9">
                  <c:v>6096</c:v>
                </c:pt>
              </c:numCache>
            </c:numRef>
          </c:yVal>
          <c:smooth val="0"/>
        </c:ser>
        <c:dLbls>
          <c:showLegendKey val="0"/>
          <c:showVal val="0"/>
          <c:showCatName val="0"/>
          <c:showSerName val="0"/>
          <c:showPercent val="0"/>
          <c:showBubbleSize val="0"/>
        </c:dLbls>
        <c:axId val="308772664"/>
        <c:axId val="309151672"/>
      </c:scatterChart>
      <c:valAx>
        <c:axId val="308772664"/>
        <c:scaling>
          <c:orientation val="minMax"/>
        </c:scaling>
        <c:delete val="0"/>
        <c:axPos val="b"/>
        <c:numFmt formatCode="General" sourceLinked="1"/>
        <c:majorTickMark val="out"/>
        <c:minorTickMark val="none"/>
        <c:tickLblPos val="nextTo"/>
        <c:txPr>
          <a:bodyPr/>
          <a:lstStyle/>
          <a:p>
            <a:pPr>
              <a:defRPr lang="en-US"/>
            </a:pPr>
            <a:endParaRPr lang="en-US"/>
          </a:p>
        </c:txPr>
        <c:crossAx val="309151672"/>
        <c:crosses val="autoZero"/>
        <c:crossBetween val="midCat"/>
      </c:valAx>
      <c:valAx>
        <c:axId val="30915167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7726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5650</c:v>
                </c:pt>
                <c:pt idx="1">
                  <c:v>5910</c:v>
                </c:pt>
                <c:pt idx="2">
                  <c:v>5047</c:v>
                </c:pt>
                <c:pt idx="3">
                  <c:v>6343</c:v>
                </c:pt>
                <c:pt idx="4">
                  <c:v>6270</c:v>
                </c:pt>
                <c:pt idx="5">
                  <c:v>5027</c:v>
                </c:pt>
                <c:pt idx="6">
                  <c:v>6667</c:v>
                </c:pt>
                <c:pt idx="7">
                  <c:v>6660</c:v>
                </c:pt>
                <c:pt idx="8">
                  <c:v>6653</c:v>
                </c:pt>
                <c:pt idx="9">
                  <c:v>6800</c:v>
                </c:pt>
              </c:numCache>
            </c:numRef>
          </c:yVal>
          <c:smooth val="0"/>
        </c:ser>
        <c:dLbls>
          <c:showLegendKey val="0"/>
          <c:showVal val="0"/>
          <c:showCatName val="0"/>
          <c:showSerName val="0"/>
          <c:showPercent val="0"/>
          <c:showBubbleSize val="0"/>
        </c:dLbls>
        <c:axId val="309152456"/>
        <c:axId val="309152848"/>
      </c:scatterChart>
      <c:valAx>
        <c:axId val="309152456"/>
        <c:scaling>
          <c:orientation val="minMax"/>
        </c:scaling>
        <c:delete val="0"/>
        <c:axPos val="b"/>
        <c:numFmt formatCode="General" sourceLinked="1"/>
        <c:majorTickMark val="out"/>
        <c:minorTickMark val="none"/>
        <c:tickLblPos val="nextTo"/>
        <c:txPr>
          <a:bodyPr/>
          <a:lstStyle/>
          <a:p>
            <a:pPr>
              <a:defRPr lang="en-US"/>
            </a:pPr>
            <a:endParaRPr lang="en-US"/>
          </a:p>
        </c:txPr>
        <c:crossAx val="309152848"/>
        <c:crosses val="autoZero"/>
        <c:crossBetween val="midCat"/>
      </c:valAx>
      <c:valAx>
        <c:axId val="30915284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1524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1552</c:v>
                </c:pt>
                <c:pt idx="1">
                  <c:v>1062</c:v>
                </c:pt>
                <c:pt idx="2">
                  <c:v>833</c:v>
                </c:pt>
                <c:pt idx="3">
                  <c:v>1185</c:v>
                </c:pt>
                <c:pt idx="4">
                  <c:v>645</c:v>
                </c:pt>
                <c:pt idx="5">
                  <c:v>1243</c:v>
                </c:pt>
                <c:pt idx="6">
                  <c:v>785</c:v>
                </c:pt>
                <c:pt idx="7">
                  <c:v>800</c:v>
                </c:pt>
                <c:pt idx="8">
                  <c:v>825</c:v>
                </c:pt>
                <c:pt idx="9">
                  <c:v>870</c:v>
                </c:pt>
                <c:pt idx="10">
                  <c:v>0</c:v>
                </c:pt>
              </c:numCache>
            </c:numRef>
          </c:yVal>
          <c:smooth val="0"/>
        </c:ser>
        <c:dLbls>
          <c:showLegendKey val="0"/>
          <c:showVal val="0"/>
          <c:showCatName val="0"/>
          <c:showSerName val="0"/>
          <c:showPercent val="0"/>
          <c:showBubbleSize val="0"/>
        </c:dLbls>
        <c:axId val="309153632"/>
        <c:axId val="309154024"/>
      </c:scatterChart>
      <c:valAx>
        <c:axId val="309153632"/>
        <c:scaling>
          <c:orientation val="minMax"/>
        </c:scaling>
        <c:delete val="0"/>
        <c:axPos val="b"/>
        <c:numFmt formatCode="General" sourceLinked="1"/>
        <c:majorTickMark val="out"/>
        <c:minorTickMark val="none"/>
        <c:tickLblPos val="nextTo"/>
        <c:txPr>
          <a:bodyPr/>
          <a:lstStyle/>
          <a:p>
            <a:pPr>
              <a:defRPr lang="en-US"/>
            </a:pPr>
            <a:endParaRPr lang="en-US"/>
          </a:p>
        </c:txPr>
        <c:crossAx val="309154024"/>
        <c:crosses val="autoZero"/>
        <c:crossBetween val="midCat"/>
      </c:valAx>
      <c:valAx>
        <c:axId val="30915402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1536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9154808"/>
        <c:axId val="309155200"/>
      </c:scatterChart>
      <c:valAx>
        <c:axId val="309154808"/>
        <c:scaling>
          <c:orientation val="minMax"/>
        </c:scaling>
        <c:delete val="0"/>
        <c:axPos val="b"/>
        <c:numFmt formatCode="General" sourceLinked="1"/>
        <c:majorTickMark val="out"/>
        <c:minorTickMark val="none"/>
        <c:tickLblPos val="nextTo"/>
        <c:txPr>
          <a:bodyPr/>
          <a:lstStyle/>
          <a:p>
            <a:pPr>
              <a:defRPr lang="en-US"/>
            </a:pPr>
            <a:endParaRPr lang="en-US"/>
          </a:p>
        </c:txPr>
        <c:crossAx val="309155200"/>
        <c:crosses val="autoZero"/>
        <c:crossBetween val="midCat"/>
      </c:valAx>
      <c:valAx>
        <c:axId val="30915520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91548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5832.9281460612556</c:v>
                </c:pt>
                <c:pt idx="1">
                  <c:v>6135.528693169641</c:v>
                </c:pt>
                <c:pt idx="2">
                  <c:v>6139.159899734942</c:v>
                </c:pt>
                <c:pt idx="3">
                  <c:v>7348.3516859800529</c:v>
                </c:pt>
                <c:pt idx="4">
                  <c:v>6744.3609939517137</c:v>
                </c:pt>
                <c:pt idx="5">
                  <c:v>3644.520989373405</c:v>
                </c:pt>
                <c:pt idx="6">
                  <c:v>2983.8786277110353</c:v>
                </c:pt>
                <c:pt idx="7">
                  <c:v>3095.4386899870274</c:v>
                </c:pt>
                <c:pt idx="8">
                  <c:v>3414.1144796952408</c:v>
                </c:pt>
                <c:pt idx="9">
                  <c:v>3586.8678250762091</c:v>
                </c:pt>
              </c:numCache>
            </c:numRef>
          </c:yVal>
          <c:smooth val="0"/>
        </c:ser>
        <c:dLbls>
          <c:showLegendKey val="0"/>
          <c:showVal val="0"/>
          <c:showCatName val="0"/>
          <c:showSerName val="0"/>
          <c:showPercent val="0"/>
          <c:showBubbleSize val="0"/>
        </c:dLbls>
        <c:axId val="309155984"/>
        <c:axId val="309156376"/>
      </c:scatterChart>
      <c:valAx>
        <c:axId val="309155984"/>
        <c:scaling>
          <c:orientation val="minMax"/>
        </c:scaling>
        <c:delete val="0"/>
        <c:axPos val="b"/>
        <c:numFmt formatCode="General" sourceLinked="1"/>
        <c:majorTickMark val="out"/>
        <c:minorTickMark val="none"/>
        <c:tickLblPos val="nextTo"/>
        <c:txPr>
          <a:bodyPr/>
          <a:lstStyle/>
          <a:p>
            <a:pPr>
              <a:defRPr lang="en-US"/>
            </a:pPr>
            <a:endParaRPr lang="en-US"/>
          </a:p>
        </c:txPr>
        <c:crossAx val="309156376"/>
        <c:crosses val="autoZero"/>
        <c:crossBetween val="midCat"/>
      </c:valAx>
      <c:valAx>
        <c:axId val="30915637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559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379.91239914765663</c:v>
                </c:pt>
                <c:pt idx="1">
                  <c:v>406.6722684678092</c:v>
                </c:pt>
                <c:pt idx="2">
                  <c:v>406.88116782251717</c:v>
                </c:pt>
                <c:pt idx="3">
                  <c:v>455.13764782051345</c:v>
                </c:pt>
                <c:pt idx="4">
                  <c:v>607.92519155740433</c:v>
                </c:pt>
                <c:pt idx="5">
                  <c:v>412.55092547226803</c:v>
                </c:pt>
                <c:pt idx="6">
                  <c:v>235.02591057449638</c:v>
                </c:pt>
                <c:pt idx="7">
                  <c:v>247.21568617905868</c:v>
                </c:pt>
                <c:pt idx="8">
                  <c:v>191.32203795410254</c:v>
                </c:pt>
                <c:pt idx="9">
                  <c:v>265.04954501541255</c:v>
                </c:pt>
              </c:numCache>
            </c:numRef>
          </c:yVal>
          <c:smooth val="0"/>
        </c:ser>
        <c:dLbls>
          <c:showLegendKey val="0"/>
          <c:showVal val="0"/>
          <c:showCatName val="0"/>
          <c:showSerName val="0"/>
          <c:showPercent val="0"/>
          <c:showBubbleSize val="0"/>
        </c:dLbls>
        <c:axId val="309157160"/>
        <c:axId val="309157552"/>
      </c:scatterChart>
      <c:valAx>
        <c:axId val="309157160"/>
        <c:scaling>
          <c:orientation val="minMax"/>
        </c:scaling>
        <c:delete val="0"/>
        <c:axPos val="b"/>
        <c:numFmt formatCode="General" sourceLinked="1"/>
        <c:majorTickMark val="out"/>
        <c:minorTickMark val="none"/>
        <c:tickLblPos val="nextTo"/>
        <c:txPr>
          <a:bodyPr/>
          <a:lstStyle/>
          <a:p>
            <a:pPr>
              <a:defRPr lang="en-US"/>
            </a:pPr>
            <a:endParaRPr lang="en-US"/>
          </a:p>
        </c:txPr>
        <c:crossAx val="309157552"/>
        <c:crosses val="autoZero"/>
        <c:crossBetween val="midCat"/>
      </c:valAx>
      <c:valAx>
        <c:axId val="3091575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571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343290.36508836661</c:v>
                </c:pt>
                <c:pt idx="1">
                  <c:v>387464.74814227229</c:v>
                </c:pt>
                <c:pt idx="2">
                  <c:v>448897.80243618321</c:v>
                </c:pt>
                <c:pt idx="3">
                  <c:v>503455.26414232014</c:v>
                </c:pt>
                <c:pt idx="4">
                  <c:v>527477.31645663583</c:v>
                </c:pt>
                <c:pt idx="5">
                  <c:v>31477.643530500438</c:v>
                </c:pt>
                <c:pt idx="6">
                  <c:v>33325.458662064935</c:v>
                </c:pt>
                <c:pt idx="7">
                  <c:v>34795.181199948755</c:v>
                </c:pt>
                <c:pt idx="8">
                  <c:v>36889.03886014803</c:v>
                </c:pt>
                <c:pt idx="9">
                  <c:v>38685.281980353888</c:v>
                </c:pt>
              </c:numCache>
            </c:numRef>
          </c:val>
          <c:smooth val="0"/>
        </c:ser>
        <c:dLbls>
          <c:showLegendKey val="0"/>
          <c:showVal val="0"/>
          <c:showCatName val="0"/>
          <c:showSerName val="0"/>
          <c:showPercent val="0"/>
          <c:showBubbleSize val="0"/>
        </c:dLbls>
        <c:smooth val="0"/>
        <c:axId val="307402048"/>
        <c:axId val="307402440"/>
      </c:lineChart>
      <c:catAx>
        <c:axId val="307402048"/>
        <c:scaling>
          <c:orientation val="minMax"/>
        </c:scaling>
        <c:delete val="0"/>
        <c:axPos val="b"/>
        <c:numFmt formatCode="General" sourceLinked="1"/>
        <c:majorTickMark val="out"/>
        <c:minorTickMark val="none"/>
        <c:tickLblPos val="nextTo"/>
        <c:txPr>
          <a:bodyPr/>
          <a:lstStyle/>
          <a:p>
            <a:pPr>
              <a:defRPr lang="en-US"/>
            </a:pPr>
            <a:endParaRPr lang="en-US"/>
          </a:p>
        </c:txPr>
        <c:crossAx val="307402440"/>
        <c:crosses val="autoZero"/>
        <c:auto val="1"/>
        <c:lblAlgn val="ctr"/>
        <c:lblOffset val="100"/>
        <c:noMultiLvlLbl val="0"/>
      </c:catAx>
      <c:valAx>
        <c:axId val="3074024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402048"/>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18843.409199999995</c:v>
                </c:pt>
                <c:pt idx="1">
                  <c:v>19953.509099999999</c:v>
                </c:pt>
                <c:pt idx="2">
                  <c:v>21135.115259999999</c:v>
                </c:pt>
                <c:pt idx="3">
                  <c:v>21788.823420000004</c:v>
                </c:pt>
                <c:pt idx="4">
                  <c:v>23479.417079999996</c:v>
                </c:pt>
                <c:pt idx="5">
                  <c:v>23914.905000000002</c:v>
                </c:pt>
                <c:pt idx="6">
                  <c:v>24738.981725207974</c:v>
                </c:pt>
                <c:pt idx="7">
                  <c:v>25884.273772354099</c:v>
                </c:pt>
                <c:pt idx="8">
                  <c:v>27142.096962022501</c:v>
                </c:pt>
                <c:pt idx="9">
                  <c:v>28381.10058169084</c:v>
                </c:pt>
              </c:numCache>
            </c:numRef>
          </c:yVal>
          <c:smooth val="0"/>
        </c:ser>
        <c:dLbls>
          <c:showLegendKey val="0"/>
          <c:showVal val="0"/>
          <c:showCatName val="0"/>
          <c:showSerName val="0"/>
          <c:showPercent val="0"/>
          <c:showBubbleSize val="0"/>
        </c:dLbls>
        <c:axId val="309158336"/>
        <c:axId val="309158728"/>
      </c:scatterChart>
      <c:valAx>
        <c:axId val="309158336"/>
        <c:scaling>
          <c:orientation val="minMax"/>
        </c:scaling>
        <c:delete val="0"/>
        <c:axPos val="b"/>
        <c:numFmt formatCode="General" sourceLinked="1"/>
        <c:majorTickMark val="out"/>
        <c:minorTickMark val="none"/>
        <c:tickLblPos val="nextTo"/>
        <c:txPr>
          <a:bodyPr/>
          <a:lstStyle/>
          <a:p>
            <a:pPr>
              <a:defRPr lang="en-US"/>
            </a:pPr>
            <a:endParaRPr lang="en-US"/>
          </a:p>
        </c:txPr>
        <c:crossAx val="309158728"/>
        <c:crosses val="autoZero"/>
        <c:crossBetween val="midCat"/>
      </c:valAx>
      <c:valAx>
        <c:axId val="3091587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1583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191423.9970603715</c:v>
                </c:pt>
                <c:pt idx="1">
                  <c:v>217101.68342625719</c:v>
                </c:pt>
                <c:pt idx="2">
                  <c:v>253277.22065862859</c:v>
                </c:pt>
                <c:pt idx="3">
                  <c:v>284959.32288151432</c:v>
                </c:pt>
                <c:pt idx="4">
                  <c:v>298603.60662880004</c:v>
                </c:pt>
                <c:pt idx="5">
                  <c:v>2318.7586258571428</c:v>
                </c:pt>
                <c:pt idx="6">
                  <c:v>3550.2819188571434</c:v>
                </c:pt>
                <c:pt idx="7">
                  <c:v>3683.0184411428572</c:v>
                </c:pt>
                <c:pt idx="8">
                  <c:v>4062.1856377142858</c:v>
                </c:pt>
                <c:pt idx="9">
                  <c:v>4267.7312228571427</c:v>
                </c:pt>
              </c:numCache>
            </c:numRef>
          </c:yVal>
          <c:smooth val="0"/>
        </c:ser>
        <c:dLbls>
          <c:showLegendKey val="0"/>
          <c:showVal val="0"/>
          <c:showCatName val="0"/>
          <c:showSerName val="0"/>
          <c:showPercent val="0"/>
          <c:showBubbleSize val="0"/>
        </c:dLbls>
        <c:axId val="309472168"/>
        <c:axId val="309472560"/>
      </c:scatterChart>
      <c:valAx>
        <c:axId val="309472168"/>
        <c:scaling>
          <c:orientation val="minMax"/>
        </c:scaling>
        <c:delete val="0"/>
        <c:axPos val="b"/>
        <c:numFmt formatCode="General" sourceLinked="1"/>
        <c:majorTickMark val="out"/>
        <c:minorTickMark val="none"/>
        <c:tickLblPos val="nextTo"/>
        <c:txPr>
          <a:bodyPr/>
          <a:lstStyle/>
          <a:p>
            <a:pPr>
              <a:defRPr lang="en-US"/>
            </a:pPr>
            <a:endParaRPr lang="en-US"/>
          </a:p>
        </c:txPr>
        <c:crossAx val="309472560"/>
        <c:crosses val="autoZero"/>
        <c:crossBetween val="midCat"/>
      </c:valAx>
      <c:valAx>
        <c:axId val="3094725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4721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343290.36508836661</c:v>
                </c:pt>
                <c:pt idx="1">
                  <c:v>387464.74814227229</c:v>
                </c:pt>
                <c:pt idx="2">
                  <c:v>448897.80243618321</c:v>
                </c:pt>
                <c:pt idx="3">
                  <c:v>503455.26414232014</c:v>
                </c:pt>
                <c:pt idx="4">
                  <c:v>527477.31645663583</c:v>
                </c:pt>
                <c:pt idx="5">
                  <c:v>31477.643530500438</c:v>
                </c:pt>
                <c:pt idx="6">
                  <c:v>33325.458662064935</c:v>
                </c:pt>
                <c:pt idx="7">
                  <c:v>34795.181199948755</c:v>
                </c:pt>
                <c:pt idx="8">
                  <c:v>36889.03886014803</c:v>
                </c:pt>
                <c:pt idx="9">
                  <c:v>38685.281980353888</c:v>
                </c:pt>
              </c:numCache>
            </c:numRef>
          </c:yVal>
          <c:smooth val="0"/>
        </c:ser>
        <c:dLbls>
          <c:showLegendKey val="0"/>
          <c:showVal val="0"/>
          <c:showCatName val="0"/>
          <c:showSerName val="0"/>
          <c:showPercent val="0"/>
          <c:showBubbleSize val="0"/>
        </c:dLbls>
        <c:axId val="309473344"/>
        <c:axId val="309473736"/>
      </c:scatterChart>
      <c:valAx>
        <c:axId val="309473344"/>
        <c:scaling>
          <c:orientation val="minMax"/>
        </c:scaling>
        <c:delete val="0"/>
        <c:axPos val="b"/>
        <c:numFmt formatCode="General" sourceLinked="1"/>
        <c:majorTickMark val="out"/>
        <c:minorTickMark val="none"/>
        <c:tickLblPos val="nextTo"/>
        <c:txPr>
          <a:bodyPr/>
          <a:lstStyle/>
          <a:p>
            <a:pPr>
              <a:defRPr lang="en-US"/>
            </a:pPr>
            <a:endParaRPr lang="en-US"/>
          </a:p>
        </c:txPr>
        <c:crossAx val="309473736"/>
        <c:crosses val="autoZero"/>
        <c:crossBetween val="midCat"/>
      </c:valAx>
      <c:valAx>
        <c:axId val="30947373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4733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9474912"/>
        <c:axId val="309475304"/>
      </c:scatterChart>
      <c:valAx>
        <c:axId val="309474912"/>
        <c:scaling>
          <c:orientation val="minMax"/>
        </c:scaling>
        <c:delete val="0"/>
        <c:axPos val="b"/>
        <c:numFmt formatCode="General" sourceLinked="1"/>
        <c:majorTickMark val="out"/>
        <c:minorTickMark val="none"/>
        <c:tickLblPos val="nextTo"/>
        <c:txPr>
          <a:bodyPr/>
          <a:lstStyle/>
          <a:p>
            <a:pPr>
              <a:defRPr lang="en-US"/>
            </a:pPr>
            <a:endParaRPr lang="en-US"/>
          </a:p>
        </c:txPr>
        <c:crossAx val="309475304"/>
        <c:crosses val="autoZero"/>
        <c:crossBetween val="midCat"/>
      </c:valAx>
      <c:valAx>
        <c:axId val="30947530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94749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307403224"/>
        <c:axId val="307403616"/>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343290.36508836661</c:v>
                </c:pt>
                <c:pt idx="1">
                  <c:v>387464.74814227229</c:v>
                </c:pt>
                <c:pt idx="2">
                  <c:v>448897.80243618321</c:v>
                </c:pt>
                <c:pt idx="3">
                  <c:v>503455.26414232014</c:v>
                </c:pt>
                <c:pt idx="4">
                  <c:v>527477.31645663583</c:v>
                </c:pt>
                <c:pt idx="5">
                  <c:v>31477.643530500438</c:v>
                </c:pt>
                <c:pt idx="6">
                  <c:v>33325.458662064935</c:v>
                </c:pt>
                <c:pt idx="7">
                  <c:v>34795.181199948755</c:v>
                </c:pt>
                <c:pt idx="8">
                  <c:v>36889.03886014803</c:v>
                </c:pt>
                <c:pt idx="9">
                  <c:v>38685.281980353888</c:v>
                </c:pt>
                <c:pt idx="10">
                  <c:v>0</c:v>
                </c:pt>
              </c:numCache>
            </c:numRef>
          </c:yVal>
          <c:smooth val="0"/>
        </c:ser>
        <c:dLbls>
          <c:showLegendKey val="0"/>
          <c:showVal val="0"/>
          <c:showCatName val="0"/>
          <c:showSerName val="0"/>
          <c:showPercent val="0"/>
          <c:showBubbleSize val="0"/>
        </c:dLbls>
        <c:axId val="307403224"/>
        <c:axId val="307403616"/>
      </c:scatterChart>
      <c:catAx>
        <c:axId val="307403224"/>
        <c:scaling>
          <c:orientation val="minMax"/>
        </c:scaling>
        <c:delete val="0"/>
        <c:axPos val="b"/>
        <c:majorTickMark val="out"/>
        <c:minorTickMark val="none"/>
        <c:tickLblPos val="nextTo"/>
        <c:txPr>
          <a:bodyPr/>
          <a:lstStyle/>
          <a:p>
            <a:pPr>
              <a:defRPr lang="en-US"/>
            </a:pPr>
            <a:endParaRPr lang="en-US"/>
          </a:p>
        </c:txPr>
        <c:crossAx val="307403616"/>
        <c:crosses val="autoZero"/>
        <c:auto val="1"/>
        <c:lblAlgn val="ctr"/>
        <c:lblOffset val="100"/>
        <c:noMultiLvlLbl val="0"/>
      </c:catAx>
      <c:valAx>
        <c:axId val="307403616"/>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7403224"/>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5</c:v>
                </c:pt>
                <c:pt idx="1">
                  <c:v>12</c:v>
                </c:pt>
                <c:pt idx="2">
                  <c:v>24</c:v>
                </c:pt>
                <c:pt idx="3">
                  <c:v>51</c:v>
                </c:pt>
                <c:pt idx="4">
                  <c:v>48</c:v>
                </c:pt>
                <c:pt idx="5">
                  <c:v>62</c:v>
                </c:pt>
                <c:pt idx="6">
                  <c:v>72</c:v>
                </c:pt>
                <c:pt idx="7">
                  <c:v>82</c:v>
                </c:pt>
                <c:pt idx="8">
                  <c:v>92</c:v>
                </c:pt>
                <c:pt idx="9">
                  <c:v>110</c:v>
                </c:pt>
              </c:numCache>
            </c:numRef>
          </c:val>
        </c:ser>
        <c:dLbls>
          <c:showLegendKey val="0"/>
          <c:showVal val="0"/>
          <c:showCatName val="0"/>
          <c:showSerName val="0"/>
          <c:showPercent val="0"/>
          <c:showBubbleSize val="0"/>
        </c:dLbls>
        <c:gapWidth val="150"/>
        <c:axId val="307406360"/>
        <c:axId val="307406752"/>
      </c:barChart>
      <c:catAx>
        <c:axId val="307406360"/>
        <c:scaling>
          <c:orientation val="minMax"/>
        </c:scaling>
        <c:delete val="0"/>
        <c:axPos val="b"/>
        <c:majorTickMark val="out"/>
        <c:minorTickMark val="none"/>
        <c:tickLblPos val="nextTo"/>
        <c:txPr>
          <a:bodyPr/>
          <a:lstStyle/>
          <a:p>
            <a:pPr>
              <a:defRPr lang="en-US"/>
            </a:pPr>
            <a:endParaRPr lang="en-US"/>
          </a:p>
        </c:txPr>
        <c:crossAx val="307406752"/>
        <c:crosses val="autoZero"/>
        <c:auto val="1"/>
        <c:lblAlgn val="ctr"/>
        <c:lblOffset val="100"/>
        <c:noMultiLvlLbl val="0"/>
      </c:catAx>
      <c:valAx>
        <c:axId val="3074067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4063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15022</c:v>
                </c:pt>
                <c:pt idx="1">
                  <c:v>15983</c:v>
                </c:pt>
                <c:pt idx="2">
                  <c:v>17177</c:v>
                </c:pt>
                <c:pt idx="3">
                  <c:v>17406</c:v>
                </c:pt>
                <c:pt idx="4">
                  <c:v>17977</c:v>
                </c:pt>
                <c:pt idx="5">
                  <c:v>19118</c:v>
                </c:pt>
                <c:pt idx="6">
                  <c:v>19665.814975404744</c:v>
                </c:pt>
                <c:pt idx="7">
                  <c:v>20568.816986462403</c:v>
                </c:pt>
                <c:pt idx="8">
                  <c:v>21513.282452403269</c:v>
                </c:pt>
                <c:pt idx="9">
                  <c:v>22457.747918344099</c:v>
                </c:pt>
              </c:numCache>
            </c:numRef>
          </c:val>
        </c:ser>
        <c:dLbls>
          <c:showLegendKey val="0"/>
          <c:showVal val="0"/>
          <c:showCatName val="0"/>
          <c:showSerName val="0"/>
          <c:showPercent val="0"/>
          <c:showBubbleSize val="0"/>
        </c:dLbls>
        <c:gapWidth val="150"/>
        <c:axId val="307407536"/>
        <c:axId val="307407928"/>
      </c:barChart>
      <c:catAx>
        <c:axId val="307407536"/>
        <c:scaling>
          <c:orientation val="minMax"/>
        </c:scaling>
        <c:delete val="0"/>
        <c:axPos val="b"/>
        <c:majorTickMark val="out"/>
        <c:minorTickMark val="none"/>
        <c:tickLblPos val="nextTo"/>
        <c:txPr>
          <a:bodyPr/>
          <a:lstStyle/>
          <a:p>
            <a:pPr>
              <a:defRPr lang="en-US"/>
            </a:pPr>
            <a:endParaRPr lang="en-US"/>
          </a:p>
        </c:txPr>
        <c:crossAx val="307407928"/>
        <c:crosses val="autoZero"/>
        <c:auto val="1"/>
        <c:lblAlgn val="ctr"/>
        <c:lblOffset val="100"/>
        <c:noMultiLvlLbl val="0"/>
      </c:catAx>
      <c:valAx>
        <c:axId val="3074079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4075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787</c:v>
                </c:pt>
                <c:pt idx="1">
                  <c:v>779</c:v>
                </c:pt>
                <c:pt idx="2">
                  <c:v>682</c:v>
                </c:pt>
                <c:pt idx="3">
                  <c:v>617</c:v>
                </c:pt>
                <c:pt idx="4">
                  <c:v>715</c:v>
                </c:pt>
                <c:pt idx="5">
                  <c:v>777</c:v>
                </c:pt>
                <c:pt idx="6">
                  <c:v>870</c:v>
                </c:pt>
                <c:pt idx="7">
                  <c:v>899</c:v>
                </c:pt>
                <c:pt idx="8">
                  <c:v>1016</c:v>
                </c:pt>
                <c:pt idx="9">
                  <c:v>1117</c:v>
                </c:pt>
              </c:numCache>
            </c:numRef>
          </c:val>
        </c:ser>
        <c:dLbls>
          <c:showLegendKey val="0"/>
          <c:showVal val="0"/>
          <c:showCatName val="0"/>
          <c:showSerName val="0"/>
          <c:showPercent val="0"/>
          <c:showBubbleSize val="0"/>
        </c:dLbls>
        <c:gapWidth val="150"/>
        <c:overlap val="100"/>
        <c:axId val="308765216"/>
        <c:axId val="308765608"/>
      </c:barChart>
      <c:catAx>
        <c:axId val="308765216"/>
        <c:scaling>
          <c:orientation val="minMax"/>
        </c:scaling>
        <c:delete val="0"/>
        <c:axPos val="b"/>
        <c:majorTickMark val="out"/>
        <c:minorTickMark val="none"/>
        <c:tickLblPos val="nextTo"/>
        <c:txPr>
          <a:bodyPr/>
          <a:lstStyle/>
          <a:p>
            <a:pPr>
              <a:defRPr lang="en-US"/>
            </a:pPr>
            <a:endParaRPr lang="en-US"/>
          </a:p>
        </c:txPr>
        <c:crossAx val="308765608"/>
        <c:crosses val="autoZero"/>
        <c:auto val="1"/>
        <c:lblAlgn val="ctr"/>
        <c:lblOffset val="100"/>
        <c:noMultiLvlLbl val="0"/>
      </c:catAx>
      <c:valAx>
        <c:axId val="3087656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7652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33</c:v>
                </c:pt>
                <c:pt idx="4">
                  <c:v>37</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405576"/>
        <c:axId val="307405184"/>
      </c:barChart>
      <c:catAx>
        <c:axId val="307405576"/>
        <c:scaling>
          <c:orientation val="minMax"/>
        </c:scaling>
        <c:delete val="0"/>
        <c:axPos val="b"/>
        <c:majorTickMark val="out"/>
        <c:minorTickMark val="none"/>
        <c:tickLblPos val="nextTo"/>
        <c:txPr>
          <a:bodyPr/>
          <a:lstStyle/>
          <a:p>
            <a:pPr>
              <a:defRPr lang="en-US"/>
            </a:pPr>
            <a:endParaRPr lang="en-US"/>
          </a:p>
        </c:txPr>
        <c:crossAx val="307405184"/>
        <c:crosses val="autoZero"/>
        <c:auto val="1"/>
        <c:lblAlgn val="ctr"/>
        <c:lblOffset val="100"/>
        <c:noMultiLvlLbl val="0"/>
      </c:catAx>
      <c:valAx>
        <c:axId val="3074051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4055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6977</c:v>
                </c:pt>
                <c:pt idx="1">
                  <c:v>7633</c:v>
                </c:pt>
                <c:pt idx="2">
                  <c:v>8320</c:v>
                </c:pt>
                <c:pt idx="3">
                  <c:v>9953</c:v>
                </c:pt>
                <c:pt idx="4">
                  <c:v>10799</c:v>
                </c:pt>
                <c:pt idx="5">
                  <c:v>11000</c:v>
                </c:pt>
                <c:pt idx="6">
                  <c:v>11639</c:v>
                </c:pt>
                <c:pt idx="7">
                  <c:v>12125</c:v>
                </c:pt>
                <c:pt idx="8">
                  <c:v>12225</c:v>
                </c:pt>
                <c:pt idx="9">
                  <c:v>12424</c:v>
                </c:pt>
              </c:numCache>
            </c:numRef>
          </c:val>
        </c:ser>
        <c:dLbls>
          <c:showLegendKey val="0"/>
          <c:showVal val="0"/>
          <c:showCatName val="0"/>
          <c:showSerName val="0"/>
          <c:showPercent val="0"/>
          <c:showBubbleSize val="0"/>
        </c:dLbls>
        <c:gapWidth val="150"/>
        <c:axId val="307405968"/>
        <c:axId val="307404400"/>
      </c:barChart>
      <c:catAx>
        <c:axId val="307405968"/>
        <c:scaling>
          <c:orientation val="minMax"/>
        </c:scaling>
        <c:delete val="0"/>
        <c:axPos val="b"/>
        <c:majorTickMark val="out"/>
        <c:minorTickMark val="none"/>
        <c:tickLblPos val="nextTo"/>
        <c:txPr>
          <a:bodyPr/>
          <a:lstStyle/>
          <a:p>
            <a:pPr>
              <a:defRPr lang="en-US"/>
            </a:pPr>
            <a:endParaRPr lang="en-US"/>
          </a:p>
        </c:txPr>
        <c:crossAx val="307404400"/>
        <c:crosses val="autoZero"/>
        <c:auto val="1"/>
        <c:lblAlgn val="ctr"/>
        <c:lblOffset val="100"/>
        <c:noMultiLvlLbl val="0"/>
      </c:catAx>
      <c:valAx>
        <c:axId val="3074044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4059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10</c:v>
                </c:pt>
                <c:pt idx="4">
                  <c:v>60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766784"/>
        <c:axId val="308767176"/>
      </c:barChart>
      <c:catAx>
        <c:axId val="308766784"/>
        <c:scaling>
          <c:orientation val="minMax"/>
        </c:scaling>
        <c:delete val="0"/>
        <c:axPos val="b"/>
        <c:majorTickMark val="out"/>
        <c:minorTickMark val="none"/>
        <c:tickLblPos val="nextTo"/>
        <c:txPr>
          <a:bodyPr/>
          <a:lstStyle/>
          <a:p>
            <a:pPr>
              <a:defRPr lang="en-US"/>
            </a:pPr>
            <a:endParaRPr lang="en-US"/>
          </a:p>
        </c:txPr>
        <c:crossAx val="308767176"/>
        <c:crosses val="autoZero"/>
        <c:auto val="1"/>
        <c:lblAlgn val="ctr"/>
        <c:lblOffset val="100"/>
        <c:noMultiLvlLbl val="0"/>
      </c:catAx>
      <c:valAx>
        <c:axId val="3087671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7667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row r="16">
          <cell r="B16">
            <v>4819</v>
          </cell>
          <cell r="G16">
            <v>5650</v>
          </cell>
          <cell r="N16">
            <v>15022</v>
          </cell>
          <cell r="O16">
            <v>5</v>
          </cell>
          <cell r="P16">
            <v>787</v>
          </cell>
          <cell r="Q16">
            <v>6977</v>
          </cell>
          <cell r="R16">
            <v>0</v>
          </cell>
          <cell r="S16">
            <v>5800</v>
          </cell>
          <cell r="T16">
            <v>0</v>
          </cell>
          <cell r="U16">
            <v>557800</v>
          </cell>
          <cell r="V16">
            <v>1821500</v>
          </cell>
          <cell r="W16">
            <v>15000</v>
          </cell>
          <cell r="X16">
            <v>11213</v>
          </cell>
          <cell r="Z16">
            <v>538</v>
          </cell>
          <cell r="AA16">
            <v>299</v>
          </cell>
          <cell r="AB16">
            <v>191</v>
          </cell>
          <cell r="AC16">
            <v>200</v>
          </cell>
          <cell r="AD16">
            <v>257</v>
          </cell>
          <cell r="AE16">
            <v>67</v>
          </cell>
        </row>
        <row r="17">
          <cell r="B17">
            <v>5069</v>
          </cell>
          <cell r="G17">
            <v>5910</v>
          </cell>
          <cell r="N17">
            <v>15983</v>
          </cell>
          <cell r="O17">
            <v>12</v>
          </cell>
          <cell r="P17">
            <v>779</v>
          </cell>
          <cell r="Q17">
            <v>7633</v>
          </cell>
          <cell r="R17">
            <v>0</v>
          </cell>
          <cell r="S17">
            <v>6591</v>
          </cell>
          <cell r="T17">
            <v>0</v>
          </cell>
          <cell r="U17">
            <v>625168</v>
          </cell>
          <cell r="V17">
            <v>1903693</v>
          </cell>
          <cell r="W17">
            <v>29293</v>
          </cell>
          <cell r="X17">
            <v>16588</v>
          </cell>
          <cell r="Z17">
            <v>275</v>
          </cell>
          <cell r="AA17">
            <v>288</v>
          </cell>
          <cell r="AB17">
            <v>190</v>
          </cell>
          <cell r="AC17">
            <v>195</v>
          </cell>
          <cell r="AD17">
            <v>70</v>
          </cell>
          <cell r="AE17">
            <v>44</v>
          </cell>
        </row>
        <row r="18">
          <cell r="B18">
            <v>5072</v>
          </cell>
          <cell r="G18">
            <v>5047</v>
          </cell>
          <cell r="N18">
            <v>17177</v>
          </cell>
          <cell r="O18">
            <v>24</v>
          </cell>
          <cell r="P18">
            <v>682</v>
          </cell>
          <cell r="Q18">
            <v>8320</v>
          </cell>
          <cell r="R18">
            <v>0</v>
          </cell>
          <cell r="S18">
            <v>5933</v>
          </cell>
          <cell r="T18">
            <v>0</v>
          </cell>
          <cell r="U18">
            <v>626591</v>
          </cell>
          <cell r="V18">
            <v>1825000</v>
          </cell>
          <cell r="W18">
            <v>29293</v>
          </cell>
          <cell r="X18">
            <v>17199</v>
          </cell>
          <cell r="Z18">
            <v>299</v>
          </cell>
          <cell r="AA18">
            <v>204</v>
          </cell>
          <cell r="AB18">
            <v>93</v>
          </cell>
          <cell r="AC18">
            <v>144</v>
          </cell>
          <cell r="AD18">
            <v>49</v>
          </cell>
          <cell r="AE18">
            <v>44</v>
          </cell>
        </row>
        <row r="19">
          <cell r="B19">
            <v>6071</v>
          </cell>
          <cell r="G19">
            <v>6343</v>
          </cell>
          <cell r="N19">
            <v>17406</v>
          </cell>
          <cell r="O19">
            <v>51</v>
          </cell>
          <cell r="P19">
            <v>617</v>
          </cell>
          <cell r="Q19">
            <v>9953</v>
          </cell>
          <cell r="R19">
            <v>33</v>
          </cell>
          <cell r="S19">
            <v>6528</v>
          </cell>
          <cell r="T19">
            <v>10</v>
          </cell>
          <cell r="U19">
            <v>633398</v>
          </cell>
          <cell r="V19">
            <v>2192083</v>
          </cell>
          <cell r="W19">
            <v>28166</v>
          </cell>
          <cell r="X19">
            <v>29446</v>
          </cell>
          <cell r="Z19">
            <v>452</v>
          </cell>
          <cell r="AA19">
            <v>279</v>
          </cell>
          <cell r="AB19">
            <v>115</v>
          </cell>
          <cell r="AC19">
            <v>192</v>
          </cell>
          <cell r="AD19">
            <v>90</v>
          </cell>
          <cell r="AE19">
            <v>57</v>
          </cell>
        </row>
        <row r="20">
          <cell r="B20">
            <v>5572</v>
          </cell>
          <cell r="G20">
            <v>6270</v>
          </cell>
          <cell r="N20">
            <v>17977</v>
          </cell>
          <cell r="O20">
            <v>48</v>
          </cell>
          <cell r="P20">
            <v>715</v>
          </cell>
          <cell r="Q20">
            <v>10799</v>
          </cell>
          <cell r="R20">
            <v>37</v>
          </cell>
          <cell r="S20">
            <v>8445</v>
          </cell>
          <cell r="T20">
            <v>60</v>
          </cell>
          <cell r="U20">
            <v>465533</v>
          </cell>
          <cell r="V20">
            <v>3705919</v>
          </cell>
          <cell r="W20">
            <v>40570</v>
          </cell>
          <cell r="X20">
            <v>21273</v>
          </cell>
          <cell r="Z20">
            <v>160</v>
          </cell>
          <cell r="AA20">
            <v>226</v>
          </cell>
          <cell r="AB20">
            <v>98</v>
          </cell>
          <cell r="AC20">
            <v>94</v>
          </cell>
          <cell r="AD20">
            <v>39</v>
          </cell>
          <cell r="AE20">
            <v>28</v>
          </cell>
        </row>
        <row r="21">
          <cell r="B21">
            <v>3011</v>
          </cell>
          <cell r="G21">
            <v>5027</v>
          </cell>
          <cell r="N21">
            <v>19118</v>
          </cell>
          <cell r="O21">
            <v>62</v>
          </cell>
          <cell r="P21">
            <v>777</v>
          </cell>
          <cell r="Q21">
            <v>11000</v>
          </cell>
          <cell r="S21">
            <v>8906</v>
          </cell>
          <cell r="U21">
            <v>470495</v>
          </cell>
          <cell r="V21">
            <v>1648162</v>
          </cell>
          <cell r="W21"/>
          <cell r="X21">
            <v>5343</v>
          </cell>
          <cell r="Z21">
            <v>628</v>
          </cell>
          <cell r="AA21">
            <v>403</v>
          </cell>
          <cell r="AB21">
            <v>59</v>
          </cell>
          <cell r="AC21">
            <v>16</v>
          </cell>
          <cell r="AD21">
            <v>55</v>
          </cell>
          <cell r="AE21">
            <v>82</v>
          </cell>
        </row>
        <row r="22">
          <cell r="B22">
            <v>6339</v>
          </cell>
          <cell r="G22">
            <v>6667</v>
          </cell>
          <cell r="N22">
            <v>19665.814975404744</v>
          </cell>
          <cell r="O22">
            <v>72</v>
          </cell>
          <cell r="P22">
            <v>870</v>
          </cell>
          <cell r="Q22">
            <v>11639</v>
          </cell>
          <cell r="S22">
            <v>9150</v>
          </cell>
          <cell r="U22">
            <v>470745</v>
          </cell>
          <cell r="V22">
            <v>1748805</v>
          </cell>
          <cell r="W22"/>
          <cell r="X22">
            <v>5450</v>
          </cell>
          <cell r="Z22">
            <v>200</v>
          </cell>
          <cell r="AA22">
            <v>255</v>
          </cell>
          <cell r="AB22">
            <v>105</v>
          </cell>
          <cell r="AC22">
            <v>125</v>
          </cell>
          <cell r="AD22">
            <v>50</v>
          </cell>
          <cell r="AE22">
            <v>50</v>
          </cell>
        </row>
        <row r="23">
          <cell r="B23">
            <v>6576</v>
          </cell>
          <cell r="G23">
            <v>6660</v>
          </cell>
          <cell r="N23">
            <v>20568.816986462403</v>
          </cell>
          <cell r="O23">
            <v>82</v>
          </cell>
          <cell r="P23">
            <v>899</v>
          </cell>
          <cell r="Q23">
            <v>12125</v>
          </cell>
          <cell r="S23">
            <v>9636</v>
          </cell>
          <cell r="U23">
            <v>471245</v>
          </cell>
          <cell r="V23">
            <v>1859196</v>
          </cell>
          <cell r="W23"/>
          <cell r="X23">
            <v>5559</v>
          </cell>
          <cell r="Z23">
            <v>200</v>
          </cell>
          <cell r="AA23">
            <v>260</v>
          </cell>
          <cell r="AB23">
            <v>110</v>
          </cell>
          <cell r="AC23">
            <v>130</v>
          </cell>
          <cell r="AD23">
            <v>50</v>
          </cell>
          <cell r="AE23">
            <v>50</v>
          </cell>
        </row>
        <row r="24">
          <cell r="B24">
            <v>7253</v>
          </cell>
          <cell r="G24">
            <v>6653</v>
          </cell>
          <cell r="N24">
            <v>21513.282452403269</v>
          </cell>
          <cell r="O24">
            <v>92</v>
          </cell>
          <cell r="P24">
            <v>1016</v>
          </cell>
          <cell r="Q24">
            <v>12225</v>
          </cell>
          <cell r="S24">
            <v>10243</v>
          </cell>
          <cell r="U24">
            <v>471495</v>
          </cell>
          <cell r="V24">
            <v>1938835</v>
          </cell>
          <cell r="W24"/>
          <cell r="X24">
            <v>5670</v>
          </cell>
          <cell r="Z24">
            <v>200</v>
          </cell>
          <cell r="AA24">
            <v>270</v>
          </cell>
          <cell r="AB24">
            <v>115</v>
          </cell>
          <cell r="AC24">
            <v>140</v>
          </cell>
          <cell r="AD24">
            <v>50</v>
          </cell>
          <cell r="AE24">
            <v>50</v>
          </cell>
        </row>
        <row r="25">
          <cell r="B25">
            <v>7620</v>
          </cell>
          <cell r="G25">
            <v>6800</v>
          </cell>
          <cell r="N25">
            <v>22457.747918344099</v>
          </cell>
          <cell r="O25">
            <v>110</v>
          </cell>
          <cell r="P25">
            <v>1117</v>
          </cell>
          <cell r="Q25">
            <v>12424</v>
          </cell>
          <cell r="S25">
            <v>10706</v>
          </cell>
          <cell r="U25">
            <v>472495</v>
          </cell>
          <cell r="V25">
            <v>2013722</v>
          </cell>
          <cell r="W25"/>
          <cell r="X25">
            <v>5783</v>
          </cell>
          <cell r="Z25">
            <v>200</v>
          </cell>
          <cell r="AA25">
            <v>300</v>
          </cell>
          <cell r="AB25">
            <v>120</v>
          </cell>
          <cell r="AC25">
            <v>150</v>
          </cell>
          <cell r="AD25">
            <v>50</v>
          </cell>
          <cell r="AE25">
            <v>50</v>
          </cell>
        </row>
      </sheetData>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row r="17">
          <cell r="F17">
            <v>270626</v>
          </cell>
        </row>
        <row r="18">
          <cell r="F18">
            <v>307368</v>
          </cell>
        </row>
        <row r="19">
          <cell r="F19">
            <v>359519</v>
          </cell>
        </row>
        <row r="20">
          <cell r="F20">
            <v>404086</v>
          </cell>
        </row>
        <row r="21">
          <cell r="F21">
            <v>424311</v>
          </cell>
        </row>
        <row r="22">
          <cell r="F22">
            <v>450636</v>
          </cell>
        </row>
        <row r="23">
          <cell r="F23">
            <v>460224.22222222225</v>
          </cell>
        </row>
        <row r="24">
          <cell r="F24">
            <v>470192.4444444445</v>
          </cell>
        </row>
        <row r="25">
          <cell r="F25">
            <v>480160.66666666674</v>
          </cell>
        </row>
        <row r="26">
          <cell r="F26">
            <v>490128.88888888899</v>
          </cell>
        </row>
      </sheetData>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13" zoomScale="85" zoomScaleNormal="85" workbookViewId="0">
      <selection activeCell="C28" sqref="C28"/>
    </sheetView>
  </sheetViews>
  <sheetFormatPr defaultRowHeight="15" x14ac:dyDescent="0.25"/>
  <cols>
    <col min="1" max="1" width="5.7109375" style="33" customWidth="1"/>
    <col min="2" max="2" width="29.42578125" style="33" customWidth="1"/>
    <col min="3" max="3" width="31" style="33" customWidth="1"/>
    <col min="4" max="4" width="18.28515625" style="33" customWidth="1"/>
    <col min="5" max="5" width="12.5703125" style="33" customWidth="1"/>
    <col min="6" max="6" width="21.140625" style="278"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6" t="s">
        <v>324</v>
      </c>
      <c r="F3" s="425" t="s">
        <v>467</v>
      </c>
      <c r="G3" s="425"/>
      <c r="H3" s="425"/>
    </row>
    <row r="4" spans="1:8" ht="30.75" customHeight="1" thickBot="1" x14ac:dyDescent="0.3">
      <c r="A4" s="65" t="s">
        <v>59</v>
      </c>
      <c r="B4" s="66" t="s">
        <v>60</v>
      </c>
      <c r="C4" s="66" t="s">
        <v>61</v>
      </c>
      <c r="D4" s="67" t="s">
        <v>62</v>
      </c>
      <c r="F4" s="287" t="s">
        <v>60</v>
      </c>
      <c r="G4" s="288" t="s">
        <v>474</v>
      </c>
      <c r="H4" s="289" t="s">
        <v>475</v>
      </c>
    </row>
    <row r="5" spans="1:8" x14ac:dyDescent="0.25">
      <c r="A5" s="62">
        <v>1</v>
      </c>
      <c r="B5" s="63" t="s">
        <v>63</v>
      </c>
      <c r="C5" s="63">
        <v>47</v>
      </c>
      <c r="D5" s="64">
        <v>0.72</v>
      </c>
      <c r="F5" s="280" t="s">
        <v>464</v>
      </c>
      <c r="G5" s="269">
        <v>0.47</v>
      </c>
      <c r="H5" s="284">
        <v>300</v>
      </c>
    </row>
    <row r="6" spans="1:8" x14ac:dyDescent="0.25">
      <c r="A6" s="57">
        <v>2</v>
      </c>
      <c r="B6" s="56" t="s">
        <v>64</v>
      </c>
      <c r="C6" s="56">
        <v>61</v>
      </c>
      <c r="D6" s="58">
        <v>0.75</v>
      </c>
      <c r="F6" s="280" t="s">
        <v>465</v>
      </c>
      <c r="G6" s="269">
        <v>0.34</v>
      </c>
      <c r="H6" s="284">
        <v>250</v>
      </c>
    </row>
    <row r="7" spans="1:8" x14ac:dyDescent="0.25">
      <c r="A7" s="57">
        <v>3</v>
      </c>
      <c r="B7" s="56" t="s">
        <v>22</v>
      </c>
      <c r="C7" s="56">
        <v>55</v>
      </c>
      <c r="D7" s="58">
        <v>0.72</v>
      </c>
      <c r="F7" s="280" t="s">
        <v>66</v>
      </c>
      <c r="G7" s="282">
        <v>0.5</v>
      </c>
      <c r="H7" s="284">
        <v>100</v>
      </c>
    </row>
    <row r="8" spans="1:8" x14ac:dyDescent="0.25">
      <c r="A8" s="57">
        <v>4</v>
      </c>
      <c r="B8" s="56" t="s">
        <v>65</v>
      </c>
      <c r="C8" s="56">
        <v>5</v>
      </c>
      <c r="D8" s="58"/>
      <c r="F8" s="280" t="s">
        <v>468</v>
      </c>
      <c r="G8" s="269">
        <v>0.82</v>
      </c>
      <c r="H8" s="284">
        <v>2</v>
      </c>
    </row>
    <row r="9" spans="1:8" x14ac:dyDescent="0.25">
      <c r="A9" s="57">
        <v>5</v>
      </c>
      <c r="B9" s="56" t="s">
        <v>23</v>
      </c>
      <c r="C9" s="56">
        <v>5</v>
      </c>
      <c r="D9" s="58"/>
      <c r="F9" s="280" t="s">
        <v>469</v>
      </c>
      <c r="G9" s="269">
        <v>0.6</v>
      </c>
      <c r="H9" s="284">
        <v>1.5</v>
      </c>
    </row>
    <row r="10" spans="1:8" x14ac:dyDescent="0.25">
      <c r="A10" s="57">
        <v>6</v>
      </c>
      <c r="B10" s="56" t="s">
        <v>66</v>
      </c>
      <c r="C10" s="56">
        <v>1</v>
      </c>
      <c r="D10" s="58"/>
      <c r="F10" s="280" t="s">
        <v>470</v>
      </c>
      <c r="G10" s="269">
        <v>0.82</v>
      </c>
      <c r="H10" s="284">
        <v>2</v>
      </c>
    </row>
    <row r="11" spans="1:8" ht="15.75" thickBot="1" x14ac:dyDescent="0.3">
      <c r="A11" s="59">
        <v>7</v>
      </c>
      <c r="B11" s="60" t="s">
        <v>24</v>
      </c>
      <c r="C11" s="60">
        <v>18</v>
      </c>
      <c r="D11" s="61"/>
      <c r="F11" s="280" t="s">
        <v>471</v>
      </c>
      <c r="G11" s="269">
        <v>1.1000000000000001</v>
      </c>
      <c r="H11" s="284">
        <v>2</v>
      </c>
    </row>
    <row r="12" spans="1:8" x14ac:dyDescent="0.25">
      <c r="F12" s="280" t="s">
        <v>472</v>
      </c>
      <c r="G12" s="269">
        <v>0.74</v>
      </c>
      <c r="H12" s="284">
        <v>5</v>
      </c>
    </row>
    <row r="13" spans="1:8" ht="16.5" thickBot="1" x14ac:dyDescent="0.3">
      <c r="A13" s="55" t="s">
        <v>325</v>
      </c>
      <c r="F13" s="280" t="s">
        <v>473</v>
      </c>
      <c r="G13" s="269">
        <v>0.83</v>
      </c>
      <c r="H13" s="284">
        <v>2</v>
      </c>
    </row>
    <row r="14" spans="1:8" ht="15.75" thickBot="1" x14ac:dyDescent="0.3">
      <c r="A14" s="65" t="s">
        <v>59</v>
      </c>
      <c r="B14" s="66" t="s">
        <v>60</v>
      </c>
      <c r="C14" s="293" t="s">
        <v>61</v>
      </c>
      <c r="F14" s="280" t="s">
        <v>65</v>
      </c>
      <c r="G14" s="269">
        <v>1.17</v>
      </c>
      <c r="H14" s="284">
        <v>45</v>
      </c>
    </row>
    <row r="15" spans="1:8" x14ac:dyDescent="0.25">
      <c r="A15" s="62">
        <v>1</v>
      </c>
      <c r="B15" s="63" t="s">
        <v>63</v>
      </c>
      <c r="C15" s="64">
        <v>1</v>
      </c>
      <c r="F15" s="280" t="s">
        <v>23</v>
      </c>
      <c r="G15" s="269">
        <v>1.37</v>
      </c>
      <c r="H15" s="284">
        <v>40</v>
      </c>
    </row>
    <row r="16" spans="1:8" x14ac:dyDescent="0.25">
      <c r="A16" s="57">
        <v>2</v>
      </c>
      <c r="B16" s="56" t="s">
        <v>64</v>
      </c>
      <c r="C16" s="58">
        <v>31</v>
      </c>
      <c r="F16" s="280" t="s">
        <v>24</v>
      </c>
      <c r="G16" s="269">
        <v>0.46</v>
      </c>
      <c r="H16" s="284">
        <v>550</v>
      </c>
    </row>
    <row r="17" spans="1:8" ht="15.75" thickBot="1" x14ac:dyDescent="0.3">
      <c r="A17" s="57">
        <v>3</v>
      </c>
      <c r="B17" s="56" t="s">
        <v>22</v>
      </c>
      <c r="C17" s="58">
        <v>2</v>
      </c>
      <c r="F17" s="281" t="s">
        <v>22</v>
      </c>
      <c r="G17" s="283">
        <v>0.32</v>
      </c>
      <c r="H17" s="285">
        <v>300</v>
      </c>
    </row>
    <row r="18" spans="1:8" x14ac:dyDescent="0.25">
      <c r="A18" s="57">
        <v>4</v>
      </c>
      <c r="B18" s="406" t="s">
        <v>65</v>
      </c>
      <c r="C18" s="407">
        <v>0.2</v>
      </c>
      <c r="D18" s="33">
        <v>0.15</v>
      </c>
      <c r="H18" s="34"/>
    </row>
    <row r="19" spans="1:8" x14ac:dyDescent="0.25">
      <c r="A19" s="57">
        <v>5</v>
      </c>
      <c r="B19" s="406" t="s">
        <v>23</v>
      </c>
      <c r="C19" s="407">
        <v>0.22</v>
      </c>
      <c r="D19" s="33">
        <v>0.17</v>
      </c>
      <c r="H19" s="34"/>
    </row>
    <row r="20" spans="1:8" x14ac:dyDescent="0.25">
      <c r="A20" s="57">
        <v>6</v>
      </c>
      <c r="B20" s="56" t="s">
        <v>66</v>
      </c>
      <c r="C20" s="58">
        <v>7</v>
      </c>
      <c r="H20" s="34"/>
    </row>
    <row r="21" spans="1:8" x14ac:dyDescent="0.25">
      <c r="A21" s="57">
        <v>7</v>
      </c>
      <c r="B21" s="406" t="s">
        <v>24</v>
      </c>
      <c r="C21" s="407">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406" t="s">
        <v>69</v>
      </c>
      <c r="C24" s="407">
        <v>0.02</v>
      </c>
      <c r="D24" s="33">
        <v>0.03</v>
      </c>
    </row>
    <row r="25" spans="1:8" ht="15.75" thickBot="1" x14ac:dyDescent="0.3">
      <c r="A25" s="59">
        <v>11</v>
      </c>
      <c r="B25" s="408" t="s">
        <v>70</v>
      </c>
      <c r="C25" s="409">
        <v>0.02</v>
      </c>
      <c r="D25" s="33">
        <v>0.03</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410" t="s">
        <v>84</v>
      </c>
      <c r="C30" s="410">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9"/>
    </row>
    <row r="42" spans="1:7" x14ac:dyDescent="0.25">
      <c r="F42" s="279"/>
    </row>
    <row r="43" spans="1:7" x14ac:dyDescent="0.25">
      <c r="F43" s="279"/>
    </row>
    <row r="44" spans="1:7" x14ac:dyDescent="0.25">
      <c r="F44" s="279"/>
    </row>
    <row r="45" spans="1:7" x14ac:dyDescent="0.25">
      <c r="F45" s="279"/>
    </row>
    <row r="46" spans="1:7" x14ac:dyDescent="0.25">
      <c r="F46" s="279"/>
    </row>
    <row r="47" spans="1:7" x14ac:dyDescent="0.25">
      <c r="F47" s="279"/>
    </row>
    <row r="48" spans="1:7" x14ac:dyDescent="0.25">
      <c r="F48" s="279"/>
    </row>
    <row r="49" spans="6:6" x14ac:dyDescent="0.25">
      <c r="F49" s="279"/>
    </row>
    <row r="50" spans="6:6" x14ac:dyDescent="0.25">
      <c r="F50" s="279"/>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4"/>
      <c r="D3" s="507" t="s">
        <v>501</v>
      </c>
      <c r="E3" s="508" t="s">
        <v>502</v>
      </c>
      <c r="F3" s="508"/>
      <c r="G3" s="508"/>
      <c r="H3" s="508"/>
    </row>
    <row r="4" spans="3:8" x14ac:dyDescent="0.25">
      <c r="C4" s="394"/>
      <c r="D4" s="507"/>
      <c r="E4" s="395" t="s">
        <v>307</v>
      </c>
      <c r="F4" s="395" t="s">
        <v>503</v>
      </c>
      <c r="G4" s="395" t="s">
        <v>504</v>
      </c>
      <c r="H4" s="395" t="s">
        <v>505</v>
      </c>
    </row>
    <row r="5" spans="3:8" x14ac:dyDescent="0.25">
      <c r="C5" s="394"/>
      <c r="D5" s="394"/>
      <c r="E5" s="387"/>
      <c r="F5" s="387"/>
      <c r="G5" s="387"/>
      <c r="H5" s="387"/>
    </row>
    <row r="6" spans="3:8" x14ac:dyDescent="0.25">
      <c r="C6" s="396">
        <f>'Direct N2O'!A36</f>
        <v>2011</v>
      </c>
      <c r="D6" s="397">
        <f>'Direct N2O'!AA36*10^-3</f>
        <v>40694.726620000009</v>
      </c>
      <c r="E6" s="398">
        <f>(0.0075*0.3)+(0.1*0.01)</f>
        <v>3.2499999999999999E-3</v>
      </c>
      <c r="F6" s="388">
        <f>D6*E6</f>
        <v>132.25786151500003</v>
      </c>
      <c r="G6" s="388">
        <f>F6*44/28</f>
        <v>207.83378238071435</v>
      </c>
      <c r="H6" s="388">
        <f>G6*298</f>
        <v>61934.467149452874</v>
      </c>
    </row>
    <row r="7" spans="3:8" x14ac:dyDescent="0.25">
      <c r="C7" s="396">
        <f>'Direct N2O'!A37</f>
        <v>2012</v>
      </c>
      <c r="D7" s="397">
        <f>'Direct N2O'!AA37*10^-3</f>
        <v>46168.576660000006</v>
      </c>
      <c r="E7" s="398">
        <f t="shared" ref="E7:E16" si="0">(0.0075*0.3)+(0.1*0.01)</f>
        <v>3.2499999999999999E-3</v>
      </c>
      <c r="F7" s="388">
        <f t="shared" ref="F7:F16" si="1">D7*E7</f>
        <v>150.04787414500001</v>
      </c>
      <c r="G7" s="388">
        <f t="shared" ref="G7:G16" si="2">F7*44/28</f>
        <v>235.78951651357144</v>
      </c>
      <c r="H7" s="388">
        <f t="shared" ref="H7:H16" si="3">G7*298</f>
        <v>70265.275921044289</v>
      </c>
    </row>
    <row r="8" spans="3:8" x14ac:dyDescent="0.25">
      <c r="C8" s="396">
        <f>'Direct N2O'!A38</f>
        <v>2013</v>
      </c>
      <c r="D8" s="397">
        <f>'Direct N2O'!AA38*10^-3</f>
        <v>53893.562280000006</v>
      </c>
      <c r="E8" s="398">
        <f t="shared" si="0"/>
        <v>3.2499999999999999E-3</v>
      </c>
      <c r="F8" s="388">
        <f t="shared" si="1"/>
        <v>175.15407741000001</v>
      </c>
      <c r="G8" s="388">
        <f t="shared" si="2"/>
        <v>275.24212164428576</v>
      </c>
      <c r="H8" s="388">
        <f t="shared" si="3"/>
        <v>82022.152249997162</v>
      </c>
    </row>
    <row r="9" spans="3:8" x14ac:dyDescent="0.25">
      <c r="C9" s="396">
        <f>'Direct N2O'!A39</f>
        <v>2014</v>
      </c>
      <c r="D9" s="397">
        <f>'Direct N2O'!AA39*10^-3</f>
        <v>60621.199820000002</v>
      </c>
      <c r="E9" s="398">
        <f t="shared" si="0"/>
        <v>3.2499999999999999E-3</v>
      </c>
      <c r="F9" s="388">
        <f t="shared" si="1"/>
        <v>197.01889941499999</v>
      </c>
      <c r="G9" s="388">
        <f t="shared" si="2"/>
        <v>309.60112765214279</v>
      </c>
      <c r="H9" s="388">
        <f t="shared" si="3"/>
        <v>92261.136040338548</v>
      </c>
    </row>
    <row r="10" spans="3:8" x14ac:dyDescent="0.25">
      <c r="C10" s="396">
        <f>'Direct N2O'!A40</f>
        <v>2015</v>
      </c>
      <c r="D10" s="397">
        <f>'Direct N2O'!AA40*10^-3</f>
        <v>63553.803319999999</v>
      </c>
      <c r="E10" s="398">
        <f t="shared" si="0"/>
        <v>3.2499999999999999E-3</v>
      </c>
      <c r="F10" s="388">
        <f t="shared" si="1"/>
        <v>206.54986079</v>
      </c>
      <c r="G10" s="388">
        <f t="shared" si="2"/>
        <v>324.57835267000002</v>
      </c>
      <c r="H10" s="388">
        <f t="shared" si="3"/>
        <v>96724.34909566</v>
      </c>
    </row>
    <row r="11" spans="3:8" x14ac:dyDescent="0.25">
      <c r="C11" s="396">
        <f>'Direct N2O'!A41</f>
        <v>2016</v>
      </c>
      <c r="D11" s="397">
        <f>'Direct N2O'!AA41*10^-3</f>
        <v>380.89150000000001</v>
      </c>
      <c r="E11" s="398">
        <f t="shared" si="0"/>
        <v>3.2499999999999999E-3</v>
      </c>
      <c r="F11" s="388">
        <f t="shared" si="1"/>
        <v>1.237897375</v>
      </c>
      <c r="G11" s="388">
        <f t="shared" si="2"/>
        <v>1.9452673035714285</v>
      </c>
      <c r="H11" s="388">
        <f t="shared" si="3"/>
        <v>579.68965646428569</v>
      </c>
    </row>
    <row r="12" spans="3:8" x14ac:dyDescent="0.25">
      <c r="C12" s="396">
        <f>'Direct N2O'!A42</f>
        <v>2017</v>
      </c>
      <c r="D12" s="397">
        <f>'Direct N2O'!AA42*10^-3</f>
        <v>583.18799999999999</v>
      </c>
      <c r="E12" s="398">
        <f t="shared" si="0"/>
        <v>3.2499999999999999E-3</v>
      </c>
      <c r="F12" s="388">
        <f t="shared" si="1"/>
        <v>1.8953609999999999</v>
      </c>
      <c r="G12" s="388">
        <f t="shared" si="2"/>
        <v>2.9784244285714285</v>
      </c>
      <c r="H12" s="388">
        <f t="shared" si="3"/>
        <v>887.57047971428574</v>
      </c>
    </row>
    <row r="13" spans="3:8" x14ac:dyDescent="0.25">
      <c r="C13" s="396">
        <f>'Direct N2O'!A43</f>
        <v>2018</v>
      </c>
      <c r="D13" s="397">
        <f>'Direct N2O'!AA43*10^-3</f>
        <v>604.99199999999996</v>
      </c>
      <c r="E13" s="398">
        <f t="shared" si="0"/>
        <v>3.2499999999999999E-3</v>
      </c>
      <c r="F13" s="388">
        <f t="shared" si="1"/>
        <v>1.9662239999999997</v>
      </c>
      <c r="G13" s="388">
        <f t="shared" si="2"/>
        <v>3.0897805714285709</v>
      </c>
      <c r="H13" s="388">
        <f t="shared" si="3"/>
        <v>920.75461028571408</v>
      </c>
    </row>
    <row r="14" spans="3:8" x14ac:dyDescent="0.25">
      <c r="C14" s="396">
        <f>'Direct N2O'!A44</f>
        <v>2019</v>
      </c>
      <c r="D14" s="397">
        <f>'Direct N2O'!AA44*10^-3</f>
        <v>667.27600000000007</v>
      </c>
      <c r="E14" s="398">
        <f t="shared" si="0"/>
        <v>3.2499999999999999E-3</v>
      </c>
      <c r="F14" s="388">
        <f t="shared" si="1"/>
        <v>2.168647</v>
      </c>
      <c r="G14" s="388">
        <f t="shared" si="2"/>
        <v>3.4078738571428571</v>
      </c>
      <c r="H14" s="388">
        <f t="shared" si="3"/>
        <v>1015.5464094285715</v>
      </c>
    </row>
    <row r="15" spans="3:8" x14ac:dyDescent="0.25">
      <c r="C15" s="396">
        <f>'Direct N2O'!A45</f>
        <v>2020</v>
      </c>
      <c r="D15" s="397">
        <f>'Direct N2O'!AA45*10^-3</f>
        <v>701.04</v>
      </c>
      <c r="E15" s="398">
        <f t="shared" si="0"/>
        <v>3.2499999999999999E-3</v>
      </c>
      <c r="F15" s="388">
        <f t="shared" si="1"/>
        <v>2.2783799999999998</v>
      </c>
      <c r="G15" s="388">
        <f t="shared" si="2"/>
        <v>3.5803114285714281</v>
      </c>
      <c r="H15" s="388">
        <f t="shared" si="3"/>
        <v>1066.9328057142857</v>
      </c>
    </row>
    <row r="16" spans="3:8" x14ac:dyDescent="0.25">
      <c r="C16" s="396">
        <f>'Direct N2O'!A46</f>
        <v>2021</v>
      </c>
      <c r="D16" s="397">
        <f>'Direct N2O'!AA46*10^-3</f>
        <v>0</v>
      </c>
      <c r="E16" s="398">
        <f t="shared" si="0"/>
        <v>3.2499999999999999E-3</v>
      </c>
      <c r="F16" s="388">
        <f t="shared" si="1"/>
        <v>0</v>
      </c>
      <c r="G16" s="388">
        <f t="shared" si="2"/>
        <v>0</v>
      </c>
      <c r="H16" s="388">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33"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3">
        <f>'Lahan sawah'!K11+'Lahan sawah'!K43+'Lahan sawah'!K68</f>
        <v>0.27775848314577406</v>
      </c>
      <c r="C5" s="68"/>
      <c r="D5" s="68"/>
      <c r="E5" s="234">
        <f>B5*21*10^3</f>
        <v>5832.9281460612556</v>
      </c>
    </row>
    <row r="6" spans="1:5" x14ac:dyDescent="0.25">
      <c r="A6" s="68" t="s">
        <v>395</v>
      </c>
      <c r="B6" s="233">
        <f>'Peternakan-CH4'!H23</f>
        <v>0.89730519999999991</v>
      </c>
      <c r="C6" s="68"/>
      <c r="D6" s="68"/>
      <c r="E6" s="234">
        <f>B6*21*10^3</f>
        <v>18843.409199999995</v>
      </c>
    </row>
    <row r="7" spans="1:5" x14ac:dyDescent="0.25">
      <c r="A7" s="68" t="s">
        <v>359</v>
      </c>
      <c r="B7" s="68"/>
      <c r="C7" s="233">
        <f>'Peternakan-N2O'!K23+'Peternakan-N2O'!Y23</f>
        <v>1274.8738226431431</v>
      </c>
      <c r="D7" s="68"/>
      <c r="E7" s="234">
        <f>C7*298*10^-3</f>
        <v>379.91239914765663</v>
      </c>
    </row>
    <row r="8" spans="1:5" x14ac:dyDescent="0.25">
      <c r="A8" s="68" t="s">
        <v>360</v>
      </c>
      <c r="B8" s="68"/>
      <c r="C8" s="68"/>
      <c r="D8" s="68">
        <f>'Kapur pertanian-CO2'!G15</f>
        <v>0</v>
      </c>
      <c r="E8" s="234">
        <f>D8*44/12</f>
        <v>0</v>
      </c>
    </row>
    <row r="9" spans="1:5" x14ac:dyDescent="0.25">
      <c r="A9" s="68" t="s">
        <v>361</v>
      </c>
      <c r="B9" s="68"/>
      <c r="C9" s="68"/>
      <c r="D9" s="235">
        <f>'Pupuk Urea-CO2'!E11</f>
        <v>17693.359400000001</v>
      </c>
      <c r="E9" s="234">
        <f>D9*44/12</f>
        <v>64875.651133333333</v>
      </c>
    </row>
    <row r="10" spans="1:5" x14ac:dyDescent="0.25">
      <c r="A10" s="68" t="s">
        <v>394</v>
      </c>
      <c r="B10" s="68"/>
      <c r="C10" s="235">
        <f>'Direct N2O'!G19</f>
        <v>642362.40624285734</v>
      </c>
      <c r="D10" s="68"/>
      <c r="E10" s="236">
        <f>C10*298*10^-3</f>
        <v>191423.9970603715</v>
      </c>
    </row>
    <row r="11" spans="1:5" x14ac:dyDescent="0.25">
      <c r="A11" s="68"/>
      <c r="B11" s="68"/>
      <c r="C11" s="68"/>
      <c r="D11" s="68" t="s">
        <v>445</v>
      </c>
      <c r="E11" s="234">
        <f>SUM(E5:E10)</f>
        <v>281355.89793891372</v>
      </c>
    </row>
    <row r="12" spans="1:5" x14ac:dyDescent="0.25">
      <c r="E12" s="215"/>
    </row>
    <row r="14" spans="1:5" x14ac:dyDescent="0.25">
      <c r="A14" t="s">
        <v>509</v>
      </c>
    </row>
    <row r="15" spans="1:5" x14ac:dyDescent="0.25">
      <c r="A15" s="68"/>
      <c r="B15" s="68" t="s">
        <v>363</v>
      </c>
      <c r="C15" s="68" t="s">
        <v>364</v>
      </c>
      <c r="D15" s="68" t="s">
        <v>365</v>
      </c>
      <c r="E15" s="68" t="s">
        <v>366</v>
      </c>
    </row>
    <row r="16" spans="1:5" x14ac:dyDescent="0.25">
      <c r="A16" s="68" t="s">
        <v>358</v>
      </c>
      <c r="B16" s="233">
        <f>'Lahan sawah'!K12+'Lahan sawah'!K44+'Lahan sawah'!K69</f>
        <v>0.29216803300807814</v>
      </c>
      <c r="C16" s="68"/>
      <c r="D16" s="68"/>
      <c r="E16" s="234">
        <f>B16*21*10^3</f>
        <v>6135.528693169641</v>
      </c>
    </row>
    <row r="17" spans="1:5" x14ac:dyDescent="0.25">
      <c r="A17" s="68" t="s">
        <v>395</v>
      </c>
      <c r="B17" s="233">
        <f>'Peternakan-CH4'!P23</f>
        <v>0.95016709999999993</v>
      </c>
      <c r="C17" s="68"/>
      <c r="D17" s="68"/>
      <c r="E17" s="234">
        <f>B17*21*10^3</f>
        <v>19953.509099999999</v>
      </c>
    </row>
    <row r="18" spans="1:5" x14ac:dyDescent="0.25">
      <c r="A18" s="68" t="s">
        <v>359</v>
      </c>
      <c r="B18" s="68"/>
      <c r="C18" s="233">
        <f>'Peternakan-N2O'!AK23+'Peternakan-N2O'!AY23</f>
        <v>1364.6720418382858</v>
      </c>
      <c r="D18" s="68"/>
      <c r="E18" s="234">
        <f>C18*298*10^-3</f>
        <v>406.6722684678092</v>
      </c>
    </row>
    <row r="19" spans="1:5" x14ac:dyDescent="0.25">
      <c r="A19" s="68" t="s">
        <v>360</v>
      </c>
      <c r="B19" s="68"/>
      <c r="C19" s="68"/>
      <c r="D19" s="68">
        <f>'Kapur pertanian-CO2'!G26</f>
        <v>0</v>
      </c>
      <c r="E19" s="234">
        <f>D19*44/12</f>
        <v>0</v>
      </c>
    </row>
    <row r="20" spans="1:5" x14ac:dyDescent="0.25">
      <c r="A20" s="68" t="s">
        <v>361</v>
      </c>
      <c r="B20" s="68"/>
      <c r="C20" s="68"/>
      <c r="D20" s="235">
        <f>'Pupuk Urea-CO2'!E12</f>
        <v>20073.294200000004</v>
      </c>
      <c r="E20" s="234">
        <f>D20*44/12</f>
        <v>73602.078733333343</v>
      </c>
    </row>
    <row r="21" spans="1:5" x14ac:dyDescent="0.25">
      <c r="A21" s="68" t="s">
        <v>394</v>
      </c>
      <c r="B21" s="68"/>
      <c r="C21" s="235">
        <f>'Direct N2O'!J19</f>
        <v>728529.13901428587</v>
      </c>
      <c r="D21" s="68"/>
      <c r="E21" s="236">
        <f>C21*298*10^-3</f>
        <v>217101.68342625719</v>
      </c>
    </row>
    <row r="22" spans="1:5" x14ac:dyDescent="0.25">
      <c r="A22" s="68"/>
      <c r="B22" s="68"/>
      <c r="C22" s="68"/>
      <c r="D22" s="68" t="s">
        <v>446</v>
      </c>
      <c r="E22" s="234">
        <f>SUM(E16:E21)</f>
        <v>317199.472221228</v>
      </c>
    </row>
    <row r="25" spans="1:5" x14ac:dyDescent="0.25">
      <c r="A25" t="s">
        <v>510</v>
      </c>
    </row>
    <row r="26" spans="1:5" x14ac:dyDescent="0.25">
      <c r="A26" s="68"/>
      <c r="B26" s="68" t="s">
        <v>363</v>
      </c>
      <c r="C26" s="68" t="s">
        <v>364</v>
      </c>
      <c r="D26" s="68" t="s">
        <v>365</v>
      </c>
      <c r="E26" s="68" t="s">
        <v>366</v>
      </c>
    </row>
    <row r="27" spans="1:5" x14ac:dyDescent="0.25">
      <c r="A27" s="68" t="s">
        <v>358</v>
      </c>
      <c r="B27" s="233">
        <f>'Lahan sawah'!K13+'Lahan sawah'!K45+'Lahan sawah'!K70</f>
        <v>0.29234094760642582</v>
      </c>
      <c r="C27" s="68"/>
      <c r="D27" s="68"/>
      <c r="E27" s="234">
        <f>B27*21*10^3</f>
        <v>6139.159899734942</v>
      </c>
    </row>
    <row r="28" spans="1:5" x14ac:dyDescent="0.25">
      <c r="A28" s="68" t="s">
        <v>395</v>
      </c>
      <c r="B28" s="233">
        <f>'Peternakan-CH4'!X23</f>
        <v>1.0064340599999999</v>
      </c>
      <c r="C28" s="68"/>
      <c r="D28" s="68"/>
      <c r="E28" s="234">
        <f>B28*21*10^3</f>
        <v>21135.115259999999</v>
      </c>
    </row>
    <row r="29" spans="1:5" x14ac:dyDescent="0.25">
      <c r="A29" s="68" t="s">
        <v>359</v>
      </c>
      <c r="B29" s="68"/>
      <c r="C29" s="233">
        <f>'Peternakan-N2O'!BK23+'Peternakan-N2O'!BY23</f>
        <v>1365.3730463842858</v>
      </c>
      <c r="D29" s="68"/>
      <c r="E29" s="234">
        <f>C29*298*10^-3</f>
        <v>406.88116782251717</v>
      </c>
    </row>
    <row r="30" spans="1:5" x14ac:dyDescent="0.25">
      <c r="A30" s="68" t="s">
        <v>360</v>
      </c>
      <c r="B30" s="68"/>
      <c r="C30" s="68"/>
      <c r="D30" s="68">
        <f>'Kapur pertanian-CO2'!G37</f>
        <v>0</v>
      </c>
      <c r="E30" s="234">
        <f>D30*44/12</f>
        <v>0</v>
      </c>
    </row>
    <row r="31" spans="1:5" x14ac:dyDescent="0.25">
      <c r="A31" s="68" t="s">
        <v>361</v>
      </c>
      <c r="B31" s="68"/>
      <c r="C31" s="68"/>
      <c r="D31" s="235">
        <f>'Pupuk Urea-CO2'!E13</f>
        <v>23431.983600000003</v>
      </c>
      <c r="E31" s="234">
        <f>D31*44/12</f>
        <v>85917.273200000011</v>
      </c>
    </row>
    <row r="32" spans="1:5" x14ac:dyDescent="0.25">
      <c r="A32" s="68" t="s">
        <v>394</v>
      </c>
      <c r="B32" s="68"/>
      <c r="C32" s="235">
        <f>'Direct N2O'!M19</f>
        <v>849923.55925714294</v>
      </c>
      <c r="D32" s="68"/>
      <c r="E32" s="236">
        <f>C32*298*10^-3</f>
        <v>253277.22065862859</v>
      </c>
    </row>
    <row r="33" spans="1:5" x14ac:dyDescent="0.25">
      <c r="A33" s="68"/>
      <c r="B33" s="68"/>
      <c r="C33" s="68"/>
      <c r="D33" s="68" t="s">
        <v>447</v>
      </c>
      <c r="E33" s="234">
        <f>SUM(E27:E32)</f>
        <v>366875.65018618607</v>
      </c>
    </row>
    <row r="36" spans="1:5" x14ac:dyDescent="0.25">
      <c r="A36" t="s">
        <v>511</v>
      </c>
    </row>
    <row r="37" spans="1:5" x14ac:dyDescent="0.25">
      <c r="A37" s="68"/>
      <c r="B37" s="68" t="s">
        <v>363</v>
      </c>
      <c r="C37" s="68" t="s">
        <v>364</v>
      </c>
      <c r="D37" s="68" t="s">
        <v>365</v>
      </c>
      <c r="E37" s="68" t="s">
        <v>366</v>
      </c>
    </row>
    <row r="38" spans="1:5" x14ac:dyDescent="0.25">
      <c r="A38" s="68" t="s">
        <v>358</v>
      </c>
      <c r="B38" s="233">
        <f>'Lahan sawah'!K14+'Lahan sawah'!K46+'Lahan sawah'!K71</f>
        <v>0.349921508856193</v>
      </c>
      <c r="C38" s="68"/>
      <c r="D38" s="68"/>
      <c r="E38" s="234">
        <f>B38*21*10^3</f>
        <v>7348.3516859800529</v>
      </c>
    </row>
    <row r="39" spans="1:5" x14ac:dyDescent="0.25">
      <c r="A39" s="68" t="s">
        <v>395</v>
      </c>
      <c r="B39" s="233">
        <f>'Peternakan-CH4'!AF23</f>
        <v>1.0375630200000001</v>
      </c>
      <c r="C39" s="68"/>
      <c r="D39" s="68"/>
      <c r="E39" s="234">
        <f>B39*21*10^3</f>
        <v>21788.823420000004</v>
      </c>
    </row>
    <row r="40" spans="1:5" x14ac:dyDescent="0.25">
      <c r="A40" s="68" t="s">
        <v>359</v>
      </c>
      <c r="B40" s="68"/>
      <c r="C40" s="233">
        <f>'Peternakan-N2O'!CK23+'Peternakan-N2O'!CY23</f>
        <v>1527.3075430218573</v>
      </c>
      <c r="D40" s="68"/>
      <c r="E40" s="234">
        <f>C40*298*10^-3</f>
        <v>455.13764782051345</v>
      </c>
    </row>
    <row r="41" spans="1:5" x14ac:dyDescent="0.25">
      <c r="A41" s="68" t="s">
        <v>360</v>
      </c>
      <c r="B41" s="68"/>
      <c r="C41" s="68"/>
      <c r="D41" s="68">
        <f>'Kapur pertanian-CO2'!G48</f>
        <v>0</v>
      </c>
      <c r="E41" s="234">
        <f>D41*44/12</f>
        <v>0</v>
      </c>
    </row>
    <row r="42" spans="1:5" x14ac:dyDescent="0.25">
      <c r="A42" s="68" t="s">
        <v>361</v>
      </c>
      <c r="B42" s="68"/>
      <c r="C42" s="68"/>
      <c r="D42" s="235">
        <f>'Pupuk Urea-CO2'!E14</f>
        <v>26357.043400000002</v>
      </c>
      <c r="E42" s="234">
        <f>D42*44/12</f>
        <v>96642.492466666678</v>
      </c>
    </row>
    <row r="43" spans="1:5" x14ac:dyDescent="0.25">
      <c r="A43" s="68" t="s">
        <v>394</v>
      </c>
      <c r="B43" s="68"/>
      <c r="C43" s="235">
        <f>'Direct N2O'!P19</f>
        <v>956239.33852857142</v>
      </c>
      <c r="D43" s="68"/>
      <c r="E43" s="236">
        <f>C43*298*10^-3</f>
        <v>284959.32288151432</v>
      </c>
    </row>
    <row r="44" spans="1:5" x14ac:dyDescent="0.25">
      <c r="A44" s="68"/>
      <c r="B44" s="68"/>
      <c r="C44" s="68"/>
      <c r="D44" s="68" t="s">
        <v>448</v>
      </c>
      <c r="E44" s="234">
        <f>SUM(E38:E43)</f>
        <v>411194.12810198159</v>
      </c>
    </row>
    <row r="47" spans="1:5" x14ac:dyDescent="0.25">
      <c r="A47" t="s">
        <v>512</v>
      </c>
    </row>
    <row r="48" spans="1:5" x14ac:dyDescent="0.25">
      <c r="A48" s="68"/>
      <c r="B48" s="68" t="s">
        <v>363</v>
      </c>
      <c r="C48" s="68" t="s">
        <v>364</v>
      </c>
      <c r="D48" s="68" t="s">
        <v>365</v>
      </c>
      <c r="E48" s="68" t="s">
        <v>366</v>
      </c>
    </row>
    <row r="49" spans="1:5" x14ac:dyDescent="0.25">
      <c r="A49" s="68" t="s">
        <v>358</v>
      </c>
      <c r="B49" s="233">
        <f>'Lahan sawah'!K15+'Lahan sawah'!K47+'Lahan sawah'!K72</f>
        <v>0.32116004733103398</v>
      </c>
      <c r="C49" s="68"/>
      <c r="D49" s="68"/>
      <c r="E49" s="234">
        <f>B49*21*10^3</f>
        <v>6744.3609939517137</v>
      </c>
    </row>
    <row r="50" spans="1:5" x14ac:dyDescent="0.25">
      <c r="A50" s="68" t="s">
        <v>395</v>
      </c>
      <c r="B50" s="233">
        <f>'Peternakan-CH4'!AN23</f>
        <v>1.1180674799999997</v>
      </c>
      <c r="C50" s="68"/>
      <c r="D50" s="68"/>
      <c r="E50" s="234">
        <f>B50*21*10^3</f>
        <v>23479.417079999996</v>
      </c>
    </row>
    <row r="51" spans="1:5" x14ac:dyDescent="0.25">
      <c r="A51" s="68" t="s">
        <v>359</v>
      </c>
      <c r="B51" s="68"/>
      <c r="C51" s="233">
        <f>'Peternakan-N2O'!DK23+'Peternakan-N2O'!DY23</f>
        <v>2040.0174213335717</v>
      </c>
      <c r="D51" s="68"/>
      <c r="E51" s="234">
        <f>C51*298*10^-3</f>
        <v>607.92519155740433</v>
      </c>
    </row>
    <row r="52" spans="1:5" x14ac:dyDescent="0.25">
      <c r="A52" s="68" t="s">
        <v>360</v>
      </c>
      <c r="B52" s="68"/>
      <c r="C52" s="68"/>
      <c r="D52" s="68">
        <f>'Kapur pertanian-CO2'!G59</f>
        <v>0</v>
      </c>
      <c r="E52" s="234">
        <f>D52*44/12</f>
        <v>0</v>
      </c>
    </row>
    <row r="53" spans="1:5" x14ac:dyDescent="0.25">
      <c r="A53" s="68" t="s">
        <v>361</v>
      </c>
      <c r="B53" s="68"/>
      <c r="C53" s="68"/>
      <c r="D53" s="235">
        <f>'Pupuk Urea-CO2'!E15</f>
        <v>27632.088400000004</v>
      </c>
      <c r="E53" s="234">
        <f>D53*44/12</f>
        <v>101317.65746666667</v>
      </c>
    </row>
    <row r="54" spans="1:5" x14ac:dyDescent="0.25">
      <c r="A54" s="68" t="s">
        <v>394</v>
      </c>
      <c r="B54" s="68"/>
      <c r="C54" s="235">
        <f>'Direct N2O'!S19</f>
        <v>1002025.5256000002</v>
      </c>
      <c r="D54" s="68"/>
      <c r="E54" s="236">
        <f>C54*298*10^-3</f>
        <v>298603.60662880004</v>
      </c>
    </row>
    <row r="55" spans="1:5" x14ac:dyDescent="0.25">
      <c r="A55" s="68"/>
      <c r="B55" s="68"/>
      <c r="C55" s="68"/>
      <c r="D55" s="68" t="s">
        <v>449</v>
      </c>
      <c r="E55" s="234">
        <f>SUM(E49:E54)</f>
        <v>430752.9673609758</v>
      </c>
    </row>
    <row r="58" spans="1:5" x14ac:dyDescent="0.25">
      <c r="A58" t="s">
        <v>513</v>
      </c>
    </row>
    <row r="59" spans="1:5" x14ac:dyDescent="0.25">
      <c r="A59" s="68"/>
      <c r="B59" s="68" t="s">
        <v>363</v>
      </c>
      <c r="C59" s="68" t="s">
        <v>364</v>
      </c>
      <c r="D59" s="68" t="s">
        <v>365</v>
      </c>
      <c r="E59" s="68" t="s">
        <v>366</v>
      </c>
    </row>
    <row r="60" spans="1:5" x14ac:dyDescent="0.25">
      <c r="A60" s="68" t="s">
        <v>358</v>
      </c>
      <c r="B60" s="233">
        <f>'Lahan sawah'!K16+'Lahan sawah'!K48+'Lahan sawah'!K73</f>
        <v>0.1735486185415907</v>
      </c>
      <c r="C60" s="68"/>
      <c r="D60" s="68"/>
      <c r="E60" s="234">
        <f>B60*21*10^3</f>
        <v>3644.520989373405</v>
      </c>
    </row>
    <row r="61" spans="1:5" x14ac:dyDescent="0.25">
      <c r="A61" s="68" t="s">
        <v>395</v>
      </c>
      <c r="B61" s="233">
        <f>'Peternakan-CH4'!AV23</f>
        <v>1.1388050000000001</v>
      </c>
      <c r="C61" s="68"/>
      <c r="D61" s="68"/>
      <c r="E61" s="234">
        <f>B61*21*10^3</f>
        <v>23914.905000000002</v>
      </c>
    </row>
    <row r="62" spans="1:5" x14ac:dyDescent="0.25">
      <c r="A62" s="68" t="s">
        <v>359</v>
      </c>
      <c r="B62" s="68"/>
      <c r="C62" s="305">
        <f>'Peternakan-N2O'!EK23+'Peternakan-N2O'!EY23</f>
        <v>1384.399078766</v>
      </c>
      <c r="D62" s="68"/>
      <c r="E62" s="234">
        <f>C62*298*10^-3</f>
        <v>412.55092547226803</v>
      </c>
    </row>
    <row r="63" spans="1:5" x14ac:dyDescent="0.25">
      <c r="A63" s="68" t="s">
        <v>360</v>
      </c>
      <c r="B63" s="68"/>
      <c r="C63" s="68"/>
      <c r="D63" s="68">
        <f>'Kapur pertanian-CO2'!G70</f>
        <v>0</v>
      </c>
      <c r="E63" s="234">
        <f>D63*44/12</f>
        <v>0</v>
      </c>
    </row>
    <row r="64" spans="1:5" x14ac:dyDescent="0.25">
      <c r="A64" s="68" t="s">
        <v>361</v>
      </c>
      <c r="B64" s="68"/>
      <c r="C64" s="68"/>
      <c r="D64" s="235">
        <f>'Pupuk Urea-CO2'!E16</f>
        <v>165.60500000000002</v>
      </c>
      <c r="E64" s="234">
        <f>D64*44/12</f>
        <v>607.21833333333336</v>
      </c>
    </row>
    <row r="65" spans="1:5" x14ac:dyDescent="0.25">
      <c r="A65" s="68" t="s">
        <v>394</v>
      </c>
      <c r="B65" s="68"/>
      <c r="C65" s="235">
        <f>'Direct N2O'!V19</f>
        <v>7781.0692142857142</v>
      </c>
      <c r="D65" s="68"/>
      <c r="E65" s="236">
        <f>C65*298*10^-3</f>
        <v>2318.7586258571428</v>
      </c>
    </row>
    <row r="66" spans="1:5" x14ac:dyDescent="0.25">
      <c r="A66" s="68"/>
      <c r="B66" s="68"/>
      <c r="C66" s="68"/>
      <c r="D66" s="68" t="s">
        <v>450</v>
      </c>
      <c r="E66" s="234">
        <f>SUM(E60:E65)</f>
        <v>30897.953874036153</v>
      </c>
    </row>
    <row r="69" spans="1:5" x14ac:dyDescent="0.25">
      <c r="A69" t="s">
        <v>514</v>
      </c>
    </row>
    <row r="70" spans="1:5" x14ac:dyDescent="0.25">
      <c r="A70" s="68"/>
      <c r="B70" s="68" t="s">
        <v>363</v>
      </c>
      <c r="C70" s="68" t="s">
        <v>364</v>
      </c>
      <c r="D70" s="68" t="s">
        <v>365</v>
      </c>
      <c r="E70" s="68" t="s">
        <v>366</v>
      </c>
    </row>
    <row r="71" spans="1:5" x14ac:dyDescent="0.25">
      <c r="A71" s="68" t="s">
        <v>358</v>
      </c>
      <c r="B71" s="233">
        <f>'Lahan sawah'!K17+'Lahan sawah'!K49+'Lahan sawah'!K74</f>
        <v>0.14208945846243026</v>
      </c>
      <c r="C71" s="68"/>
      <c r="D71" s="68"/>
      <c r="E71" s="234">
        <f>B71*21*10^3</f>
        <v>2983.8786277110353</v>
      </c>
    </row>
    <row r="72" spans="1:5" x14ac:dyDescent="0.25">
      <c r="A72" s="68" t="s">
        <v>395</v>
      </c>
      <c r="B72" s="233">
        <f>'Peternakan-CH4'!BD23</f>
        <v>1.1780467488194273</v>
      </c>
      <c r="C72" s="68"/>
      <c r="D72" s="68"/>
      <c r="E72" s="234">
        <f>B72*21*10^3</f>
        <v>24738.981725207974</v>
      </c>
    </row>
    <row r="73" spans="1:5" x14ac:dyDescent="0.25">
      <c r="A73" s="68" t="s">
        <v>359</v>
      </c>
      <c r="B73" s="68"/>
      <c r="C73" s="305">
        <f>'Peternakan-N2O'!FK23+'Peternakan-N2O'!FY23</f>
        <v>788.67755226341069</v>
      </c>
      <c r="D73" s="68"/>
      <c r="E73" s="234">
        <f>C73*298*10^-3</f>
        <v>235.02591057449638</v>
      </c>
    </row>
    <row r="74" spans="1:5" x14ac:dyDescent="0.25">
      <c r="A74" s="68" t="s">
        <v>360</v>
      </c>
      <c r="B74" s="68"/>
      <c r="C74" s="68"/>
      <c r="D74" s="68">
        <f>'Kapur pertanian-CO2'!G81</f>
        <v>0</v>
      </c>
      <c r="E74" s="234">
        <f>D74*44/12</f>
        <v>0</v>
      </c>
    </row>
    <row r="75" spans="1:5" x14ac:dyDescent="0.25">
      <c r="A75" s="68" t="s">
        <v>361</v>
      </c>
      <c r="B75" s="68"/>
      <c r="C75" s="68"/>
      <c r="D75" s="235">
        <f>'Pupuk Urea-CO2'!E17</f>
        <v>253.56</v>
      </c>
      <c r="E75" s="234">
        <f>D75*44/12</f>
        <v>929.71999999999991</v>
      </c>
    </row>
    <row r="76" spans="1:5" x14ac:dyDescent="0.25">
      <c r="A76" s="68" t="s">
        <v>394</v>
      </c>
      <c r="B76" s="68"/>
      <c r="C76" s="235">
        <f>'Direct N2O'!Y19</f>
        <v>11913.697714285716</v>
      </c>
      <c r="D76" s="68"/>
      <c r="E76" s="236">
        <f>C76*298*10^-3</f>
        <v>3550.2819188571434</v>
      </c>
    </row>
    <row r="77" spans="1:5" x14ac:dyDescent="0.25">
      <c r="A77" s="68"/>
      <c r="B77" s="68"/>
      <c r="C77" s="68"/>
      <c r="D77" s="68" t="s">
        <v>451</v>
      </c>
      <c r="E77" s="234">
        <f>SUM(E71:E76)</f>
        <v>32437.888182350649</v>
      </c>
    </row>
    <row r="80" spans="1:5" x14ac:dyDescent="0.25">
      <c r="A80" t="s">
        <v>515</v>
      </c>
    </row>
    <row r="81" spans="1:5" x14ac:dyDescent="0.25">
      <c r="A81" s="68"/>
      <c r="B81" s="68" t="s">
        <v>363</v>
      </c>
      <c r="C81" s="68" t="s">
        <v>364</v>
      </c>
      <c r="D81" s="68" t="s">
        <v>365</v>
      </c>
      <c r="E81" s="68" t="s">
        <v>366</v>
      </c>
    </row>
    <row r="82" spans="1:5" x14ac:dyDescent="0.25">
      <c r="A82" s="68" t="s">
        <v>358</v>
      </c>
      <c r="B82" s="233">
        <f>'Lahan sawah'!K18+'Lahan sawah'!K50+'Lahan sawah'!K75</f>
        <v>0.14740184238033463</v>
      </c>
      <c r="C82" s="68"/>
      <c r="D82" s="68"/>
      <c r="E82" s="234">
        <f>B82*21*10^3</f>
        <v>3095.4386899870274</v>
      </c>
    </row>
    <row r="83" spans="1:5" x14ac:dyDescent="0.25">
      <c r="A83" s="68" t="s">
        <v>395</v>
      </c>
      <c r="B83" s="233">
        <f>'Peternakan-CH4'!BL23</f>
        <v>1.2325844653501952</v>
      </c>
      <c r="C83" s="68"/>
      <c r="D83" s="68"/>
      <c r="E83" s="234">
        <f>B83*21*10^3</f>
        <v>25884.273772354099</v>
      </c>
    </row>
    <row r="84" spans="1:5" x14ac:dyDescent="0.25">
      <c r="A84" s="68" t="s">
        <v>359</v>
      </c>
      <c r="B84" s="68"/>
      <c r="C84" s="233">
        <f>'Peternakan-N2O'!GK23+'Peternakan-N2O'!GY23</f>
        <v>829.58283952704255</v>
      </c>
      <c r="D84" s="68"/>
      <c r="E84" s="234">
        <f>C84*298*10^-3</f>
        <v>247.21568617905868</v>
      </c>
    </row>
    <row r="85" spans="1:5" x14ac:dyDescent="0.25">
      <c r="A85" s="68" t="s">
        <v>360</v>
      </c>
      <c r="B85" s="68"/>
      <c r="C85" s="68"/>
      <c r="D85" s="68">
        <f>'Kapur pertanian-CO2'!G92</f>
        <v>0</v>
      </c>
      <c r="E85" s="234">
        <f>D85*44/12</f>
        <v>0</v>
      </c>
    </row>
    <row r="86" spans="1:5" x14ac:dyDescent="0.25">
      <c r="A86" s="68" t="s">
        <v>361</v>
      </c>
      <c r="B86" s="68"/>
      <c r="C86" s="68"/>
      <c r="D86" s="235">
        <f>'Pupuk Urea-CO2'!E18</f>
        <v>263.04000000000002</v>
      </c>
      <c r="E86" s="234">
        <f>D86*44/12</f>
        <v>964.48</v>
      </c>
    </row>
    <row r="87" spans="1:5" x14ac:dyDescent="0.25">
      <c r="A87" s="68" t="s">
        <v>394</v>
      </c>
      <c r="B87" s="68"/>
      <c r="C87" s="235">
        <f>'Direct N2O'!AB19</f>
        <v>12359.122285714286</v>
      </c>
      <c r="D87" s="68"/>
      <c r="E87" s="236">
        <f>C87*298*10^-3</f>
        <v>3683.0184411428572</v>
      </c>
    </row>
    <row r="88" spans="1:5" x14ac:dyDescent="0.25">
      <c r="A88" s="68"/>
      <c r="B88" s="68"/>
      <c r="C88" s="68"/>
      <c r="D88" s="68" t="s">
        <v>452</v>
      </c>
      <c r="E88" s="234">
        <f>SUM(E82:E87)</f>
        <v>33874.426589663039</v>
      </c>
    </row>
    <row r="91" spans="1:5" x14ac:dyDescent="0.25">
      <c r="A91" t="s">
        <v>516</v>
      </c>
    </row>
    <row r="92" spans="1:5" x14ac:dyDescent="0.25">
      <c r="A92" s="68"/>
      <c r="B92" s="68" t="s">
        <v>363</v>
      </c>
      <c r="C92" s="68" t="s">
        <v>364</v>
      </c>
      <c r="D92" s="68" t="s">
        <v>365</v>
      </c>
      <c r="E92" s="68" t="s">
        <v>366</v>
      </c>
    </row>
    <row r="93" spans="1:5" x14ac:dyDescent="0.25">
      <c r="A93" s="68" t="s">
        <v>358</v>
      </c>
      <c r="B93" s="233">
        <f>'Lahan sawah'!K19+'Lahan sawah'!K51+'Lahan sawah'!K76</f>
        <v>0.16257687998548767</v>
      </c>
      <c r="C93" s="68"/>
      <c r="D93" s="68"/>
      <c r="E93" s="234">
        <f>B93*21*10^3</f>
        <v>3414.1144796952408</v>
      </c>
    </row>
    <row r="94" spans="1:5" x14ac:dyDescent="0.25">
      <c r="A94" s="68" t="s">
        <v>395</v>
      </c>
      <c r="B94" s="233">
        <f>'Peternakan-CH4'!BT23</f>
        <v>1.2924808077153571</v>
      </c>
      <c r="C94" s="68"/>
      <c r="D94" s="68"/>
      <c r="E94" s="234">
        <f>B94*21*10^3</f>
        <v>27142.096962022501</v>
      </c>
    </row>
    <row r="95" spans="1:5" x14ac:dyDescent="0.25">
      <c r="A95" s="68" t="s">
        <v>359</v>
      </c>
      <c r="B95" s="68"/>
      <c r="C95" s="233">
        <f>'Peternakan-N2O'!HK23+'Peternakan-N2O'!HY23</f>
        <v>642.02026159094805</v>
      </c>
      <c r="D95" s="68"/>
      <c r="E95" s="234">
        <f>C95*298*10^-3</f>
        <v>191.32203795410254</v>
      </c>
    </row>
    <row r="96" spans="1:5" x14ac:dyDescent="0.25">
      <c r="A96" s="68" t="s">
        <v>360</v>
      </c>
      <c r="B96" s="68"/>
      <c r="C96" s="68"/>
      <c r="D96" s="68">
        <f>'Kapur pertanian-CO2'!G103</f>
        <v>0</v>
      </c>
      <c r="E96" s="234">
        <f>D96*44/12</f>
        <v>0</v>
      </c>
    </row>
    <row r="97" spans="1:5" x14ac:dyDescent="0.25">
      <c r="A97" s="68" t="s">
        <v>361</v>
      </c>
      <c r="B97" s="68"/>
      <c r="C97" s="68"/>
      <c r="D97" s="235">
        <f>'Pupuk Urea-CO2'!E19</f>
        <v>290.12000000000006</v>
      </c>
      <c r="E97" s="234">
        <f>D97*44/12</f>
        <v>1063.7733333333335</v>
      </c>
    </row>
    <row r="98" spans="1:5" x14ac:dyDescent="0.25">
      <c r="A98" s="68" t="s">
        <v>394</v>
      </c>
      <c r="B98" s="68"/>
      <c r="C98" s="235">
        <f>'Direct N2O'!AE19</f>
        <v>13631.495428571428</v>
      </c>
      <c r="D98" s="68"/>
      <c r="E98" s="236">
        <f>C98*298*10^-3</f>
        <v>4062.1856377142858</v>
      </c>
    </row>
    <row r="99" spans="1:5" x14ac:dyDescent="0.25">
      <c r="A99" s="68"/>
      <c r="B99" s="68"/>
      <c r="C99" s="68"/>
      <c r="D99" s="68" t="s">
        <v>453</v>
      </c>
      <c r="E99" s="234">
        <f>SUM(E93:E98)</f>
        <v>35873.492450719459</v>
      </c>
    </row>
    <row r="102" spans="1:5" x14ac:dyDescent="0.25">
      <c r="A102" t="s">
        <v>517</v>
      </c>
    </row>
    <row r="103" spans="1:5" x14ac:dyDescent="0.25">
      <c r="A103" s="68"/>
      <c r="B103" s="68" t="s">
        <v>363</v>
      </c>
      <c r="C103" s="68" t="s">
        <v>364</v>
      </c>
      <c r="D103" s="68" t="s">
        <v>365</v>
      </c>
      <c r="E103" s="68" t="s">
        <v>366</v>
      </c>
    </row>
    <row r="104" spans="1:5" x14ac:dyDescent="0.25">
      <c r="A104" s="68" t="s">
        <v>358</v>
      </c>
      <c r="B104" s="233">
        <f>'Lahan sawah'!K20+'Lahan sawah'!K52+'Lahan sawah'!K77</f>
        <v>0.17080322976553375</v>
      </c>
      <c r="C104" s="68"/>
      <c r="D104" s="68"/>
      <c r="E104" s="234">
        <f>B104*21*10^3</f>
        <v>3586.8678250762091</v>
      </c>
    </row>
    <row r="105" spans="1:5" x14ac:dyDescent="0.25">
      <c r="A105" s="68" t="s">
        <v>395</v>
      </c>
      <c r="B105" s="233">
        <f>'Peternakan-CH4'!CB23</f>
        <v>1.3514809800805163</v>
      </c>
      <c r="C105" s="68"/>
      <c r="D105" s="68"/>
      <c r="E105" s="234">
        <f>B105*21*10^3</f>
        <v>28381.10058169084</v>
      </c>
    </row>
    <row r="106" spans="1:5" x14ac:dyDescent="0.25">
      <c r="A106" s="68" t="s">
        <v>359</v>
      </c>
      <c r="B106" s="68"/>
      <c r="C106" s="233">
        <f>'Peternakan-N2O'!IK23+'Peternakan-N2O'!IY23</f>
        <v>889.42800340742474</v>
      </c>
      <c r="D106" s="68"/>
      <c r="E106" s="234">
        <f>C106*298*10^-3</f>
        <v>265.04954501541255</v>
      </c>
    </row>
    <row r="107" spans="1:5" x14ac:dyDescent="0.25">
      <c r="A107" s="68" t="s">
        <v>360</v>
      </c>
      <c r="B107" s="68"/>
      <c r="C107" s="68"/>
      <c r="D107" s="68">
        <f>'Kapur pertanian-CO2'!G114</f>
        <v>0</v>
      </c>
      <c r="E107" s="234">
        <f>D107*44/12</f>
        <v>0</v>
      </c>
    </row>
    <row r="108" spans="1:5" x14ac:dyDescent="0.25">
      <c r="A108" s="68" t="s">
        <v>361</v>
      </c>
      <c r="B108" s="68"/>
      <c r="C108" s="68"/>
      <c r="D108" s="235">
        <f>'Pupuk Urea-CO2'!E20</f>
        <v>304.8</v>
      </c>
      <c r="E108" s="234">
        <f>D108*44/12</f>
        <v>1117.6000000000001</v>
      </c>
    </row>
    <row r="109" spans="1:5" x14ac:dyDescent="0.25">
      <c r="A109" s="68" t="s">
        <v>394</v>
      </c>
      <c r="B109" s="68"/>
      <c r="C109" s="235">
        <f>'Direct N2O'!AH19</f>
        <v>14321.245714285715</v>
      </c>
      <c r="D109" s="68"/>
      <c r="E109" s="236">
        <f>C109*298*10^-3</f>
        <v>4267.7312228571427</v>
      </c>
    </row>
    <row r="110" spans="1:5" x14ac:dyDescent="0.25">
      <c r="A110" s="68"/>
      <c r="B110" s="68"/>
      <c r="C110" s="68"/>
      <c r="D110" s="68" t="s">
        <v>454</v>
      </c>
      <c r="E110" s="234">
        <f>SUM(E104:E109)</f>
        <v>37618.349174639603</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3">
        <f>'Lahan sawah'!K21+'Lahan sawah'!K53+'Lahan sawah'!K78</f>
        <v>0</v>
      </c>
      <c r="C115" s="68"/>
      <c r="D115" s="68"/>
      <c r="E115" s="234">
        <f>B115*21*10^3</f>
        <v>0</v>
      </c>
    </row>
    <row r="116" spans="1:22" x14ac:dyDescent="0.25">
      <c r="A116" s="68" t="s">
        <v>395</v>
      </c>
      <c r="B116" s="233">
        <f>'Peternakan-CH4'!CJ23</f>
        <v>0</v>
      </c>
      <c r="C116" s="68"/>
      <c r="D116" s="68"/>
      <c r="E116" s="234">
        <f>B116*21*10^3</f>
        <v>0</v>
      </c>
    </row>
    <row r="117" spans="1:22" x14ac:dyDescent="0.25">
      <c r="A117" s="68" t="s">
        <v>359</v>
      </c>
      <c r="B117" s="68"/>
      <c r="C117" s="233">
        <f>'Peternakan-N2O'!JK23+'Peternakan-N2O'!JY23</f>
        <v>0</v>
      </c>
      <c r="D117" s="68"/>
      <c r="E117" s="234">
        <f>C117*298*10^-3</f>
        <v>0</v>
      </c>
    </row>
    <row r="118" spans="1:22" x14ac:dyDescent="0.25">
      <c r="A118" s="68" t="s">
        <v>360</v>
      </c>
      <c r="B118" s="68"/>
      <c r="C118" s="68"/>
      <c r="D118" s="68">
        <f>'Kapur pertanian-CO2'!G125</f>
        <v>0</v>
      </c>
      <c r="E118" s="234">
        <f>D118*44/12</f>
        <v>0</v>
      </c>
    </row>
    <row r="119" spans="1:22" x14ac:dyDescent="0.25">
      <c r="A119" s="68" t="s">
        <v>361</v>
      </c>
      <c r="B119" s="68"/>
      <c r="C119" s="68"/>
      <c r="D119" s="235">
        <f>'Pupuk Urea-CO2'!E21</f>
        <v>0</v>
      </c>
      <c r="E119" s="234">
        <f>D119*44/12</f>
        <v>0</v>
      </c>
    </row>
    <row r="120" spans="1:22" x14ac:dyDescent="0.25">
      <c r="A120" s="68" t="s">
        <v>394</v>
      </c>
      <c r="B120" s="68"/>
      <c r="C120" s="235">
        <f>'Direct N2O'!CG19</f>
        <v>0</v>
      </c>
      <c r="D120" s="68"/>
      <c r="E120" s="236">
        <f>C120*298*10^-3</f>
        <v>0</v>
      </c>
    </row>
    <row r="121" spans="1:22" x14ac:dyDescent="0.25">
      <c r="A121" s="68"/>
      <c r="B121" s="68"/>
      <c r="C121" s="68"/>
      <c r="D121" s="68" t="s">
        <v>455</v>
      </c>
      <c r="E121" s="234">
        <f>SUM(E115:E120)</f>
        <v>0</v>
      </c>
    </row>
    <row r="124" spans="1:22" x14ac:dyDescent="0.25">
      <c r="A124" s="510" t="s">
        <v>518</v>
      </c>
      <c r="B124" s="510"/>
      <c r="C124" s="510"/>
      <c r="D124" s="510"/>
      <c r="E124" s="510"/>
      <c r="F124" s="510"/>
      <c r="G124" s="510"/>
      <c r="H124" s="510"/>
      <c r="I124" s="510"/>
      <c r="J124" s="510"/>
      <c r="K124" s="510"/>
      <c r="L124" s="510"/>
    </row>
    <row r="125" spans="1:22" x14ac:dyDescent="0.25">
      <c r="A125" s="179"/>
    </row>
    <row r="126" spans="1:22" x14ac:dyDescent="0.25">
      <c r="A126" s="244"/>
      <c r="B126" s="509" t="s">
        <v>434</v>
      </c>
      <c r="C126" s="509"/>
      <c r="D126" s="509"/>
      <c r="E126" s="509"/>
      <c r="F126" s="509"/>
      <c r="G126" s="509"/>
      <c r="H126" s="509"/>
      <c r="I126" s="509"/>
      <c r="J126" s="509"/>
      <c r="K126" s="509"/>
      <c r="L126" s="509"/>
    </row>
    <row r="127" spans="1:22" x14ac:dyDescent="0.25">
      <c r="A127" s="244" t="s">
        <v>424</v>
      </c>
      <c r="B127" s="245">
        <f>'Direct N2O'!D52</f>
        <v>2011</v>
      </c>
      <c r="C127" s="399">
        <f>'Direct N2O'!E52</f>
        <v>2012</v>
      </c>
      <c r="D127" s="399">
        <f>'Direct N2O'!F52</f>
        <v>2013</v>
      </c>
      <c r="E127" s="399">
        <f>'Direct N2O'!G52</f>
        <v>2014</v>
      </c>
      <c r="F127" s="399">
        <f>'Direct N2O'!H52</f>
        <v>2015</v>
      </c>
      <c r="G127" s="399">
        <f>'Direct N2O'!I52</f>
        <v>2016</v>
      </c>
      <c r="H127" s="399">
        <f>'Direct N2O'!J52</f>
        <v>2017</v>
      </c>
      <c r="I127" s="399">
        <f>'Direct N2O'!K52</f>
        <v>2018</v>
      </c>
      <c r="J127" s="399">
        <f>'Direct N2O'!L52</f>
        <v>2019</v>
      </c>
      <c r="K127" s="399">
        <f>'Direct N2O'!M52</f>
        <v>2020</v>
      </c>
      <c r="L127" s="399"/>
      <c r="M127" s="251"/>
      <c r="N127" s="251"/>
      <c r="O127" s="251"/>
      <c r="P127" s="251"/>
      <c r="Q127" s="251"/>
      <c r="R127" s="251"/>
      <c r="S127" s="251"/>
      <c r="T127" s="251"/>
      <c r="U127" s="251"/>
      <c r="V127" s="251"/>
    </row>
    <row r="128" spans="1:22" x14ac:dyDescent="0.25">
      <c r="A128" s="68" t="s">
        <v>358</v>
      </c>
      <c r="B128" s="392">
        <f>E5</f>
        <v>5832.9281460612556</v>
      </c>
      <c r="C128" s="392">
        <f t="shared" ref="C128:C133" si="0">E16</f>
        <v>6135.528693169641</v>
      </c>
      <c r="D128" s="392">
        <f t="shared" ref="D128:D132" si="1">E27</f>
        <v>6139.159899734942</v>
      </c>
      <c r="E128" s="392">
        <f>E38</f>
        <v>7348.3516859800529</v>
      </c>
      <c r="F128" s="392">
        <f>E49</f>
        <v>6744.3609939517137</v>
      </c>
      <c r="G128" s="392">
        <f>E60</f>
        <v>3644.520989373405</v>
      </c>
      <c r="H128" s="392">
        <f>E71</f>
        <v>2983.8786277110353</v>
      </c>
      <c r="I128" s="392">
        <f>E82</f>
        <v>3095.4386899870274</v>
      </c>
      <c r="J128" s="392">
        <f>E93</f>
        <v>3414.1144796952408</v>
      </c>
      <c r="K128" s="392">
        <f>E104</f>
        <v>3586.8678250762091</v>
      </c>
      <c r="L128" s="392">
        <f t="shared" ref="L128:L133" si="2">E115</f>
        <v>0</v>
      </c>
    </row>
    <row r="129" spans="1:12" x14ac:dyDescent="0.25">
      <c r="A129" s="68" t="s">
        <v>395</v>
      </c>
      <c r="B129" s="392">
        <f t="shared" ref="B129:B133" si="3">E6</f>
        <v>18843.409199999995</v>
      </c>
      <c r="C129" s="392">
        <f t="shared" si="0"/>
        <v>19953.509099999999</v>
      </c>
      <c r="D129" s="392">
        <f t="shared" si="1"/>
        <v>21135.115259999999</v>
      </c>
      <c r="E129" s="392">
        <f t="shared" ref="E129:E133" si="4">E39</f>
        <v>21788.823420000004</v>
      </c>
      <c r="F129" s="392">
        <f t="shared" ref="F129:F133" si="5">E50</f>
        <v>23479.417079999996</v>
      </c>
      <c r="G129" s="392">
        <f t="shared" ref="G129:G133" si="6">E61</f>
        <v>23914.905000000002</v>
      </c>
      <c r="H129" s="392">
        <f t="shared" ref="H129:H133" si="7">E72</f>
        <v>24738.981725207974</v>
      </c>
      <c r="I129" s="392">
        <f t="shared" ref="I129:I133" si="8">E83</f>
        <v>25884.273772354099</v>
      </c>
      <c r="J129" s="392">
        <f t="shared" ref="J129:J133" si="9">E94</f>
        <v>27142.096962022501</v>
      </c>
      <c r="K129" s="392">
        <f t="shared" ref="K129:K133" si="10">E105</f>
        <v>28381.10058169084</v>
      </c>
      <c r="L129" s="392">
        <f t="shared" si="2"/>
        <v>0</v>
      </c>
    </row>
    <row r="130" spans="1:12" x14ac:dyDescent="0.25">
      <c r="A130" s="68" t="s">
        <v>359</v>
      </c>
      <c r="B130" s="392">
        <f t="shared" si="3"/>
        <v>379.91239914765663</v>
      </c>
      <c r="C130" s="392">
        <f t="shared" si="0"/>
        <v>406.6722684678092</v>
      </c>
      <c r="D130" s="392">
        <f t="shared" si="1"/>
        <v>406.88116782251717</v>
      </c>
      <c r="E130" s="392">
        <f t="shared" si="4"/>
        <v>455.13764782051345</v>
      </c>
      <c r="F130" s="392">
        <f t="shared" si="5"/>
        <v>607.92519155740433</v>
      </c>
      <c r="G130" s="392">
        <f t="shared" si="6"/>
        <v>412.55092547226803</v>
      </c>
      <c r="H130" s="392">
        <f t="shared" si="7"/>
        <v>235.02591057449638</v>
      </c>
      <c r="I130" s="392">
        <f t="shared" si="8"/>
        <v>247.21568617905868</v>
      </c>
      <c r="J130" s="392">
        <f t="shared" si="9"/>
        <v>191.32203795410254</v>
      </c>
      <c r="K130" s="392">
        <f t="shared" si="10"/>
        <v>265.04954501541255</v>
      </c>
      <c r="L130" s="392">
        <f t="shared" si="2"/>
        <v>0</v>
      </c>
    </row>
    <row r="131" spans="1:12" x14ac:dyDescent="0.25">
      <c r="A131" s="68" t="s">
        <v>360</v>
      </c>
      <c r="B131" s="392">
        <f t="shared" si="3"/>
        <v>0</v>
      </c>
      <c r="C131" s="392">
        <f t="shared" si="0"/>
        <v>0</v>
      </c>
      <c r="D131" s="392">
        <f t="shared" si="1"/>
        <v>0</v>
      </c>
      <c r="E131" s="392">
        <f t="shared" si="4"/>
        <v>0</v>
      </c>
      <c r="F131" s="392">
        <f t="shared" si="5"/>
        <v>0</v>
      </c>
      <c r="G131" s="392">
        <f t="shared" si="6"/>
        <v>0</v>
      </c>
      <c r="H131" s="392">
        <f t="shared" si="7"/>
        <v>0</v>
      </c>
      <c r="I131" s="392">
        <f t="shared" si="8"/>
        <v>0</v>
      </c>
      <c r="J131" s="392">
        <f t="shared" si="9"/>
        <v>0</v>
      </c>
      <c r="K131" s="392">
        <f t="shared" si="10"/>
        <v>0</v>
      </c>
      <c r="L131" s="392">
        <f t="shared" si="2"/>
        <v>0</v>
      </c>
    </row>
    <row r="132" spans="1:12" x14ac:dyDescent="0.25">
      <c r="A132" s="68" t="s">
        <v>361</v>
      </c>
      <c r="B132" s="392">
        <f t="shared" si="3"/>
        <v>64875.651133333333</v>
      </c>
      <c r="C132" s="392">
        <f t="shared" si="0"/>
        <v>73602.078733333343</v>
      </c>
      <c r="D132" s="392">
        <f t="shared" si="1"/>
        <v>85917.273200000011</v>
      </c>
      <c r="E132" s="392">
        <f t="shared" si="4"/>
        <v>96642.492466666678</v>
      </c>
      <c r="F132" s="392">
        <f t="shared" si="5"/>
        <v>101317.65746666667</v>
      </c>
      <c r="G132" s="392">
        <f t="shared" si="6"/>
        <v>607.21833333333336</v>
      </c>
      <c r="H132" s="392">
        <f t="shared" si="7"/>
        <v>929.71999999999991</v>
      </c>
      <c r="I132" s="392">
        <f t="shared" si="8"/>
        <v>964.48</v>
      </c>
      <c r="J132" s="392">
        <f t="shared" si="9"/>
        <v>1063.7733333333335</v>
      </c>
      <c r="K132" s="392">
        <f t="shared" si="10"/>
        <v>1117.6000000000001</v>
      </c>
      <c r="L132" s="392">
        <f t="shared" si="2"/>
        <v>0</v>
      </c>
    </row>
    <row r="133" spans="1:12" x14ac:dyDescent="0.25">
      <c r="A133" s="68" t="s">
        <v>394</v>
      </c>
      <c r="B133" s="392">
        <f t="shared" si="3"/>
        <v>191423.9970603715</v>
      </c>
      <c r="C133" s="392">
        <f t="shared" si="0"/>
        <v>217101.68342625719</v>
      </c>
      <c r="D133" s="392">
        <f>E32</f>
        <v>253277.22065862859</v>
      </c>
      <c r="E133" s="392">
        <f t="shared" si="4"/>
        <v>284959.32288151432</v>
      </c>
      <c r="F133" s="392">
        <f t="shared" si="5"/>
        <v>298603.60662880004</v>
      </c>
      <c r="G133" s="392">
        <f t="shared" si="6"/>
        <v>2318.7586258571428</v>
      </c>
      <c r="H133" s="392">
        <f t="shared" si="7"/>
        <v>3550.2819188571434</v>
      </c>
      <c r="I133" s="392">
        <f t="shared" si="8"/>
        <v>3683.0184411428572</v>
      </c>
      <c r="J133" s="392">
        <f t="shared" si="9"/>
        <v>4062.1856377142858</v>
      </c>
      <c r="K133" s="392">
        <f t="shared" si="10"/>
        <v>4267.7312228571427</v>
      </c>
      <c r="L133" s="392">
        <f t="shared" si="2"/>
        <v>0</v>
      </c>
    </row>
    <row r="134" spans="1:12" x14ac:dyDescent="0.25">
      <c r="A134" s="68" t="s">
        <v>506</v>
      </c>
      <c r="B134" s="392">
        <f>'Un-Direct N2O'!H6</f>
        <v>61934.467149452874</v>
      </c>
      <c r="C134" s="392">
        <f>'Un-Direct N2O'!H7</f>
        <v>70265.275921044289</v>
      </c>
      <c r="D134" s="392">
        <f>'Un-Direct N2O'!H8</f>
        <v>82022.152249997162</v>
      </c>
      <c r="E134" s="392">
        <f>'Un-Direct N2O'!H9</f>
        <v>92261.136040338548</v>
      </c>
      <c r="F134" s="392">
        <f>'Un-Direct N2O'!H10</f>
        <v>96724.34909566</v>
      </c>
      <c r="G134" s="392">
        <f>'Un-Direct N2O'!H11</f>
        <v>579.68965646428569</v>
      </c>
      <c r="H134" s="392">
        <f>'Un-Direct N2O'!H12</f>
        <v>887.57047971428574</v>
      </c>
      <c r="I134" s="392">
        <f>'Un-Direct N2O'!H13</f>
        <v>920.75461028571408</v>
      </c>
      <c r="J134" s="392">
        <f>'Un-Direct N2O'!H14</f>
        <v>1015.5464094285715</v>
      </c>
      <c r="K134" s="392">
        <f>'Un-Direct N2O'!H15</f>
        <v>1066.9328057142857</v>
      </c>
      <c r="L134" s="392">
        <f>'Un-Direct N2O'!H16</f>
        <v>0</v>
      </c>
    </row>
    <row r="135" spans="1:12" x14ac:dyDescent="0.25">
      <c r="A135" s="246" t="s">
        <v>435</v>
      </c>
      <c r="B135" s="393">
        <f>SUM(B128:B134)</f>
        <v>343290.36508836661</v>
      </c>
      <c r="C135" s="393">
        <f t="shared" ref="C135:L135" si="11">SUM(C128:C134)</f>
        <v>387464.74814227229</v>
      </c>
      <c r="D135" s="393">
        <f t="shared" si="11"/>
        <v>448897.80243618321</v>
      </c>
      <c r="E135" s="393">
        <f t="shared" si="11"/>
        <v>503455.26414232014</v>
      </c>
      <c r="F135" s="393">
        <f t="shared" si="11"/>
        <v>527477.31645663583</v>
      </c>
      <c r="G135" s="393">
        <f t="shared" si="11"/>
        <v>31477.643530500438</v>
      </c>
      <c r="H135" s="393">
        <f t="shared" si="11"/>
        <v>33325.458662064935</v>
      </c>
      <c r="I135" s="393">
        <f t="shared" si="11"/>
        <v>34795.181199948755</v>
      </c>
      <c r="J135" s="393">
        <f t="shared" si="11"/>
        <v>36889.03886014803</v>
      </c>
      <c r="K135" s="393">
        <f t="shared" si="11"/>
        <v>38685.281980353888</v>
      </c>
      <c r="L135" s="393">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8"/>
      <c r="B3" s="511" t="s">
        <v>456</v>
      </c>
      <c r="C3" s="430"/>
      <c r="D3" s="430"/>
      <c r="E3" s="430"/>
      <c r="F3" s="430"/>
      <c r="G3" s="430"/>
      <c r="H3" s="430"/>
      <c r="I3" s="430"/>
      <c r="J3" s="430"/>
      <c r="K3" s="430"/>
      <c r="L3" s="431"/>
    </row>
    <row r="4" spans="1:12" x14ac:dyDescent="0.25">
      <c r="A4" s="229" t="s">
        <v>12</v>
      </c>
      <c r="B4" s="229">
        <v>2011</v>
      </c>
      <c r="C4" s="230">
        <v>2012</v>
      </c>
      <c r="D4" s="229">
        <v>2013</v>
      </c>
      <c r="E4" s="230">
        <v>2014</v>
      </c>
      <c r="F4" s="230">
        <v>2015</v>
      </c>
      <c r="G4" s="229">
        <v>2016</v>
      </c>
      <c r="H4" s="230">
        <v>2017</v>
      </c>
      <c r="I4" s="230">
        <v>2018</v>
      </c>
      <c r="J4" s="229">
        <v>2019</v>
      </c>
      <c r="K4" s="230">
        <v>2020</v>
      </c>
      <c r="L4" s="229">
        <v>2021</v>
      </c>
    </row>
    <row r="5" spans="1:12" x14ac:dyDescent="0.25">
      <c r="A5" s="56" t="s">
        <v>64</v>
      </c>
      <c r="B5" s="231">
        <f>'Peternakan-CH4'!C27</f>
        <v>5</v>
      </c>
      <c r="C5" s="231">
        <f>'Peternakan-CH4'!D27</f>
        <v>12</v>
      </c>
      <c r="D5" s="231">
        <f>'Peternakan-CH4'!E27</f>
        <v>24</v>
      </c>
      <c r="E5" s="231">
        <f>'Peternakan-CH4'!F27</f>
        <v>51</v>
      </c>
      <c r="F5" s="231">
        <f>'Peternakan-CH4'!G27</f>
        <v>48</v>
      </c>
      <c r="G5" s="231">
        <f>'Peternakan-CH4'!H27</f>
        <v>62</v>
      </c>
      <c r="H5" s="231">
        <f>'Peternakan-CH4'!I27</f>
        <v>72</v>
      </c>
      <c r="I5" s="231">
        <f>'Peternakan-CH4'!J27</f>
        <v>82</v>
      </c>
      <c r="J5" s="231">
        <f>'Peternakan-CH4'!K27</f>
        <v>92</v>
      </c>
      <c r="K5" s="231">
        <f>'Peternakan-CH4'!L27</f>
        <v>110</v>
      </c>
      <c r="L5" s="227"/>
    </row>
    <row r="6" spans="1:12" x14ac:dyDescent="0.25">
      <c r="A6" s="56" t="s">
        <v>71</v>
      </c>
      <c r="B6" s="231">
        <f>'Peternakan-CH4'!C28</f>
        <v>15022</v>
      </c>
      <c r="C6" s="231">
        <f>'Peternakan-CH4'!D28</f>
        <v>15983</v>
      </c>
      <c r="D6" s="231">
        <f>'Peternakan-CH4'!E28</f>
        <v>17177</v>
      </c>
      <c r="E6" s="231">
        <f>'Peternakan-CH4'!F28</f>
        <v>17406</v>
      </c>
      <c r="F6" s="231">
        <f>'Peternakan-CH4'!G28</f>
        <v>17977</v>
      </c>
      <c r="G6" s="231">
        <f>'Peternakan-CH4'!H28</f>
        <v>19118</v>
      </c>
      <c r="H6" s="231">
        <f>'Peternakan-CH4'!I28</f>
        <v>19665.814975404744</v>
      </c>
      <c r="I6" s="231">
        <f>'Peternakan-CH4'!J28</f>
        <v>20568.816986462403</v>
      </c>
      <c r="J6" s="231">
        <f>'Peternakan-CH4'!K28</f>
        <v>21513.282452403269</v>
      </c>
      <c r="K6" s="231">
        <f>'Peternakan-CH4'!L28</f>
        <v>22457.747918344099</v>
      </c>
      <c r="L6" s="227"/>
    </row>
    <row r="7" spans="1:12" x14ac:dyDescent="0.25">
      <c r="A7" s="56" t="s">
        <v>22</v>
      </c>
      <c r="B7" s="231">
        <f>'Peternakan-CH4'!C29</f>
        <v>787</v>
      </c>
      <c r="C7" s="231">
        <f>'Peternakan-CH4'!D29</f>
        <v>779</v>
      </c>
      <c r="D7" s="231">
        <f>'Peternakan-CH4'!E29</f>
        <v>682</v>
      </c>
      <c r="E7" s="231">
        <f>'Peternakan-CH4'!F29</f>
        <v>617</v>
      </c>
      <c r="F7" s="231">
        <f>'Peternakan-CH4'!G29</f>
        <v>715</v>
      </c>
      <c r="G7" s="231">
        <f>'Peternakan-CH4'!H29</f>
        <v>777</v>
      </c>
      <c r="H7" s="231">
        <f>'Peternakan-CH4'!I29</f>
        <v>870</v>
      </c>
      <c r="I7" s="231">
        <f>'Peternakan-CH4'!J29</f>
        <v>899</v>
      </c>
      <c r="J7" s="231">
        <f>'Peternakan-CH4'!K29</f>
        <v>1016</v>
      </c>
      <c r="K7" s="231">
        <f>'Peternakan-CH4'!L29</f>
        <v>1117</v>
      </c>
      <c r="L7" s="227"/>
    </row>
    <row r="8" spans="1:12" x14ac:dyDescent="0.25">
      <c r="A8" s="56" t="s">
        <v>65</v>
      </c>
      <c r="B8" s="231">
        <f>'Peternakan-CH4'!C30</f>
        <v>0</v>
      </c>
      <c r="C8" s="231">
        <f>'Peternakan-CH4'!D30</f>
        <v>0</v>
      </c>
      <c r="D8" s="231">
        <f>'Peternakan-CH4'!E30</f>
        <v>0</v>
      </c>
      <c r="E8" s="231">
        <f>'Peternakan-CH4'!F30</f>
        <v>33</v>
      </c>
      <c r="F8" s="231">
        <f>'Peternakan-CH4'!G30</f>
        <v>37</v>
      </c>
      <c r="G8" s="231">
        <f>'Peternakan-CH4'!H30</f>
        <v>0</v>
      </c>
      <c r="H8" s="231">
        <f>'Peternakan-CH4'!I30</f>
        <v>0</v>
      </c>
      <c r="I8" s="231">
        <f>'Peternakan-CH4'!J30</f>
        <v>0</v>
      </c>
      <c r="J8" s="231">
        <f>'Peternakan-CH4'!K30</f>
        <v>0</v>
      </c>
      <c r="K8" s="231">
        <f>'Peternakan-CH4'!L30</f>
        <v>0</v>
      </c>
      <c r="L8" s="227"/>
    </row>
    <row r="9" spans="1:12" x14ac:dyDescent="0.25">
      <c r="A9" s="56" t="s">
        <v>23</v>
      </c>
      <c r="B9" s="231">
        <f>'Peternakan-CH4'!C31</f>
        <v>6977</v>
      </c>
      <c r="C9" s="231">
        <f>'Peternakan-CH4'!D31</f>
        <v>7633</v>
      </c>
      <c r="D9" s="231">
        <f>'Peternakan-CH4'!E31</f>
        <v>8320</v>
      </c>
      <c r="E9" s="231">
        <f>'Peternakan-CH4'!F31</f>
        <v>9953</v>
      </c>
      <c r="F9" s="231">
        <f>'Peternakan-CH4'!G31</f>
        <v>10799</v>
      </c>
      <c r="G9" s="231">
        <f>'Peternakan-CH4'!H31</f>
        <v>11000</v>
      </c>
      <c r="H9" s="231">
        <f>'Peternakan-CH4'!I31</f>
        <v>11639</v>
      </c>
      <c r="I9" s="231">
        <f>'Peternakan-CH4'!J31</f>
        <v>12125</v>
      </c>
      <c r="J9" s="231">
        <f>'Peternakan-CH4'!K31</f>
        <v>12225</v>
      </c>
      <c r="K9" s="231">
        <f>'Peternakan-CH4'!L31</f>
        <v>12424</v>
      </c>
      <c r="L9" s="227"/>
    </row>
    <row r="10" spans="1:12" x14ac:dyDescent="0.25">
      <c r="A10" s="56" t="s">
        <v>24</v>
      </c>
      <c r="B10" s="231">
        <f>'Peternakan-CH4'!C32</f>
        <v>0</v>
      </c>
      <c r="C10" s="231">
        <f>'Peternakan-CH4'!D32</f>
        <v>0</v>
      </c>
      <c r="D10" s="231">
        <f>'Peternakan-CH4'!E32</f>
        <v>0</v>
      </c>
      <c r="E10" s="231">
        <f>'Peternakan-CH4'!F32</f>
        <v>10</v>
      </c>
      <c r="F10" s="231">
        <f>'Peternakan-CH4'!G32</f>
        <v>60</v>
      </c>
      <c r="G10" s="231">
        <f>'Peternakan-CH4'!H32</f>
        <v>0</v>
      </c>
      <c r="H10" s="231">
        <f>'Peternakan-CH4'!I32</f>
        <v>0</v>
      </c>
      <c r="I10" s="231">
        <f>'Peternakan-CH4'!J32</f>
        <v>0</v>
      </c>
      <c r="J10" s="231">
        <f>'Peternakan-CH4'!K32</f>
        <v>0</v>
      </c>
      <c r="K10" s="231">
        <f>'Peternakan-CH4'!L32</f>
        <v>0</v>
      </c>
      <c r="L10" s="227"/>
    </row>
    <row r="11" spans="1:12" x14ac:dyDescent="0.25">
      <c r="A11" s="56" t="s">
        <v>72</v>
      </c>
      <c r="B11" s="231">
        <f>'Peternakan-CH4'!C33</f>
        <v>557800</v>
      </c>
      <c r="C11" s="231">
        <f>'Peternakan-CH4'!D33</f>
        <v>625168</v>
      </c>
      <c r="D11" s="231">
        <f>'Peternakan-CH4'!E33</f>
        <v>626591</v>
      </c>
      <c r="E11" s="231">
        <f>'Peternakan-CH4'!F33</f>
        <v>633398</v>
      </c>
      <c r="F11" s="231">
        <f>'Peternakan-CH4'!G33</f>
        <v>465533</v>
      </c>
      <c r="G11" s="231">
        <f>'Peternakan-CH4'!H33</f>
        <v>470495</v>
      </c>
      <c r="H11" s="231">
        <f>'Peternakan-CH4'!I33</f>
        <v>470745</v>
      </c>
      <c r="I11" s="231">
        <f>'Peternakan-CH4'!J33</f>
        <v>471245</v>
      </c>
      <c r="J11" s="231">
        <f>'Peternakan-CH4'!K33</f>
        <v>471495</v>
      </c>
      <c r="K11" s="231">
        <f>'Peternakan-CH4'!L33</f>
        <v>472495</v>
      </c>
      <c r="L11" s="227"/>
    </row>
    <row r="12" spans="1:12" x14ac:dyDescent="0.25">
      <c r="A12" s="56" t="s">
        <v>73</v>
      </c>
      <c r="B12" s="231">
        <f>'Peternakan-CH4'!C34</f>
        <v>1821500</v>
      </c>
      <c r="C12" s="231">
        <f>'Peternakan-CH4'!D34</f>
        <v>1903693</v>
      </c>
      <c r="D12" s="231">
        <f>'Peternakan-CH4'!E34</f>
        <v>1825000</v>
      </c>
      <c r="E12" s="231">
        <f>'Peternakan-CH4'!F34</f>
        <v>2192083</v>
      </c>
      <c r="F12" s="231">
        <f>'Peternakan-CH4'!G34</f>
        <v>3705919</v>
      </c>
      <c r="G12" s="231">
        <f>'Peternakan-CH4'!H34</f>
        <v>1648162</v>
      </c>
      <c r="H12" s="231">
        <f>'Peternakan-CH4'!I34</f>
        <v>1748805</v>
      </c>
      <c r="I12" s="231">
        <f>'Peternakan-CH4'!J34</f>
        <v>1859196</v>
      </c>
      <c r="J12" s="231">
        <f>'Peternakan-CH4'!K34</f>
        <v>1938835</v>
      </c>
      <c r="K12" s="231">
        <f>'Peternakan-CH4'!L34</f>
        <v>2013722</v>
      </c>
      <c r="L12" s="227"/>
    </row>
    <row r="13" spans="1:12" x14ac:dyDescent="0.25">
      <c r="A13" s="56" t="s">
        <v>74</v>
      </c>
      <c r="B13" s="231">
        <f>'Peternakan-CH4'!C35</f>
        <v>15000</v>
      </c>
      <c r="C13" s="231">
        <f>'Peternakan-CH4'!D35</f>
        <v>29293</v>
      </c>
      <c r="D13" s="231">
        <f>'Peternakan-CH4'!E35</f>
        <v>29293</v>
      </c>
      <c r="E13" s="231">
        <f>'Peternakan-CH4'!F35</f>
        <v>28166</v>
      </c>
      <c r="F13" s="231">
        <f>'Peternakan-CH4'!G35</f>
        <v>40570</v>
      </c>
      <c r="G13" s="231">
        <f>'Peternakan-CH4'!H35</f>
        <v>0</v>
      </c>
      <c r="H13" s="231">
        <f>'Peternakan-CH4'!I35</f>
        <v>0</v>
      </c>
      <c r="I13" s="231">
        <f>'Peternakan-CH4'!J35</f>
        <v>0</v>
      </c>
      <c r="J13" s="231">
        <f>'Peternakan-CH4'!K35</f>
        <v>0</v>
      </c>
      <c r="K13" s="231">
        <f>'Peternakan-CH4'!L35</f>
        <v>0</v>
      </c>
      <c r="L13" s="227"/>
    </row>
    <row r="14" spans="1:12" x14ac:dyDescent="0.25">
      <c r="A14" s="56" t="s">
        <v>75</v>
      </c>
      <c r="B14" s="231">
        <f>'Peternakan-CH4'!C36</f>
        <v>11213</v>
      </c>
      <c r="C14" s="231">
        <f>'Peternakan-CH4'!D36</f>
        <v>16588</v>
      </c>
      <c r="D14" s="231">
        <f>'Peternakan-CH4'!E36</f>
        <v>17199</v>
      </c>
      <c r="E14" s="231">
        <f>'Peternakan-CH4'!F36</f>
        <v>29446</v>
      </c>
      <c r="F14" s="231">
        <f>'Peternakan-CH4'!G36</f>
        <v>21273</v>
      </c>
      <c r="G14" s="231">
        <f>'Peternakan-CH4'!H36</f>
        <v>5343</v>
      </c>
      <c r="H14" s="231">
        <f>'Peternakan-CH4'!I36</f>
        <v>5450</v>
      </c>
      <c r="I14" s="231">
        <f>'Peternakan-CH4'!J36</f>
        <v>5559</v>
      </c>
      <c r="J14" s="231">
        <f>'Peternakan-CH4'!K36</f>
        <v>5670</v>
      </c>
      <c r="K14" s="231">
        <f>'Peternakan-CH4'!L36</f>
        <v>5783</v>
      </c>
      <c r="L14" s="227"/>
    </row>
    <row r="17" spans="1:2" x14ac:dyDescent="0.25">
      <c r="A17" s="237" t="s">
        <v>426</v>
      </c>
    </row>
    <row r="18" spans="1:2" s="238" customFormat="1" x14ac:dyDescent="0.25">
      <c r="A18" s="239" t="s">
        <v>396</v>
      </c>
      <c r="B18" s="240" t="s">
        <v>427</v>
      </c>
    </row>
    <row r="19" spans="1:2" x14ac:dyDescent="0.25">
      <c r="A19" s="229">
        <v>2011</v>
      </c>
      <c r="B19" s="242">
        <f>'Lahan sawah'!D11</f>
        <v>2891.4</v>
      </c>
    </row>
    <row r="20" spans="1:2" x14ac:dyDescent="0.25">
      <c r="A20" s="230">
        <v>2012</v>
      </c>
      <c r="B20" s="242">
        <f>'Lahan sawah'!D12</f>
        <v>3041.4</v>
      </c>
    </row>
    <row r="21" spans="1:2" x14ac:dyDescent="0.25">
      <c r="A21" s="229">
        <v>2013</v>
      </c>
      <c r="B21" s="242">
        <f>'Lahan sawah'!D13</f>
        <v>3043.2</v>
      </c>
    </row>
    <row r="22" spans="1:2" x14ac:dyDescent="0.25">
      <c r="A22" s="230">
        <v>2014</v>
      </c>
      <c r="B22" s="242">
        <f>'Lahan sawah'!D14</f>
        <v>3642.6</v>
      </c>
    </row>
    <row r="23" spans="1:2" x14ac:dyDescent="0.25">
      <c r="A23" s="230">
        <v>2015</v>
      </c>
      <c r="B23" s="242">
        <f>'Lahan sawah'!D15</f>
        <v>3343.2</v>
      </c>
    </row>
    <row r="24" spans="1:2" x14ac:dyDescent="0.25">
      <c r="A24" s="229">
        <v>2016</v>
      </c>
      <c r="B24" s="242">
        <f>'Lahan sawah'!D16</f>
        <v>1806.6</v>
      </c>
    </row>
    <row r="25" spans="1:2" x14ac:dyDescent="0.25">
      <c r="A25" s="230">
        <v>2017</v>
      </c>
      <c r="B25" s="242">
        <f>'Lahan sawah'!D17</f>
        <v>5071.2000000000007</v>
      </c>
    </row>
    <row r="26" spans="1:2" x14ac:dyDescent="0.25">
      <c r="A26" s="230">
        <v>2018</v>
      </c>
      <c r="B26" s="242">
        <f>'Lahan sawah'!D18</f>
        <v>5260.8</v>
      </c>
    </row>
    <row r="27" spans="1:2" x14ac:dyDescent="0.25">
      <c r="A27" s="229">
        <v>2019</v>
      </c>
      <c r="B27" s="242">
        <f>'Lahan sawah'!D19</f>
        <v>5802.4000000000005</v>
      </c>
    </row>
    <row r="28" spans="1:2" x14ac:dyDescent="0.25">
      <c r="A28" s="230">
        <v>2020</v>
      </c>
      <c r="B28" s="242">
        <f>'Lahan sawah'!D20</f>
        <v>6096</v>
      </c>
    </row>
    <row r="29" spans="1:2" x14ac:dyDescent="0.25">
      <c r="A29" s="241">
        <v>2021</v>
      </c>
      <c r="B29" s="242">
        <f>'Lahan sawah'!D21</f>
        <v>0</v>
      </c>
    </row>
    <row r="32" spans="1:2" x14ac:dyDescent="0.25">
      <c r="A32" s="237" t="s">
        <v>428</v>
      </c>
    </row>
    <row r="33" spans="1:2" ht="30" x14ac:dyDescent="0.25">
      <c r="A33" s="239" t="s">
        <v>396</v>
      </c>
      <c r="B33" s="240" t="s">
        <v>429</v>
      </c>
    </row>
    <row r="34" spans="1:2" x14ac:dyDescent="0.25">
      <c r="A34" s="229">
        <v>2011</v>
      </c>
      <c r="B34" s="242">
        <f>'Direct N2O'!C36</f>
        <v>5650</v>
      </c>
    </row>
    <row r="35" spans="1:2" x14ac:dyDescent="0.25">
      <c r="A35" s="230">
        <v>2012</v>
      </c>
      <c r="B35" s="242">
        <f>'Direct N2O'!C37</f>
        <v>5910</v>
      </c>
    </row>
    <row r="36" spans="1:2" x14ac:dyDescent="0.25">
      <c r="A36" s="229">
        <v>2013</v>
      </c>
      <c r="B36" s="242">
        <f>'Direct N2O'!C38</f>
        <v>5047</v>
      </c>
    </row>
    <row r="37" spans="1:2" x14ac:dyDescent="0.25">
      <c r="A37" s="230">
        <v>2014</v>
      </c>
      <c r="B37" s="242">
        <f>'Direct N2O'!C39</f>
        <v>6343</v>
      </c>
    </row>
    <row r="38" spans="1:2" x14ac:dyDescent="0.25">
      <c r="A38" s="230">
        <v>2015</v>
      </c>
      <c r="B38" s="242">
        <f>'Direct N2O'!C40</f>
        <v>6270</v>
      </c>
    </row>
    <row r="39" spans="1:2" x14ac:dyDescent="0.25">
      <c r="A39" s="229">
        <v>2016</v>
      </c>
      <c r="B39" s="242">
        <f>'Direct N2O'!C41</f>
        <v>5027</v>
      </c>
    </row>
    <row r="40" spans="1:2" x14ac:dyDescent="0.25">
      <c r="A40" s="230">
        <v>2017</v>
      </c>
      <c r="B40" s="242">
        <f>'Direct N2O'!C42</f>
        <v>6667</v>
      </c>
    </row>
    <row r="41" spans="1:2" x14ac:dyDescent="0.25">
      <c r="A41" s="230">
        <v>2018</v>
      </c>
      <c r="B41" s="242">
        <f>'Direct N2O'!C43</f>
        <v>6660</v>
      </c>
    </row>
    <row r="42" spans="1:2" x14ac:dyDescent="0.25">
      <c r="A42" s="229">
        <v>2019</v>
      </c>
      <c r="B42" s="242">
        <f>'Direct N2O'!C44</f>
        <v>6653</v>
      </c>
    </row>
    <row r="43" spans="1:2" x14ac:dyDescent="0.25">
      <c r="A43" s="230">
        <v>2020</v>
      </c>
      <c r="B43" s="242">
        <f>'Direct N2O'!C45</f>
        <v>6800</v>
      </c>
    </row>
    <row r="44" spans="1:2" x14ac:dyDescent="0.25">
      <c r="A44" s="241">
        <v>2021</v>
      </c>
      <c r="B44" s="242">
        <f>'Direct N2O'!C46</f>
        <v>0</v>
      </c>
    </row>
    <row r="47" spans="1:2" x14ac:dyDescent="0.25">
      <c r="A47" s="237" t="s">
        <v>430</v>
      </c>
    </row>
    <row r="48" spans="1:2" ht="30" x14ac:dyDescent="0.25">
      <c r="A48" s="239" t="s">
        <v>396</v>
      </c>
      <c r="B48" s="240" t="s">
        <v>431</v>
      </c>
    </row>
    <row r="49" spans="1:2" x14ac:dyDescent="0.25">
      <c r="A49" s="229">
        <v>2011</v>
      </c>
      <c r="B49" s="242">
        <f>'Direct N2O'!E36</f>
        <v>1552</v>
      </c>
    </row>
    <row r="50" spans="1:2" x14ac:dyDescent="0.25">
      <c r="A50" s="230">
        <v>2012</v>
      </c>
      <c r="B50" s="242">
        <f>'Direct N2O'!E37</f>
        <v>1062</v>
      </c>
    </row>
    <row r="51" spans="1:2" x14ac:dyDescent="0.25">
      <c r="A51" s="229">
        <v>2013</v>
      </c>
      <c r="B51" s="242">
        <f>'Direct N2O'!E38</f>
        <v>833</v>
      </c>
    </row>
    <row r="52" spans="1:2" x14ac:dyDescent="0.25">
      <c r="A52" s="230">
        <v>2014</v>
      </c>
      <c r="B52" s="242">
        <f>'Direct N2O'!E39</f>
        <v>1185</v>
      </c>
    </row>
    <row r="53" spans="1:2" x14ac:dyDescent="0.25">
      <c r="A53" s="230">
        <v>2015</v>
      </c>
      <c r="B53" s="242">
        <f>'Direct N2O'!E40</f>
        <v>645</v>
      </c>
    </row>
    <row r="54" spans="1:2" x14ac:dyDescent="0.25">
      <c r="A54" s="229">
        <v>2016</v>
      </c>
      <c r="B54" s="242">
        <f>'Direct N2O'!E41</f>
        <v>1243</v>
      </c>
    </row>
    <row r="55" spans="1:2" x14ac:dyDescent="0.25">
      <c r="A55" s="230">
        <v>2017</v>
      </c>
      <c r="B55" s="242">
        <f>'Direct N2O'!E42</f>
        <v>785</v>
      </c>
    </row>
    <row r="56" spans="1:2" x14ac:dyDescent="0.25">
      <c r="A56" s="230">
        <v>2018</v>
      </c>
      <c r="B56" s="242">
        <f>'Direct N2O'!E43</f>
        <v>800</v>
      </c>
    </row>
    <row r="57" spans="1:2" x14ac:dyDescent="0.25">
      <c r="A57" s="229">
        <v>2019</v>
      </c>
      <c r="B57" s="242">
        <f>'Direct N2O'!E44</f>
        <v>825</v>
      </c>
    </row>
    <row r="58" spans="1:2" x14ac:dyDescent="0.25">
      <c r="A58" s="230">
        <v>2020</v>
      </c>
      <c r="B58" s="242">
        <f>'Direct N2O'!E45</f>
        <v>870</v>
      </c>
    </row>
    <row r="59" spans="1:2" x14ac:dyDescent="0.25">
      <c r="A59" s="241">
        <v>2021</v>
      </c>
      <c r="B59" s="242">
        <f>'Direct N2O'!E46</f>
        <v>0</v>
      </c>
    </row>
    <row r="62" spans="1:2" x14ac:dyDescent="0.25">
      <c r="A62" s="237" t="s">
        <v>432</v>
      </c>
    </row>
    <row r="63" spans="1:2" ht="45" x14ac:dyDescent="0.25">
      <c r="A63" s="239" t="s">
        <v>396</v>
      </c>
      <c r="B63" s="240" t="s">
        <v>433</v>
      </c>
    </row>
    <row r="64" spans="1:2" x14ac:dyDescent="0.25">
      <c r="A64" s="229">
        <v>2011</v>
      </c>
      <c r="B64" s="242">
        <f>'Direct N2O'!F36</f>
        <v>0</v>
      </c>
    </row>
    <row r="65" spans="1:12" x14ac:dyDescent="0.25">
      <c r="A65" s="230">
        <v>2012</v>
      </c>
      <c r="B65" s="242">
        <f>'Direct N2O'!F37</f>
        <v>0</v>
      </c>
    </row>
    <row r="66" spans="1:12" x14ac:dyDescent="0.25">
      <c r="A66" s="229">
        <v>2013</v>
      </c>
      <c r="B66" s="242">
        <f>'Direct N2O'!F38</f>
        <v>0</v>
      </c>
    </row>
    <row r="67" spans="1:12" x14ac:dyDescent="0.25">
      <c r="A67" s="230">
        <v>2014</v>
      </c>
      <c r="B67" s="242">
        <f>'Direct N2O'!F39</f>
        <v>0</v>
      </c>
    </row>
    <row r="68" spans="1:12" x14ac:dyDescent="0.25">
      <c r="A68" s="230">
        <v>2015</v>
      </c>
      <c r="B68" s="242">
        <f>'Direct N2O'!F40</f>
        <v>0</v>
      </c>
    </row>
    <row r="69" spans="1:12" x14ac:dyDescent="0.25">
      <c r="A69" s="229">
        <v>2016</v>
      </c>
      <c r="B69" s="242">
        <f>'Direct N2O'!F41</f>
        <v>0</v>
      </c>
    </row>
    <row r="70" spans="1:12" x14ac:dyDescent="0.25">
      <c r="A70" s="230">
        <v>2017</v>
      </c>
      <c r="B70" s="242">
        <f>'Direct N2O'!F42</f>
        <v>0</v>
      </c>
    </row>
    <row r="71" spans="1:12" x14ac:dyDescent="0.25">
      <c r="A71" s="230">
        <v>2018</v>
      </c>
      <c r="B71" s="242">
        <f>'Direct N2O'!F43</f>
        <v>0</v>
      </c>
    </row>
    <row r="72" spans="1:12" x14ac:dyDescent="0.25">
      <c r="A72" s="229">
        <v>2019</v>
      </c>
      <c r="B72" s="242">
        <f>'Direct N2O'!F44</f>
        <v>0</v>
      </c>
    </row>
    <row r="73" spans="1:12" x14ac:dyDescent="0.25">
      <c r="A73" s="230">
        <v>2020</v>
      </c>
      <c r="B73" s="242">
        <f>'Direct N2O'!F45</f>
        <v>0</v>
      </c>
    </row>
    <row r="74" spans="1:12" x14ac:dyDescent="0.25">
      <c r="A74" s="241">
        <v>2021</v>
      </c>
      <c r="B74" s="242">
        <f>'Direct N2O'!F46</f>
        <v>0</v>
      </c>
    </row>
    <row r="78" spans="1:12" x14ac:dyDescent="0.25">
      <c r="A78" s="510" t="s">
        <v>443</v>
      </c>
      <c r="B78" s="510"/>
      <c r="C78" s="510"/>
      <c r="D78" s="510"/>
      <c r="E78" s="510"/>
      <c r="F78" s="510"/>
      <c r="G78" s="510"/>
      <c r="H78" s="510"/>
      <c r="I78" s="510"/>
      <c r="J78" s="510"/>
      <c r="K78" s="510"/>
      <c r="L78" s="510"/>
    </row>
    <row r="79" spans="1:12" x14ac:dyDescent="0.25">
      <c r="A79" s="179"/>
    </row>
    <row r="80" spans="1:12" x14ac:dyDescent="0.25">
      <c r="A80" s="248"/>
      <c r="B80" s="512" t="s">
        <v>434</v>
      </c>
      <c r="C80" s="512"/>
      <c r="D80" s="512"/>
      <c r="E80" s="512"/>
      <c r="F80" s="512"/>
      <c r="G80" s="512"/>
      <c r="H80" s="512"/>
      <c r="I80" s="512"/>
      <c r="J80" s="512"/>
      <c r="K80" s="512"/>
      <c r="L80" s="512"/>
    </row>
    <row r="81" spans="1:12" x14ac:dyDescent="0.25">
      <c r="A81" s="248" t="s">
        <v>424</v>
      </c>
      <c r="B81" s="256">
        <v>2011</v>
      </c>
      <c r="C81" s="257">
        <v>2012</v>
      </c>
      <c r="D81" s="256">
        <v>2013</v>
      </c>
      <c r="E81" s="257">
        <v>2014</v>
      </c>
      <c r="F81" s="257">
        <v>2015</v>
      </c>
      <c r="G81" s="256">
        <v>2016</v>
      </c>
      <c r="H81" s="257">
        <v>2017</v>
      </c>
      <c r="I81" s="257">
        <v>2018</v>
      </c>
      <c r="J81" s="256">
        <v>2019</v>
      </c>
      <c r="K81" s="257">
        <v>2020</v>
      </c>
      <c r="L81" s="256">
        <v>2021</v>
      </c>
    </row>
    <row r="82" spans="1:12" ht="69.75" customHeight="1" x14ac:dyDescent="0.25">
      <c r="A82" s="243" t="s">
        <v>442</v>
      </c>
      <c r="B82" s="249">
        <f>'Perhitungan ke CO2-eq'!B128</f>
        <v>5832.9281460612556</v>
      </c>
      <c r="C82" s="249">
        <f>'Perhitungan ke CO2-eq'!C128</f>
        <v>6135.528693169641</v>
      </c>
      <c r="D82" s="249">
        <f>'Perhitungan ke CO2-eq'!D128</f>
        <v>6139.159899734942</v>
      </c>
      <c r="E82" s="249">
        <f>'Perhitungan ke CO2-eq'!E128</f>
        <v>7348.3516859800529</v>
      </c>
      <c r="F82" s="249">
        <f>'Perhitungan ke CO2-eq'!F128</f>
        <v>6744.3609939517137</v>
      </c>
      <c r="G82" s="249">
        <f>'Perhitungan ke CO2-eq'!G128</f>
        <v>3644.520989373405</v>
      </c>
      <c r="H82" s="249">
        <f>'Perhitungan ke CO2-eq'!H128</f>
        <v>2983.8786277110353</v>
      </c>
      <c r="I82" s="249">
        <f>'Perhitungan ke CO2-eq'!I128</f>
        <v>3095.4386899870274</v>
      </c>
      <c r="J82" s="249">
        <f>'Perhitungan ke CO2-eq'!J128</f>
        <v>3414.1144796952408</v>
      </c>
      <c r="K82" s="249">
        <f>'Perhitungan ke CO2-eq'!K128</f>
        <v>3586.8678250762091</v>
      </c>
      <c r="L82" s="249">
        <f>'Perhitungan ke CO2-eq'!L128</f>
        <v>0</v>
      </c>
    </row>
    <row r="83" spans="1:12" ht="60" x14ac:dyDescent="0.25">
      <c r="A83" s="243" t="s">
        <v>436</v>
      </c>
      <c r="B83" s="249">
        <f>'Perhitungan ke CO2-eq'!B129</f>
        <v>18843.409199999995</v>
      </c>
      <c r="C83" s="249">
        <f>'Perhitungan ke CO2-eq'!C129</f>
        <v>19953.509099999999</v>
      </c>
      <c r="D83" s="249">
        <f>'Perhitungan ke CO2-eq'!D129</f>
        <v>21135.115259999999</v>
      </c>
      <c r="E83" s="249">
        <f>'Perhitungan ke CO2-eq'!E129</f>
        <v>21788.823420000004</v>
      </c>
      <c r="F83" s="249">
        <f>'Perhitungan ke CO2-eq'!F129</f>
        <v>23479.417079999996</v>
      </c>
      <c r="G83" s="249">
        <f>'Perhitungan ke CO2-eq'!G129</f>
        <v>23914.905000000002</v>
      </c>
      <c r="H83" s="249">
        <f>'Perhitungan ke CO2-eq'!H129</f>
        <v>24738.981725207974</v>
      </c>
      <c r="I83" s="249">
        <f>'Perhitungan ke CO2-eq'!I129</f>
        <v>25884.273772354099</v>
      </c>
      <c r="J83" s="249">
        <f>'Perhitungan ke CO2-eq'!J129</f>
        <v>27142.096962022501</v>
      </c>
      <c r="K83" s="249">
        <f>'Perhitungan ke CO2-eq'!K129</f>
        <v>28381.10058169084</v>
      </c>
      <c r="L83" s="249">
        <f>'Perhitungan ke CO2-eq'!L129</f>
        <v>0</v>
      </c>
    </row>
    <row r="84" spans="1:12" ht="60" x14ac:dyDescent="0.25">
      <c r="A84" s="243" t="s">
        <v>437</v>
      </c>
      <c r="B84" s="249">
        <f>'Perhitungan ke CO2-eq'!B130</f>
        <v>379.91239914765663</v>
      </c>
      <c r="C84" s="249">
        <f>'Perhitungan ke CO2-eq'!C130</f>
        <v>406.6722684678092</v>
      </c>
      <c r="D84" s="249">
        <f>'Perhitungan ke CO2-eq'!D130</f>
        <v>406.88116782251717</v>
      </c>
      <c r="E84" s="249">
        <f>'Perhitungan ke CO2-eq'!E130</f>
        <v>455.13764782051345</v>
      </c>
      <c r="F84" s="249">
        <f>'Perhitungan ke CO2-eq'!F130</f>
        <v>607.92519155740433</v>
      </c>
      <c r="G84" s="249">
        <f>'Perhitungan ke CO2-eq'!G130</f>
        <v>412.55092547226803</v>
      </c>
      <c r="H84" s="249">
        <f>'Perhitungan ke CO2-eq'!H130</f>
        <v>235.02591057449638</v>
      </c>
      <c r="I84" s="249">
        <f>'Perhitungan ke CO2-eq'!I130</f>
        <v>247.21568617905868</v>
      </c>
      <c r="J84" s="249">
        <f>'Perhitungan ke CO2-eq'!J130</f>
        <v>191.32203795410254</v>
      </c>
      <c r="K84" s="249">
        <f>'Perhitungan ke CO2-eq'!K130</f>
        <v>265.04954501541255</v>
      </c>
      <c r="L84" s="249">
        <f>'Perhitungan ke CO2-eq'!L130</f>
        <v>0</v>
      </c>
    </row>
    <row r="85" spans="1:12" ht="60" x14ac:dyDescent="0.25">
      <c r="A85" s="243" t="s">
        <v>438</v>
      </c>
      <c r="B85" s="249">
        <f>'Perhitungan ke CO2-eq'!B131</f>
        <v>0</v>
      </c>
      <c r="C85" s="249">
        <f>'Perhitungan ke CO2-eq'!C131</f>
        <v>0</v>
      </c>
      <c r="D85" s="249">
        <f>'Perhitungan ke CO2-eq'!D131</f>
        <v>0</v>
      </c>
      <c r="E85" s="249">
        <f>'Perhitungan ke CO2-eq'!E131</f>
        <v>0</v>
      </c>
      <c r="F85" s="249">
        <f>'Perhitungan ke CO2-eq'!F131</f>
        <v>0</v>
      </c>
      <c r="G85" s="249">
        <f>'Perhitungan ke CO2-eq'!G131</f>
        <v>0</v>
      </c>
      <c r="H85" s="249">
        <f>'Perhitungan ke CO2-eq'!H131</f>
        <v>0</v>
      </c>
      <c r="I85" s="249">
        <f>'Perhitungan ke CO2-eq'!I131</f>
        <v>0</v>
      </c>
      <c r="J85" s="249">
        <f>'Perhitungan ke CO2-eq'!J131</f>
        <v>0</v>
      </c>
      <c r="K85" s="249">
        <f>'Perhitungan ke CO2-eq'!K131</f>
        <v>0</v>
      </c>
      <c r="L85" s="249">
        <f>'Perhitungan ke CO2-eq'!L131</f>
        <v>0</v>
      </c>
    </row>
    <row r="86" spans="1:12" ht="45" x14ac:dyDescent="0.25">
      <c r="A86" s="243" t="s">
        <v>439</v>
      </c>
      <c r="B86" s="249">
        <f>'Perhitungan ke CO2-eq'!B132</f>
        <v>64875.651133333333</v>
      </c>
      <c r="C86" s="249">
        <f>'Perhitungan ke CO2-eq'!C132</f>
        <v>73602.078733333343</v>
      </c>
      <c r="D86" s="249">
        <f>'Perhitungan ke CO2-eq'!D132</f>
        <v>85917.273200000011</v>
      </c>
      <c r="E86" s="249">
        <f>'Perhitungan ke CO2-eq'!E132</f>
        <v>96642.492466666678</v>
      </c>
      <c r="F86" s="249">
        <f>'Perhitungan ke CO2-eq'!F132</f>
        <v>101317.65746666667</v>
      </c>
      <c r="G86" s="249">
        <f>'Perhitungan ke CO2-eq'!G132</f>
        <v>607.21833333333336</v>
      </c>
      <c r="H86" s="249">
        <f>'Perhitungan ke CO2-eq'!H132</f>
        <v>929.71999999999991</v>
      </c>
      <c r="I86" s="249">
        <f>'Perhitungan ke CO2-eq'!I132</f>
        <v>964.48</v>
      </c>
      <c r="J86" s="249">
        <f>'Perhitungan ke CO2-eq'!J132</f>
        <v>1063.7733333333335</v>
      </c>
      <c r="K86" s="249">
        <f>'Perhitungan ke CO2-eq'!K132</f>
        <v>1117.6000000000001</v>
      </c>
      <c r="L86" s="249">
        <f>'Perhitungan ke CO2-eq'!L132</f>
        <v>0</v>
      </c>
    </row>
    <row r="87" spans="1:12" ht="45" x14ac:dyDescent="0.25">
      <c r="A87" s="243" t="s">
        <v>440</v>
      </c>
      <c r="B87" s="249">
        <f>'Perhitungan ke CO2-eq'!B133</f>
        <v>191423.9970603715</v>
      </c>
      <c r="C87" s="249">
        <f>'Perhitungan ke CO2-eq'!C133</f>
        <v>217101.68342625719</v>
      </c>
      <c r="D87" s="249">
        <f>'Perhitungan ke CO2-eq'!D133</f>
        <v>253277.22065862859</v>
      </c>
      <c r="E87" s="249">
        <f>'Perhitungan ke CO2-eq'!E133</f>
        <v>284959.32288151432</v>
      </c>
      <c r="F87" s="249">
        <f>'Perhitungan ke CO2-eq'!F133</f>
        <v>298603.60662880004</v>
      </c>
      <c r="G87" s="249">
        <f>'Perhitungan ke CO2-eq'!G133</f>
        <v>2318.7586258571428</v>
      </c>
      <c r="H87" s="249">
        <f>'Perhitungan ke CO2-eq'!H133</f>
        <v>3550.2819188571434</v>
      </c>
      <c r="I87" s="249">
        <f>'Perhitungan ke CO2-eq'!I133</f>
        <v>3683.0184411428572</v>
      </c>
      <c r="J87" s="249">
        <f>'Perhitungan ke CO2-eq'!J133</f>
        <v>4062.1856377142858</v>
      </c>
      <c r="K87" s="249">
        <f>'Perhitungan ke CO2-eq'!K133</f>
        <v>4267.7312228571427</v>
      </c>
      <c r="L87" s="249">
        <f>'Perhitungan ke CO2-eq'!L133</f>
        <v>0</v>
      </c>
    </row>
    <row r="88" spans="1:12" s="179" customFormat="1" ht="45" x14ac:dyDescent="0.25">
      <c r="A88" s="247" t="s">
        <v>441</v>
      </c>
      <c r="B88" s="250">
        <f>'Perhitungan ke CO2-eq'!B135</f>
        <v>343290.36508836661</v>
      </c>
      <c r="C88" s="250">
        <f>'Perhitungan ke CO2-eq'!C135</f>
        <v>387464.74814227229</v>
      </c>
      <c r="D88" s="250">
        <f>'Perhitungan ke CO2-eq'!D135</f>
        <v>448897.80243618321</v>
      </c>
      <c r="E88" s="250">
        <f>'Perhitungan ke CO2-eq'!E135</f>
        <v>503455.26414232014</v>
      </c>
      <c r="F88" s="250">
        <f>'Perhitungan ke CO2-eq'!F135</f>
        <v>527477.31645663583</v>
      </c>
      <c r="G88" s="250">
        <f>'Perhitungan ke CO2-eq'!G135</f>
        <v>31477.643530500438</v>
      </c>
      <c r="H88" s="250">
        <f>'Perhitungan ke CO2-eq'!H135</f>
        <v>33325.458662064935</v>
      </c>
      <c r="I88" s="250">
        <f>'Perhitungan ke CO2-eq'!I135</f>
        <v>34795.181199948755</v>
      </c>
      <c r="J88" s="250">
        <f>'Perhitungan ke CO2-eq'!J135</f>
        <v>36889.03886014803</v>
      </c>
      <c r="K88" s="250">
        <f>'Perhitungan ke CO2-eq'!K135</f>
        <v>38685.281980353888</v>
      </c>
      <c r="L88" s="250">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BA12" activePane="bottomRight" state="frozen"/>
      <selection pane="topRight" activeCell="C1" sqref="C1"/>
      <selection pane="bottomLeft" activeCell="A12" sqref="A12"/>
      <selection pane="bottomRight" activeCell="BK15" sqref="BK15"/>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2" t="s">
        <v>396</v>
      </c>
      <c r="C1" s="232">
        <v>2011</v>
      </c>
      <c r="J1" s="232" t="s">
        <v>396</v>
      </c>
      <c r="K1" s="232">
        <v>2012</v>
      </c>
      <c r="R1" s="232" t="s">
        <v>396</v>
      </c>
      <c r="S1" s="232">
        <v>2013</v>
      </c>
      <c r="Z1" s="232" t="s">
        <v>396</v>
      </c>
      <c r="AA1" s="232">
        <v>2014</v>
      </c>
      <c r="AH1" s="232" t="s">
        <v>396</v>
      </c>
      <c r="AI1" s="232">
        <v>2015</v>
      </c>
      <c r="AP1" s="232" t="s">
        <v>396</v>
      </c>
      <c r="AQ1" s="232">
        <v>2016</v>
      </c>
      <c r="AX1" s="232" t="s">
        <v>396</v>
      </c>
      <c r="AY1" s="232">
        <v>2017</v>
      </c>
      <c r="BF1" s="232" t="s">
        <v>396</v>
      </c>
      <c r="BG1" s="232">
        <v>2018</v>
      </c>
      <c r="BN1" s="232" t="s">
        <v>396</v>
      </c>
      <c r="BO1" s="232">
        <v>2019</v>
      </c>
      <c r="BV1" s="232" t="s">
        <v>396</v>
      </c>
      <c r="BW1" s="232">
        <v>2020</v>
      </c>
      <c r="CD1" s="232" t="s">
        <v>396</v>
      </c>
      <c r="CE1" s="232">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26" t="s">
        <v>4</v>
      </c>
      <c r="D6" s="428"/>
      <c r="E6" s="49" t="s">
        <v>9</v>
      </c>
      <c r="F6" s="426" t="s">
        <v>17</v>
      </c>
      <c r="G6" s="427"/>
      <c r="H6" s="210"/>
      <c r="J6" s="48" t="s">
        <v>3</v>
      </c>
      <c r="K6" s="426" t="s">
        <v>4</v>
      </c>
      <c r="L6" s="428"/>
      <c r="M6" s="49" t="s">
        <v>9</v>
      </c>
      <c r="N6" s="426" t="s">
        <v>17</v>
      </c>
      <c r="O6" s="427"/>
      <c r="P6" s="210"/>
      <c r="R6" s="48" t="s">
        <v>3</v>
      </c>
      <c r="S6" s="426" t="s">
        <v>4</v>
      </c>
      <c r="T6" s="428"/>
      <c r="U6" s="49" t="s">
        <v>9</v>
      </c>
      <c r="V6" s="426" t="s">
        <v>17</v>
      </c>
      <c r="W6" s="427"/>
      <c r="X6" s="210"/>
      <c r="Z6" s="48" t="s">
        <v>3</v>
      </c>
      <c r="AA6" s="426" t="s">
        <v>4</v>
      </c>
      <c r="AB6" s="428"/>
      <c r="AC6" s="49" t="s">
        <v>9</v>
      </c>
      <c r="AD6" s="426" t="s">
        <v>17</v>
      </c>
      <c r="AE6" s="427"/>
      <c r="AF6" s="210"/>
      <c r="AH6" s="48" t="s">
        <v>3</v>
      </c>
      <c r="AI6" s="426" t="s">
        <v>4</v>
      </c>
      <c r="AJ6" s="428"/>
      <c r="AK6" s="49" t="s">
        <v>9</v>
      </c>
      <c r="AL6" s="426" t="s">
        <v>17</v>
      </c>
      <c r="AM6" s="427"/>
      <c r="AN6" s="210"/>
      <c r="AP6" s="48" t="s">
        <v>3</v>
      </c>
      <c r="AQ6" s="426" t="s">
        <v>4</v>
      </c>
      <c r="AR6" s="428"/>
      <c r="AS6" s="49" t="s">
        <v>9</v>
      </c>
      <c r="AT6" s="426" t="s">
        <v>17</v>
      </c>
      <c r="AU6" s="427"/>
      <c r="AV6" s="210"/>
      <c r="AX6" s="48" t="s">
        <v>3</v>
      </c>
      <c r="AY6" s="426" t="s">
        <v>4</v>
      </c>
      <c r="AZ6" s="428"/>
      <c r="BA6" s="49" t="s">
        <v>9</v>
      </c>
      <c r="BB6" s="426" t="s">
        <v>17</v>
      </c>
      <c r="BC6" s="427"/>
      <c r="BD6" s="210"/>
      <c r="BF6" s="48" t="s">
        <v>3</v>
      </c>
      <c r="BG6" s="426" t="s">
        <v>4</v>
      </c>
      <c r="BH6" s="428"/>
      <c r="BI6" s="49" t="s">
        <v>9</v>
      </c>
      <c r="BJ6" s="426" t="s">
        <v>17</v>
      </c>
      <c r="BK6" s="427"/>
      <c r="BL6" s="210"/>
      <c r="BN6" s="48" t="s">
        <v>3</v>
      </c>
      <c r="BO6" s="426" t="s">
        <v>4</v>
      </c>
      <c r="BP6" s="428"/>
      <c r="BQ6" s="49" t="s">
        <v>9</v>
      </c>
      <c r="BR6" s="426" t="s">
        <v>17</v>
      </c>
      <c r="BS6" s="427"/>
      <c r="BT6" s="210"/>
      <c r="BV6" s="48" t="s">
        <v>3</v>
      </c>
      <c r="BW6" s="426" t="s">
        <v>4</v>
      </c>
      <c r="BX6" s="428"/>
      <c r="BY6" s="49" t="s">
        <v>9</v>
      </c>
      <c r="BZ6" s="426" t="s">
        <v>17</v>
      </c>
      <c r="CA6" s="427"/>
      <c r="CB6" s="210"/>
      <c r="CD6" s="48" t="s">
        <v>3</v>
      </c>
      <c r="CE6" s="426" t="s">
        <v>4</v>
      </c>
      <c r="CF6" s="428"/>
      <c r="CG6" s="49" t="s">
        <v>9</v>
      </c>
      <c r="CH6" s="426" t="s">
        <v>17</v>
      </c>
      <c r="CI6" s="427"/>
      <c r="CJ6" s="210"/>
    </row>
    <row r="7" spans="2:88" s="19" customFormat="1" ht="33" x14ac:dyDescent="0.25">
      <c r="B7" s="222" t="s">
        <v>12</v>
      </c>
      <c r="C7" s="25" t="s">
        <v>5</v>
      </c>
      <c r="D7" s="25" t="s">
        <v>7</v>
      </c>
      <c r="E7" s="24" t="s">
        <v>16</v>
      </c>
      <c r="F7" s="24" t="s">
        <v>57</v>
      </c>
      <c r="G7" s="21" t="s">
        <v>18</v>
      </c>
      <c r="H7" s="211" t="s">
        <v>362</v>
      </c>
      <c r="J7" s="222" t="s">
        <v>12</v>
      </c>
      <c r="K7" s="25" t="s">
        <v>5</v>
      </c>
      <c r="L7" s="25" t="s">
        <v>7</v>
      </c>
      <c r="M7" s="24" t="s">
        <v>16</v>
      </c>
      <c r="N7" s="24" t="s">
        <v>57</v>
      </c>
      <c r="O7" s="21" t="s">
        <v>18</v>
      </c>
      <c r="P7" s="211" t="s">
        <v>362</v>
      </c>
      <c r="R7" s="222" t="s">
        <v>12</v>
      </c>
      <c r="S7" s="25" t="s">
        <v>5</v>
      </c>
      <c r="T7" s="25" t="s">
        <v>7</v>
      </c>
      <c r="U7" s="24" t="s">
        <v>16</v>
      </c>
      <c r="V7" s="24" t="s">
        <v>57</v>
      </c>
      <c r="W7" s="21" t="s">
        <v>18</v>
      </c>
      <c r="X7" s="211" t="s">
        <v>362</v>
      </c>
      <c r="Z7" s="222" t="s">
        <v>12</v>
      </c>
      <c r="AA7" s="25" t="s">
        <v>5</v>
      </c>
      <c r="AB7" s="25" t="s">
        <v>7</v>
      </c>
      <c r="AC7" s="24" t="s">
        <v>16</v>
      </c>
      <c r="AD7" s="24" t="s">
        <v>57</v>
      </c>
      <c r="AE7" s="21" t="s">
        <v>18</v>
      </c>
      <c r="AF7" s="211" t="s">
        <v>362</v>
      </c>
      <c r="AH7" s="222" t="s">
        <v>12</v>
      </c>
      <c r="AI7" s="25" t="s">
        <v>5</v>
      </c>
      <c r="AJ7" s="25" t="s">
        <v>7</v>
      </c>
      <c r="AK7" s="24" t="s">
        <v>16</v>
      </c>
      <c r="AL7" s="24" t="s">
        <v>57</v>
      </c>
      <c r="AM7" s="21" t="s">
        <v>18</v>
      </c>
      <c r="AN7" s="211" t="s">
        <v>362</v>
      </c>
      <c r="AP7" s="222" t="s">
        <v>12</v>
      </c>
      <c r="AQ7" s="25" t="s">
        <v>5</v>
      </c>
      <c r="AR7" s="25" t="s">
        <v>7</v>
      </c>
      <c r="AS7" s="24" t="s">
        <v>16</v>
      </c>
      <c r="AT7" s="24" t="s">
        <v>57</v>
      </c>
      <c r="AU7" s="21" t="s">
        <v>18</v>
      </c>
      <c r="AV7" s="211" t="s">
        <v>362</v>
      </c>
      <c r="AX7" s="222" t="s">
        <v>12</v>
      </c>
      <c r="AY7" s="25" t="s">
        <v>5</v>
      </c>
      <c r="AZ7" s="25" t="s">
        <v>7</v>
      </c>
      <c r="BA7" s="24" t="s">
        <v>16</v>
      </c>
      <c r="BB7" s="24" t="s">
        <v>57</v>
      </c>
      <c r="BC7" s="21" t="s">
        <v>18</v>
      </c>
      <c r="BD7" s="211" t="s">
        <v>362</v>
      </c>
      <c r="BF7" s="222" t="s">
        <v>12</v>
      </c>
      <c r="BG7" s="25" t="s">
        <v>5</v>
      </c>
      <c r="BH7" s="25" t="s">
        <v>7</v>
      </c>
      <c r="BI7" s="24" t="s">
        <v>16</v>
      </c>
      <c r="BJ7" s="24" t="s">
        <v>57</v>
      </c>
      <c r="BK7" s="21" t="s">
        <v>18</v>
      </c>
      <c r="BL7" s="211" t="s">
        <v>362</v>
      </c>
      <c r="BN7" s="222" t="s">
        <v>12</v>
      </c>
      <c r="BO7" s="25" t="s">
        <v>5</v>
      </c>
      <c r="BP7" s="25" t="s">
        <v>7</v>
      </c>
      <c r="BQ7" s="24" t="s">
        <v>16</v>
      </c>
      <c r="BR7" s="24" t="s">
        <v>57</v>
      </c>
      <c r="BS7" s="21" t="s">
        <v>18</v>
      </c>
      <c r="BT7" s="211" t="s">
        <v>362</v>
      </c>
      <c r="BV7" s="222" t="s">
        <v>12</v>
      </c>
      <c r="BW7" s="25" t="s">
        <v>5</v>
      </c>
      <c r="BX7" s="25" t="s">
        <v>7</v>
      </c>
      <c r="BY7" s="24" t="s">
        <v>16</v>
      </c>
      <c r="BZ7" s="24" t="s">
        <v>57</v>
      </c>
      <c r="CA7" s="21" t="s">
        <v>18</v>
      </c>
      <c r="CB7" s="211" t="s">
        <v>362</v>
      </c>
      <c r="CD7" s="222" t="s">
        <v>12</v>
      </c>
      <c r="CE7" s="25" t="s">
        <v>5</v>
      </c>
      <c r="CF7" s="25" t="s">
        <v>7</v>
      </c>
      <c r="CG7" s="24" t="s">
        <v>16</v>
      </c>
      <c r="CH7" s="24" t="s">
        <v>57</v>
      </c>
      <c r="CI7" s="21" t="s">
        <v>18</v>
      </c>
      <c r="CJ7" s="211"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5</v>
      </c>
      <c r="D12" s="87">
        <f>'EF peternakan'!$C$6</f>
        <v>61</v>
      </c>
      <c r="E12" s="43">
        <f>C12*D12*10^-6</f>
        <v>3.0499999999999999E-4</v>
      </c>
      <c r="F12" s="88">
        <f>'EF peternakan'!$C$16</f>
        <v>31</v>
      </c>
      <c r="G12" s="205">
        <f>C12*F12*10^-6</f>
        <v>1.55E-4</v>
      </c>
      <c r="H12" s="176">
        <f>E12+G12</f>
        <v>4.6000000000000001E-4</v>
      </c>
      <c r="J12" s="46" t="s">
        <v>64</v>
      </c>
      <c r="K12" s="86">
        <f>D27</f>
        <v>12</v>
      </c>
      <c r="L12" s="87">
        <f>'EF peternakan'!$C$6</f>
        <v>61</v>
      </c>
      <c r="M12" s="43">
        <f t="shared" ref="M12:M17" si="0">K12*L12*10^-6</f>
        <v>7.3200000000000001E-4</v>
      </c>
      <c r="N12" s="88">
        <f>'EF peternakan'!$C$16</f>
        <v>31</v>
      </c>
      <c r="O12" s="205">
        <f t="shared" ref="O12:O18" si="1">K12*N12*10^-6</f>
        <v>3.7199999999999999E-4</v>
      </c>
      <c r="P12" s="176">
        <f>M12+O12</f>
        <v>1.1039999999999999E-3</v>
      </c>
      <c r="R12" s="46" t="s">
        <v>64</v>
      </c>
      <c r="S12" s="86">
        <f>E27</f>
        <v>24</v>
      </c>
      <c r="T12" s="87">
        <f>'EF peternakan'!$C$6</f>
        <v>61</v>
      </c>
      <c r="U12" s="43">
        <f t="shared" ref="U12:U18" si="2">S12*T12*10^-6</f>
        <v>1.464E-3</v>
      </c>
      <c r="V12" s="88">
        <f>'EF peternakan'!$C$16</f>
        <v>31</v>
      </c>
      <c r="W12" s="205">
        <f t="shared" ref="W12:W18" si="3">S12*V12*10^-6</f>
        <v>7.4399999999999998E-4</v>
      </c>
      <c r="X12" s="176">
        <f>U12+W12</f>
        <v>2.2079999999999999E-3</v>
      </c>
      <c r="Z12" s="46" t="s">
        <v>64</v>
      </c>
      <c r="AA12" s="86">
        <f>F27</f>
        <v>51</v>
      </c>
      <c r="AB12" s="87">
        <f>'EF peternakan'!$C$6</f>
        <v>61</v>
      </c>
      <c r="AC12" s="43">
        <f t="shared" ref="AC12:AC18" si="4">AA12*AB12*10^-6</f>
        <v>3.1110000000000001E-3</v>
      </c>
      <c r="AD12" s="88">
        <f>'EF peternakan'!$C$16</f>
        <v>31</v>
      </c>
      <c r="AE12" s="205">
        <f t="shared" ref="AE12:AE18" si="5">AA12*AD12*10^-6</f>
        <v>1.5809999999999999E-3</v>
      </c>
      <c r="AF12" s="176">
        <f>AC12+AE12</f>
        <v>4.692E-3</v>
      </c>
      <c r="AH12" s="46" t="s">
        <v>64</v>
      </c>
      <c r="AI12" s="86">
        <f>G27</f>
        <v>48</v>
      </c>
      <c r="AJ12" s="87">
        <f>'EF peternakan'!$C$6</f>
        <v>61</v>
      </c>
      <c r="AK12" s="43">
        <f t="shared" ref="AK12:AK18" si="6">AI12*AJ12*10^-6</f>
        <v>2.928E-3</v>
      </c>
      <c r="AL12" s="88">
        <f>'EF peternakan'!$C$16</f>
        <v>31</v>
      </c>
      <c r="AM12" s="205">
        <f t="shared" ref="AM12:AM17" si="7">AI12*AL12*10^-6</f>
        <v>1.488E-3</v>
      </c>
      <c r="AN12" s="176">
        <f>AK12+AM12</f>
        <v>4.4159999999999998E-3</v>
      </c>
      <c r="AP12" s="46" t="s">
        <v>64</v>
      </c>
      <c r="AQ12" s="86">
        <f>H27</f>
        <v>62</v>
      </c>
      <c r="AR12" s="87">
        <f>'EF peternakan'!$C$6</f>
        <v>61</v>
      </c>
      <c r="AS12" s="43">
        <f t="shared" ref="AS12:AS18" si="8">AQ12*AR12*10^-6</f>
        <v>3.7819999999999998E-3</v>
      </c>
      <c r="AT12" s="88">
        <f>'EF peternakan'!$C$16</f>
        <v>31</v>
      </c>
      <c r="AU12" s="205">
        <f t="shared" ref="AU12:AU18" si="9">AQ12*AT12*10^-6</f>
        <v>1.9219999999999999E-3</v>
      </c>
      <c r="AV12" s="176">
        <f>AS12+AU12</f>
        <v>5.7039999999999999E-3</v>
      </c>
      <c r="AX12" s="46" t="s">
        <v>64</v>
      </c>
      <c r="AY12" s="86">
        <f>I27</f>
        <v>72</v>
      </c>
      <c r="AZ12" s="87">
        <f>'EF peternakan'!$C$6</f>
        <v>61</v>
      </c>
      <c r="BA12" s="43">
        <f t="shared" ref="BA12:BA18" si="10">AY12*AZ12*10^-6</f>
        <v>4.3920000000000001E-3</v>
      </c>
      <c r="BB12" s="88">
        <f>'EF peternakan'!$C$16</f>
        <v>31</v>
      </c>
      <c r="BC12" s="205">
        <f t="shared" ref="BC12:BC18" si="11">AY12*BB12*10^-6</f>
        <v>2.232E-3</v>
      </c>
      <c r="BD12" s="176">
        <f>BA12+BC12</f>
        <v>6.6239999999999997E-3</v>
      </c>
      <c r="BF12" s="46" t="s">
        <v>64</v>
      </c>
      <c r="BG12" s="86">
        <f>J27</f>
        <v>82</v>
      </c>
      <c r="BH12" s="87">
        <f>'EF peternakan'!$C$6</f>
        <v>61</v>
      </c>
      <c r="BI12" s="43">
        <f t="shared" ref="BI12:BI18" si="12">BG12*BH12*10^-6</f>
        <v>5.0019999999999995E-3</v>
      </c>
      <c r="BJ12" s="88">
        <f>'EF peternakan'!$C$16</f>
        <v>31</v>
      </c>
      <c r="BK12" s="205">
        <f t="shared" ref="BK12:BK18" si="13">BG12*BJ12*10^-6</f>
        <v>2.542E-3</v>
      </c>
      <c r="BL12" s="176">
        <f>BI12+BK12</f>
        <v>7.5439999999999995E-3</v>
      </c>
      <c r="BN12" s="46" t="s">
        <v>64</v>
      </c>
      <c r="BO12" s="86">
        <f>K27</f>
        <v>92</v>
      </c>
      <c r="BP12" s="87">
        <f>'EF peternakan'!$C$6</f>
        <v>61</v>
      </c>
      <c r="BQ12" s="43">
        <f t="shared" ref="BQ12:BQ18" si="14">BO12*BP12*10^-6</f>
        <v>5.6119999999999998E-3</v>
      </c>
      <c r="BR12" s="88">
        <f>'EF peternakan'!$C$16</f>
        <v>31</v>
      </c>
      <c r="BS12" s="205">
        <f t="shared" ref="BS12:BS18" si="15">BO12*BR12*10^-6</f>
        <v>2.8519999999999999E-3</v>
      </c>
      <c r="BT12" s="176">
        <f>BQ12+BS12</f>
        <v>8.4639999999999993E-3</v>
      </c>
      <c r="BV12" s="46" t="s">
        <v>64</v>
      </c>
      <c r="BW12" s="86">
        <f>L27</f>
        <v>110</v>
      </c>
      <c r="BX12" s="87">
        <f>'EF peternakan'!$C$6</f>
        <v>61</v>
      </c>
      <c r="BY12" s="43">
        <f t="shared" ref="BY12:BY18" si="16">BW12*BX12*10^-6</f>
        <v>6.7099999999999998E-3</v>
      </c>
      <c r="BZ12" s="88">
        <f>'EF peternakan'!$C$16</f>
        <v>31</v>
      </c>
      <c r="CA12" s="205">
        <f t="shared" ref="CA12:CA18" si="17">BW12*BZ12*10^-6</f>
        <v>3.4099999999999998E-3</v>
      </c>
      <c r="CB12" s="176">
        <f>BY12+CA12</f>
        <v>1.0120000000000001E-2</v>
      </c>
      <c r="CD12" s="46" t="s">
        <v>64</v>
      </c>
      <c r="CE12" s="86">
        <f>M27</f>
        <v>0</v>
      </c>
      <c r="CF12" s="87">
        <f>'EF peternakan'!$C$6</f>
        <v>61</v>
      </c>
      <c r="CG12" s="43">
        <f t="shared" ref="CG12:CG18" si="18">CE12*CF12*10^-6</f>
        <v>0</v>
      </c>
      <c r="CH12" s="88">
        <f>'EF peternakan'!$C$16</f>
        <v>31</v>
      </c>
      <c r="CI12" s="205">
        <f t="shared" ref="CI12:CI18" si="19">CE12*CH12*10^-6</f>
        <v>0</v>
      </c>
      <c r="CJ12" s="176">
        <f>CG12+CI12</f>
        <v>0</v>
      </c>
    </row>
    <row r="13" spans="2:88" x14ac:dyDescent="0.25">
      <c r="B13" s="46" t="s">
        <v>71</v>
      </c>
      <c r="C13" s="86">
        <f>C28</f>
        <v>15022</v>
      </c>
      <c r="D13" s="87">
        <f>'EF peternakan'!$C$5</f>
        <v>47</v>
      </c>
      <c r="E13" s="43">
        <f t="shared" ref="E13:E18" si="20">C13*D13*10^-6</f>
        <v>0.70603399999999994</v>
      </c>
      <c r="F13" s="88">
        <f>'EF peternakan'!$C$15</f>
        <v>1</v>
      </c>
      <c r="G13" s="205">
        <f t="shared" ref="G13:G18" si="21">C13*F13*10^-6</f>
        <v>1.5021999999999999E-2</v>
      </c>
      <c r="H13" s="176">
        <f t="shared" ref="H13:H18" si="22">E13+G13</f>
        <v>0.72105599999999992</v>
      </c>
      <c r="J13" s="46" t="s">
        <v>71</v>
      </c>
      <c r="K13" s="86">
        <f t="shared" ref="K13:K17" si="23">D28</f>
        <v>15983</v>
      </c>
      <c r="L13" s="87">
        <f>'EF peternakan'!$C$5</f>
        <v>47</v>
      </c>
      <c r="M13" s="43">
        <f t="shared" si="0"/>
        <v>0.75120100000000001</v>
      </c>
      <c r="N13" s="88">
        <f>'EF peternakan'!$C$15</f>
        <v>1</v>
      </c>
      <c r="O13" s="205">
        <f t="shared" si="1"/>
        <v>1.5983000000000001E-2</v>
      </c>
      <c r="P13" s="176">
        <f t="shared" ref="P13:P18" si="24">M13+O13</f>
        <v>0.76718399999999998</v>
      </c>
      <c r="R13" s="46" t="s">
        <v>71</v>
      </c>
      <c r="S13" s="86">
        <f t="shared" ref="S13:S17" si="25">E28</f>
        <v>17177</v>
      </c>
      <c r="T13" s="87">
        <f>'EF peternakan'!$C$5</f>
        <v>47</v>
      </c>
      <c r="U13" s="43">
        <f t="shared" si="2"/>
        <v>0.80731900000000001</v>
      </c>
      <c r="V13" s="88">
        <f>'EF peternakan'!$C$15</f>
        <v>1</v>
      </c>
      <c r="W13" s="205">
        <f t="shared" si="3"/>
        <v>1.7176999999999998E-2</v>
      </c>
      <c r="X13" s="176">
        <f t="shared" ref="X13:X18" si="26">U13+W13</f>
        <v>0.82449600000000001</v>
      </c>
      <c r="Z13" s="46" t="s">
        <v>71</v>
      </c>
      <c r="AA13" s="86">
        <f t="shared" ref="AA13:AA17" si="27">F28</f>
        <v>17406</v>
      </c>
      <c r="AB13" s="87">
        <f>'EF peternakan'!$C$5</f>
        <v>47</v>
      </c>
      <c r="AC13" s="43">
        <f t="shared" si="4"/>
        <v>0.81808199999999998</v>
      </c>
      <c r="AD13" s="88">
        <f>'EF peternakan'!$C$15</f>
        <v>1</v>
      </c>
      <c r="AE13" s="205">
        <f t="shared" si="5"/>
        <v>1.7405999999999998E-2</v>
      </c>
      <c r="AF13" s="176">
        <f t="shared" ref="AF13:AF18" si="28">AC13+AE13</f>
        <v>0.83548800000000001</v>
      </c>
      <c r="AH13" s="46" t="s">
        <v>71</v>
      </c>
      <c r="AI13" s="86">
        <f t="shared" ref="AI13:AI17" si="29">G28</f>
        <v>17977</v>
      </c>
      <c r="AJ13" s="87">
        <f>'EF peternakan'!$C$5</f>
        <v>47</v>
      </c>
      <c r="AK13" s="43">
        <f t="shared" si="6"/>
        <v>0.84491899999999998</v>
      </c>
      <c r="AL13" s="88">
        <f>'EF peternakan'!$C$15</f>
        <v>1</v>
      </c>
      <c r="AM13" s="205">
        <f t="shared" si="7"/>
        <v>1.7977E-2</v>
      </c>
      <c r="AN13" s="176">
        <f t="shared" ref="AN13:AN18" si="30">AK13+AM13</f>
        <v>0.862896</v>
      </c>
      <c r="AP13" s="46" t="s">
        <v>71</v>
      </c>
      <c r="AQ13" s="86">
        <f t="shared" ref="AQ13:AQ17" si="31">H28</f>
        <v>19118</v>
      </c>
      <c r="AR13" s="87">
        <f>'EF peternakan'!$C$5</f>
        <v>47</v>
      </c>
      <c r="AS13" s="43">
        <f t="shared" si="8"/>
        <v>0.89854599999999996</v>
      </c>
      <c r="AT13" s="88">
        <f>'EF peternakan'!$C$15</f>
        <v>1</v>
      </c>
      <c r="AU13" s="205">
        <f t="shared" si="9"/>
        <v>1.9118E-2</v>
      </c>
      <c r="AV13" s="176">
        <f t="shared" ref="AV13:AV18" si="32">AS13+AU13</f>
        <v>0.91766399999999992</v>
      </c>
      <c r="AX13" s="46" t="s">
        <v>71</v>
      </c>
      <c r="AY13" s="86">
        <f t="shared" ref="AY13:AY17" si="33">I28</f>
        <v>19665.814975404744</v>
      </c>
      <c r="AZ13" s="87">
        <f>'EF peternakan'!$C$5</f>
        <v>47</v>
      </c>
      <c r="BA13" s="43">
        <f t="shared" si="10"/>
        <v>0.92429330384402297</v>
      </c>
      <c r="BB13" s="88">
        <f>'EF peternakan'!$C$15</f>
        <v>1</v>
      </c>
      <c r="BC13" s="205">
        <f t="shared" si="11"/>
        <v>1.9665814975404743E-2</v>
      </c>
      <c r="BD13" s="176">
        <f t="shared" ref="BD13:BD18" si="34">BA13+BC13</f>
        <v>0.94395911881942773</v>
      </c>
      <c r="BF13" s="46" t="s">
        <v>71</v>
      </c>
      <c r="BG13" s="86">
        <f t="shared" ref="BG13:BG17" si="35">J28</f>
        <v>20568.816986462403</v>
      </c>
      <c r="BH13" s="87">
        <f>'EF peternakan'!$C$5</f>
        <v>47</v>
      </c>
      <c r="BI13" s="43">
        <f t="shared" si="12"/>
        <v>0.96673439836373287</v>
      </c>
      <c r="BJ13" s="88">
        <f>'EF peternakan'!$C$15</f>
        <v>1</v>
      </c>
      <c r="BK13" s="205">
        <f t="shared" si="13"/>
        <v>2.0568816986462402E-2</v>
      </c>
      <c r="BL13" s="176">
        <f t="shared" ref="BL13:BL18" si="36">BI13+BK13</f>
        <v>0.98730321535019527</v>
      </c>
      <c r="BN13" s="46" t="s">
        <v>71</v>
      </c>
      <c r="BO13" s="86">
        <f t="shared" ref="BO13:BO17" si="37">K28</f>
        <v>21513.282452403269</v>
      </c>
      <c r="BP13" s="87">
        <f>'EF peternakan'!$C$5</f>
        <v>47</v>
      </c>
      <c r="BQ13" s="43">
        <f t="shared" si="14"/>
        <v>1.0111242752629537</v>
      </c>
      <c r="BR13" s="88">
        <f>'EF peternakan'!$C$15</f>
        <v>1</v>
      </c>
      <c r="BS13" s="205">
        <f t="shared" si="15"/>
        <v>2.1513282452403269E-2</v>
      </c>
      <c r="BT13" s="176">
        <f t="shared" ref="BT13:BT18" si="38">BQ13+BS13</f>
        <v>1.032637557715357</v>
      </c>
      <c r="BV13" s="46" t="s">
        <v>71</v>
      </c>
      <c r="BW13" s="86">
        <f t="shared" ref="BW13:BW17" si="39">L28</f>
        <v>22457.747918344099</v>
      </c>
      <c r="BX13" s="87">
        <f>'EF peternakan'!$C$5</f>
        <v>47</v>
      </c>
      <c r="BY13" s="43">
        <f t="shared" si="16"/>
        <v>1.0555141521621725</v>
      </c>
      <c r="BZ13" s="88">
        <f>'EF peternakan'!$C$15</f>
        <v>1</v>
      </c>
      <c r="CA13" s="205">
        <f t="shared" si="17"/>
        <v>2.2457747918344099E-2</v>
      </c>
      <c r="CB13" s="176">
        <f t="shared" ref="CB13:CB18" si="40">BY13+CA13</f>
        <v>1.0779719000805166</v>
      </c>
      <c r="CD13" s="46" t="s">
        <v>71</v>
      </c>
      <c r="CE13" s="86">
        <f t="shared" ref="CE13:CE17" si="41">M28</f>
        <v>0</v>
      </c>
      <c r="CF13" s="87">
        <f>'EF peternakan'!$C$5</f>
        <v>47</v>
      </c>
      <c r="CG13" s="43">
        <f t="shared" si="18"/>
        <v>0</v>
      </c>
      <c r="CH13" s="88">
        <f>'EF peternakan'!$C$15</f>
        <v>1</v>
      </c>
      <c r="CI13" s="205">
        <f t="shared" si="19"/>
        <v>0</v>
      </c>
      <c r="CJ13" s="176">
        <f t="shared" ref="CJ13:CJ18" si="42">CG13+CI13</f>
        <v>0</v>
      </c>
    </row>
    <row r="14" spans="2:88" x14ac:dyDescent="0.25">
      <c r="B14" s="46" t="s">
        <v>22</v>
      </c>
      <c r="C14" s="86">
        <f t="shared" ref="C14:C17" si="43">C29</f>
        <v>787</v>
      </c>
      <c r="D14" s="87">
        <f>'EF peternakan'!$C$7</f>
        <v>55</v>
      </c>
      <c r="E14" s="43">
        <f t="shared" si="20"/>
        <v>4.3284999999999997E-2</v>
      </c>
      <c r="F14" s="88">
        <f>'EF peternakan'!$C$17</f>
        <v>2</v>
      </c>
      <c r="G14" s="205">
        <f t="shared" si="21"/>
        <v>1.5739999999999999E-3</v>
      </c>
      <c r="H14" s="176">
        <f t="shared" si="22"/>
        <v>4.4858999999999996E-2</v>
      </c>
      <c r="J14" s="46" t="s">
        <v>22</v>
      </c>
      <c r="K14" s="86">
        <f t="shared" si="23"/>
        <v>779</v>
      </c>
      <c r="L14" s="87">
        <f>'EF peternakan'!$C$7</f>
        <v>55</v>
      </c>
      <c r="M14" s="43">
        <f t="shared" si="0"/>
        <v>4.2845000000000001E-2</v>
      </c>
      <c r="N14" s="88">
        <f>'EF peternakan'!$C$17</f>
        <v>2</v>
      </c>
      <c r="O14" s="205">
        <f t="shared" si="1"/>
        <v>1.5579999999999999E-3</v>
      </c>
      <c r="P14" s="176">
        <f t="shared" si="24"/>
        <v>4.4402999999999998E-2</v>
      </c>
      <c r="R14" s="46" t="s">
        <v>22</v>
      </c>
      <c r="S14" s="86">
        <f t="shared" si="25"/>
        <v>682</v>
      </c>
      <c r="T14" s="87">
        <f>'EF peternakan'!$C$7</f>
        <v>55</v>
      </c>
      <c r="U14" s="43">
        <f t="shared" si="2"/>
        <v>3.7510000000000002E-2</v>
      </c>
      <c r="V14" s="88">
        <f>'EF peternakan'!$C$17</f>
        <v>2</v>
      </c>
      <c r="W14" s="205">
        <f t="shared" si="3"/>
        <v>1.364E-3</v>
      </c>
      <c r="X14" s="176">
        <f t="shared" si="26"/>
        <v>3.8873999999999999E-2</v>
      </c>
      <c r="Z14" s="46" t="s">
        <v>22</v>
      </c>
      <c r="AA14" s="86">
        <f t="shared" si="27"/>
        <v>617</v>
      </c>
      <c r="AB14" s="87">
        <f>'EF peternakan'!$C$7</f>
        <v>55</v>
      </c>
      <c r="AC14" s="43">
        <f t="shared" si="4"/>
        <v>3.3935E-2</v>
      </c>
      <c r="AD14" s="88">
        <f>'EF peternakan'!$C$17</f>
        <v>2</v>
      </c>
      <c r="AE14" s="205">
        <f t="shared" si="5"/>
        <v>1.2339999999999999E-3</v>
      </c>
      <c r="AF14" s="176">
        <f t="shared" si="28"/>
        <v>3.5168999999999999E-2</v>
      </c>
      <c r="AH14" s="46" t="s">
        <v>22</v>
      </c>
      <c r="AI14" s="86">
        <f t="shared" si="29"/>
        <v>715</v>
      </c>
      <c r="AJ14" s="87">
        <f>'EF peternakan'!$C$7</f>
        <v>55</v>
      </c>
      <c r="AK14" s="43">
        <f t="shared" si="6"/>
        <v>3.9324999999999999E-2</v>
      </c>
      <c r="AL14" s="88">
        <f>'EF peternakan'!$C$17</f>
        <v>2</v>
      </c>
      <c r="AM14" s="205">
        <f t="shared" si="7"/>
        <v>1.4299999999999998E-3</v>
      </c>
      <c r="AN14" s="176">
        <f t="shared" si="30"/>
        <v>4.0755E-2</v>
      </c>
      <c r="AP14" s="46" t="s">
        <v>22</v>
      </c>
      <c r="AQ14" s="86">
        <f t="shared" si="31"/>
        <v>777</v>
      </c>
      <c r="AR14" s="87">
        <f>'EF peternakan'!$C$7</f>
        <v>55</v>
      </c>
      <c r="AS14" s="43">
        <f t="shared" si="8"/>
        <v>4.2734999999999995E-2</v>
      </c>
      <c r="AT14" s="88">
        <f>'EF peternakan'!$C$17</f>
        <v>2</v>
      </c>
      <c r="AU14" s="205">
        <f t="shared" si="9"/>
        <v>1.5539999999999998E-3</v>
      </c>
      <c r="AV14" s="176">
        <f t="shared" si="32"/>
        <v>4.4288999999999995E-2</v>
      </c>
      <c r="AX14" s="46" t="s">
        <v>22</v>
      </c>
      <c r="AY14" s="86">
        <f t="shared" si="33"/>
        <v>870</v>
      </c>
      <c r="AZ14" s="87">
        <f>'EF peternakan'!$C$7</f>
        <v>55</v>
      </c>
      <c r="BA14" s="43">
        <f t="shared" si="10"/>
        <v>4.7849999999999997E-2</v>
      </c>
      <c r="BB14" s="88">
        <f>'EF peternakan'!$C$17</f>
        <v>2</v>
      </c>
      <c r="BC14" s="205">
        <f t="shared" si="11"/>
        <v>1.74E-3</v>
      </c>
      <c r="BD14" s="176">
        <f t="shared" si="34"/>
        <v>4.9589999999999995E-2</v>
      </c>
      <c r="BF14" s="46" t="s">
        <v>22</v>
      </c>
      <c r="BG14" s="86">
        <f t="shared" si="35"/>
        <v>899</v>
      </c>
      <c r="BH14" s="87">
        <f>'EF peternakan'!$C$7</f>
        <v>55</v>
      </c>
      <c r="BI14" s="43">
        <f t="shared" si="12"/>
        <v>4.9444999999999996E-2</v>
      </c>
      <c r="BJ14" s="88">
        <f>'EF peternakan'!$C$17</f>
        <v>2</v>
      </c>
      <c r="BK14" s="205">
        <f t="shared" si="13"/>
        <v>1.7979999999999999E-3</v>
      </c>
      <c r="BL14" s="176">
        <f t="shared" si="36"/>
        <v>5.1242999999999997E-2</v>
      </c>
      <c r="BN14" s="46" t="s">
        <v>22</v>
      </c>
      <c r="BO14" s="86">
        <f t="shared" si="37"/>
        <v>1016</v>
      </c>
      <c r="BP14" s="87">
        <f>'EF peternakan'!$C$7</f>
        <v>55</v>
      </c>
      <c r="BQ14" s="43">
        <f t="shared" si="14"/>
        <v>5.5879999999999999E-2</v>
      </c>
      <c r="BR14" s="88">
        <f>'EF peternakan'!$C$17</f>
        <v>2</v>
      </c>
      <c r="BS14" s="205">
        <f t="shared" si="15"/>
        <v>2.032E-3</v>
      </c>
      <c r="BT14" s="176">
        <f t="shared" si="38"/>
        <v>5.7911999999999998E-2</v>
      </c>
      <c r="BV14" s="46" t="s">
        <v>22</v>
      </c>
      <c r="BW14" s="86">
        <f t="shared" si="39"/>
        <v>1117</v>
      </c>
      <c r="BX14" s="87">
        <f>'EF peternakan'!$C$7</f>
        <v>55</v>
      </c>
      <c r="BY14" s="43">
        <f t="shared" si="16"/>
        <v>6.1434999999999997E-2</v>
      </c>
      <c r="BZ14" s="88">
        <f>'EF peternakan'!$C$17</f>
        <v>2</v>
      </c>
      <c r="CA14" s="205">
        <f t="shared" si="17"/>
        <v>2.2339999999999999E-3</v>
      </c>
      <c r="CB14" s="176">
        <f t="shared" si="40"/>
        <v>6.3669000000000003E-2</v>
      </c>
      <c r="CD14" s="46" t="s">
        <v>22</v>
      </c>
      <c r="CE14" s="86">
        <f t="shared" si="41"/>
        <v>0</v>
      </c>
      <c r="CF14" s="87">
        <f>'EF peternakan'!$C$7</f>
        <v>55</v>
      </c>
      <c r="CG14" s="43">
        <f t="shared" si="18"/>
        <v>0</v>
      </c>
      <c r="CH14" s="88">
        <f>'EF peternakan'!$C$17</f>
        <v>2</v>
      </c>
      <c r="CI14" s="205">
        <f t="shared" si="19"/>
        <v>0</v>
      </c>
      <c r="CJ14" s="176">
        <f t="shared" si="42"/>
        <v>0</v>
      </c>
    </row>
    <row r="15" spans="2:88" x14ac:dyDescent="0.25">
      <c r="B15" s="46" t="s">
        <v>65</v>
      </c>
      <c r="C15" s="86">
        <f t="shared" si="43"/>
        <v>0</v>
      </c>
      <c r="D15" s="87">
        <f>'EF peternakan'!$C$8</f>
        <v>5</v>
      </c>
      <c r="E15" s="43">
        <f t="shared" si="20"/>
        <v>0</v>
      </c>
      <c r="F15" s="88">
        <f>'EF peternakan'!$C$18</f>
        <v>0.2</v>
      </c>
      <c r="G15" s="205">
        <f t="shared" si="21"/>
        <v>0</v>
      </c>
      <c r="H15" s="176">
        <f t="shared" si="22"/>
        <v>0</v>
      </c>
      <c r="J15" s="46" t="s">
        <v>65</v>
      </c>
      <c r="K15" s="86">
        <f t="shared" si="23"/>
        <v>0</v>
      </c>
      <c r="L15" s="87">
        <f>'EF peternakan'!$C$8</f>
        <v>5</v>
      </c>
      <c r="M15" s="43">
        <f t="shared" si="0"/>
        <v>0</v>
      </c>
      <c r="N15" s="88">
        <f>'EF peternakan'!$C$18</f>
        <v>0.2</v>
      </c>
      <c r="O15" s="205">
        <f t="shared" si="1"/>
        <v>0</v>
      </c>
      <c r="P15" s="176">
        <f t="shared" si="24"/>
        <v>0</v>
      </c>
      <c r="R15" s="46" t="s">
        <v>65</v>
      </c>
      <c r="S15" s="86">
        <f t="shared" si="25"/>
        <v>0</v>
      </c>
      <c r="T15" s="87">
        <f>'EF peternakan'!$C$8</f>
        <v>5</v>
      </c>
      <c r="U15" s="43">
        <f t="shared" si="2"/>
        <v>0</v>
      </c>
      <c r="V15" s="88">
        <f>'EF peternakan'!$C$18</f>
        <v>0.2</v>
      </c>
      <c r="W15" s="205">
        <f t="shared" si="3"/>
        <v>0</v>
      </c>
      <c r="X15" s="176">
        <f t="shared" si="26"/>
        <v>0</v>
      </c>
      <c r="Z15" s="46" t="s">
        <v>65</v>
      </c>
      <c r="AA15" s="86">
        <f t="shared" si="27"/>
        <v>33</v>
      </c>
      <c r="AB15" s="87">
        <f>'EF peternakan'!$C$8</f>
        <v>5</v>
      </c>
      <c r="AC15" s="43">
        <f t="shared" si="4"/>
        <v>1.65E-4</v>
      </c>
      <c r="AD15" s="88">
        <f>'EF peternakan'!$C$18</f>
        <v>0.2</v>
      </c>
      <c r="AE15" s="205">
        <f t="shared" si="5"/>
        <v>6.6000000000000003E-6</v>
      </c>
      <c r="AF15" s="176">
        <f t="shared" si="28"/>
        <v>1.716E-4</v>
      </c>
      <c r="AH15" s="46" t="s">
        <v>65</v>
      </c>
      <c r="AI15" s="86">
        <f t="shared" si="29"/>
        <v>37</v>
      </c>
      <c r="AJ15" s="87">
        <f>'EF peternakan'!$C$8</f>
        <v>5</v>
      </c>
      <c r="AK15" s="43">
        <f t="shared" si="6"/>
        <v>1.85E-4</v>
      </c>
      <c r="AL15" s="88">
        <f>'EF peternakan'!$C$18</f>
        <v>0.2</v>
      </c>
      <c r="AM15" s="205">
        <f t="shared" si="7"/>
        <v>7.4000000000000003E-6</v>
      </c>
      <c r="AN15" s="176">
        <f t="shared" si="30"/>
        <v>1.9239999999999999E-4</v>
      </c>
      <c r="AP15" s="46" t="s">
        <v>65</v>
      </c>
      <c r="AQ15" s="86">
        <f t="shared" si="31"/>
        <v>0</v>
      </c>
      <c r="AR15" s="87">
        <f>'EF peternakan'!$C$8</f>
        <v>5</v>
      </c>
      <c r="AS15" s="43">
        <f t="shared" si="8"/>
        <v>0</v>
      </c>
      <c r="AT15" s="88">
        <f>'EF peternakan'!$C$18</f>
        <v>0.2</v>
      </c>
      <c r="AU15" s="205">
        <f t="shared" si="9"/>
        <v>0</v>
      </c>
      <c r="AV15" s="176">
        <f t="shared" si="32"/>
        <v>0</v>
      </c>
      <c r="AX15" s="46" t="s">
        <v>65</v>
      </c>
      <c r="AY15" s="86">
        <f t="shared" si="33"/>
        <v>0</v>
      </c>
      <c r="AZ15" s="87">
        <f>'EF peternakan'!$C$8</f>
        <v>5</v>
      </c>
      <c r="BA15" s="43">
        <f t="shared" si="10"/>
        <v>0</v>
      </c>
      <c r="BB15" s="307">
        <f>'EF peternakan'!$D$18</f>
        <v>0.15</v>
      </c>
      <c r="BC15" s="205">
        <f t="shared" si="11"/>
        <v>0</v>
      </c>
      <c r="BD15" s="176">
        <f t="shared" si="34"/>
        <v>0</v>
      </c>
      <c r="BF15" s="46" t="s">
        <v>65</v>
      </c>
      <c r="BG15" s="86">
        <f t="shared" si="35"/>
        <v>0</v>
      </c>
      <c r="BH15" s="87">
        <f>'EF peternakan'!$C$8</f>
        <v>5</v>
      </c>
      <c r="BI15" s="43">
        <f t="shared" si="12"/>
        <v>0</v>
      </c>
      <c r="BJ15" s="307">
        <f>'EF peternakan'!$D$18</f>
        <v>0.15</v>
      </c>
      <c r="BK15" s="205">
        <f t="shared" si="13"/>
        <v>0</v>
      </c>
      <c r="BL15" s="176">
        <f t="shared" si="36"/>
        <v>0</v>
      </c>
      <c r="BN15" s="46" t="s">
        <v>65</v>
      </c>
      <c r="BO15" s="86">
        <f t="shared" si="37"/>
        <v>0</v>
      </c>
      <c r="BP15" s="87">
        <f>'EF peternakan'!$C$8</f>
        <v>5</v>
      </c>
      <c r="BQ15" s="43">
        <f t="shared" si="14"/>
        <v>0</v>
      </c>
      <c r="BR15" s="307">
        <f>'EF peternakan'!$D$18</f>
        <v>0.15</v>
      </c>
      <c r="BS15" s="205">
        <f t="shared" si="15"/>
        <v>0</v>
      </c>
      <c r="BT15" s="176">
        <f t="shared" si="38"/>
        <v>0</v>
      </c>
      <c r="BV15" s="46" t="s">
        <v>65</v>
      </c>
      <c r="BW15" s="86">
        <f t="shared" si="39"/>
        <v>0</v>
      </c>
      <c r="BX15" s="87">
        <f>'EF peternakan'!$C$8</f>
        <v>5</v>
      </c>
      <c r="BY15" s="43">
        <f t="shared" si="16"/>
        <v>0</v>
      </c>
      <c r="BZ15" s="307">
        <f>'EF peternakan'!$D$18</f>
        <v>0.15</v>
      </c>
      <c r="CA15" s="205">
        <f t="shared" si="17"/>
        <v>0</v>
      </c>
      <c r="CB15" s="176">
        <f t="shared" si="40"/>
        <v>0</v>
      </c>
      <c r="CD15" s="46" t="s">
        <v>65</v>
      </c>
      <c r="CE15" s="86">
        <f t="shared" si="41"/>
        <v>0</v>
      </c>
      <c r="CF15" s="87">
        <f>'EF peternakan'!$C$8</f>
        <v>5</v>
      </c>
      <c r="CG15" s="43">
        <f t="shared" si="18"/>
        <v>0</v>
      </c>
      <c r="CH15" s="307">
        <f>'EF peternakan'!$D$18</f>
        <v>0.15</v>
      </c>
      <c r="CI15" s="205">
        <f t="shared" si="19"/>
        <v>0</v>
      </c>
      <c r="CJ15" s="176">
        <f t="shared" si="42"/>
        <v>0</v>
      </c>
    </row>
    <row r="16" spans="2:88" x14ac:dyDescent="0.25">
      <c r="B16" s="46" t="s">
        <v>23</v>
      </c>
      <c r="C16" s="86">
        <f t="shared" si="43"/>
        <v>6977</v>
      </c>
      <c r="D16" s="87">
        <f>'EF peternakan'!$C$9</f>
        <v>5</v>
      </c>
      <c r="E16" s="43">
        <f t="shared" si="20"/>
        <v>3.4884999999999999E-2</v>
      </c>
      <c r="F16" s="88">
        <f>'EF peternakan'!$C$19</f>
        <v>0.22</v>
      </c>
      <c r="G16" s="205">
        <f t="shared" si="21"/>
        <v>1.53494E-3</v>
      </c>
      <c r="H16" s="176">
        <f t="shared" si="22"/>
        <v>3.6419939999999998E-2</v>
      </c>
      <c r="J16" s="46" t="s">
        <v>23</v>
      </c>
      <c r="K16" s="86">
        <f t="shared" si="23"/>
        <v>7633</v>
      </c>
      <c r="L16" s="87">
        <f>'EF peternakan'!$C$9</f>
        <v>5</v>
      </c>
      <c r="M16" s="43">
        <f t="shared" si="0"/>
        <v>3.8164999999999998E-2</v>
      </c>
      <c r="N16" s="88">
        <f>'EF peternakan'!$C$19</f>
        <v>0.22</v>
      </c>
      <c r="O16" s="205">
        <f t="shared" si="1"/>
        <v>1.6792599999999999E-3</v>
      </c>
      <c r="P16" s="176">
        <f t="shared" si="24"/>
        <v>3.9844259999999999E-2</v>
      </c>
      <c r="R16" s="46" t="s">
        <v>23</v>
      </c>
      <c r="S16" s="86">
        <f t="shared" si="25"/>
        <v>8320</v>
      </c>
      <c r="T16" s="87">
        <f>'EF peternakan'!$C$9</f>
        <v>5</v>
      </c>
      <c r="U16" s="43">
        <f t="shared" si="2"/>
        <v>4.1599999999999998E-2</v>
      </c>
      <c r="V16" s="88">
        <f>'EF peternakan'!$C$19</f>
        <v>0.22</v>
      </c>
      <c r="W16" s="205">
        <f t="shared" si="3"/>
        <v>1.8304E-3</v>
      </c>
      <c r="X16" s="176">
        <f t="shared" si="26"/>
        <v>4.3430400000000001E-2</v>
      </c>
      <c r="Z16" s="46" t="s">
        <v>23</v>
      </c>
      <c r="AA16" s="86">
        <f t="shared" si="27"/>
        <v>9953</v>
      </c>
      <c r="AB16" s="87">
        <f>'EF peternakan'!$C$9</f>
        <v>5</v>
      </c>
      <c r="AC16" s="43">
        <f t="shared" si="4"/>
        <v>4.9764999999999997E-2</v>
      </c>
      <c r="AD16" s="88">
        <f>'EF peternakan'!$C$19</f>
        <v>0.22</v>
      </c>
      <c r="AE16" s="205">
        <f t="shared" si="5"/>
        <v>2.18966E-3</v>
      </c>
      <c r="AF16" s="176">
        <f t="shared" si="28"/>
        <v>5.195466E-2</v>
      </c>
      <c r="AH16" s="46" t="s">
        <v>23</v>
      </c>
      <c r="AI16" s="86">
        <f t="shared" si="29"/>
        <v>10799</v>
      </c>
      <c r="AJ16" s="87">
        <f>'EF peternakan'!$C$9</f>
        <v>5</v>
      </c>
      <c r="AK16" s="43">
        <f t="shared" si="6"/>
        <v>5.3994999999999994E-2</v>
      </c>
      <c r="AL16" s="88">
        <f>'EF peternakan'!$C$19</f>
        <v>0.22</v>
      </c>
      <c r="AM16" s="205">
        <f t="shared" si="7"/>
        <v>2.3757800000000001E-3</v>
      </c>
      <c r="AN16" s="176">
        <f t="shared" si="30"/>
        <v>5.6370779999999995E-2</v>
      </c>
      <c r="AP16" s="46" t="s">
        <v>23</v>
      </c>
      <c r="AQ16" s="86">
        <f t="shared" si="31"/>
        <v>11000</v>
      </c>
      <c r="AR16" s="87">
        <f>'EF peternakan'!$C$9</f>
        <v>5</v>
      </c>
      <c r="AS16" s="43">
        <f t="shared" si="8"/>
        <v>5.5E-2</v>
      </c>
      <c r="AT16" s="88">
        <f>'EF peternakan'!$C$19</f>
        <v>0.22</v>
      </c>
      <c r="AU16" s="205">
        <f t="shared" si="9"/>
        <v>2.4199999999999998E-3</v>
      </c>
      <c r="AV16" s="176">
        <f t="shared" si="32"/>
        <v>5.7419999999999999E-2</v>
      </c>
      <c r="AX16" s="46" t="s">
        <v>23</v>
      </c>
      <c r="AY16" s="86">
        <f t="shared" si="33"/>
        <v>11639</v>
      </c>
      <c r="AZ16" s="87">
        <f>'EF peternakan'!$C$9</f>
        <v>5</v>
      </c>
      <c r="BA16" s="43">
        <f t="shared" si="10"/>
        <v>5.8194999999999997E-2</v>
      </c>
      <c r="BB16" s="307">
        <f>'EF peternakan'!$D$19</f>
        <v>0.17</v>
      </c>
      <c r="BC16" s="205">
        <f t="shared" si="11"/>
        <v>1.9786299999999999E-3</v>
      </c>
      <c r="BD16" s="176">
        <f t="shared" si="34"/>
        <v>6.0173629999999999E-2</v>
      </c>
      <c r="BF16" s="46" t="s">
        <v>23</v>
      </c>
      <c r="BG16" s="86">
        <f t="shared" si="35"/>
        <v>12125</v>
      </c>
      <c r="BH16" s="87">
        <f>'EF peternakan'!$C$9</f>
        <v>5</v>
      </c>
      <c r="BI16" s="43">
        <f t="shared" si="12"/>
        <v>6.0624999999999998E-2</v>
      </c>
      <c r="BJ16" s="307">
        <f>'EF peternakan'!$D$19</f>
        <v>0.17</v>
      </c>
      <c r="BK16" s="205">
        <f t="shared" si="13"/>
        <v>2.0612499999999997E-3</v>
      </c>
      <c r="BL16" s="176">
        <f t="shared" si="36"/>
        <v>6.2686249999999999E-2</v>
      </c>
      <c r="BN16" s="46" t="s">
        <v>23</v>
      </c>
      <c r="BO16" s="86">
        <f t="shared" si="37"/>
        <v>12225</v>
      </c>
      <c r="BP16" s="87">
        <f>'EF peternakan'!$C$9</f>
        <v>5</v>
      </c>
      <c r="BQ16" s="43">
        <f t="shared" si="14"/>
        <v>6.1124999999999999E-2</v>
      </c>
      <c r="BR16" s="307">
        <f>'EF peternakan'!$D$19</f>
        <v>0.17</v>
      </c>
      <c r="BS16" s="205">
        <f t="shared" si="15"/>
        <v>2.0782499999999998E-3</v>
      </c>
      <c r="BT16" s="176">
        <f t="shared" si="38"/>
        <v>6.3203250000000002E-2</v>
      </c>
      <c r="BV16" s="46" t="s">
        <v>23</v>
      </c>
      <c r="BW16" s="86">
        <f t="shared" si="39"/>
        <v>12424</v>
      </c>
      <c r="BX16" s="87">
        <f>'EF peternakan'!$C$9</f>
        <v>5</v>
      </c>
      <c r="BY16" s="43">
        <f t="shared" si="16"/>
        <v>6.2119999999999995E-2</v>
      </c>
      <c r="BZ16" s="307">
        <f>'EF peternakan'!$D$19</f>
        <v>0.17</v>
      </c>
      <c r="CA16" s="205">
        <f t="shared" si="17"/>
        <v>2.1120799999999997E-3</v>
      </c>
      <c r="CB16" s="176">
        <f t="shared" si="40"/>
        <v>6.4232079999999997E-2</v>
      </c>
      <c r="CD16" s="46" t="s">
        <v>23</v>
      </c>
      <c r="CE16" s="86">
        <f t="shared" si="41"/>
        <v>0</v>
      </c>
      <c r="CF16" s="87">
        <f>'EF peternakan'!$C$9</f>
        <v>5</v>
      </c>
      <c r="CG16" s="43">
        <f t="shared" si="18"/>
        <v>0</v>
      </c>
      <c r="CH16" s="307">
        <f>'EF peternakan'!$D$19</f>
        <v>0.17</v>
      </c>
      <c r="CI16" s="205">
        <f t="shared" si="19"/>
        <v>0</v>
      </c>
      <c r="CJ16" s="176">
        <f t="shared" si="42"/>
        <v>0</v>
      </c>
    </row>
    <row r="17" spans="2:88" x14ac:dyDescent="0.25">
      <c r="B17" s="46" t="s">
        <v>24</v>
      </c>
      <c r="C17" s="86">
        <f t="shared" si="43"/>
        <v>0</v>
      </c>
      <c r="D17" s="87">
        <f>'EF peternakan'!$C$11</f>
        <v>18</v>
      </c>
      <c r="E17" s="43">
        <f t="shared" si="20"/>
        <v>0</v>
      </c>
      <c r="F17" s="88">
        <f>'EF peternakan'!$C$21</f>
        <v>2.19</v>
      </c>
      <c r="G17" s="205">
        <f t="shared" si="21"/>
        <v>0</v>
      </c>
      <c r="H17" s="176">
        <f t="shared" si="22"/>
        <v>0</v>
      </c>
      <c r="J17" s="46" t="s">
        <v>24</v>
      </c>
      <c r="K17" s="86">
        <f t="shared" si="23"/>
        <v>0</v>
      </c>
      <c r="L17" s="87">
        <f>'EF peternakan'!$C$11</f>
        <v>18</v>
      </c>
      <c r="M17" s="43">
        <f t="shared" si="0"/>
        <v>0</v>
      </c>
      <c r="N17" s="88">
        <f>'EF peternakan'!$C$21</f>
        <v>2.19</v>
      </c>
      <c r="O17" s="205">
        <f t="shared" si="1"/>
        <v>0</v>
      </c>
      <c r="P17" s="176">
        <f t="shared" si="24"/>
        <v>0</v>
      </c>
      <c r="R17" s="46" t="s">
        <v>24</v>
      </c>
      <c r="S17" s="86">
        <f t="shared" si="25"/>
        <v>0</v>
      </c>
      <c r="T17" s="87">
        <f>'EF peternakan'!$C$11</f>
        <v>18</v>
      </c>
      <c r="U17" s="43">
        <f t="shared" si="2"/>
        <v>0</v>
      </c>
      <c r="V17" s="88">
        <f>'EF peternakan'!$C$21</f>
        <v>2.19</v>
      </c>
      <c r="W17" s="205">
        <f t="shared" si="3"/>
        <v>0</v>
      </c>
      <c r="X17" s="176">
        <f t="shared" si="26"/>
        <v>0</v>
      </c>
      <c r="Z17" s="46" t="s">
        <v>24</v>
      </c>
      <c r="AA17" s="86">
        <f t="shared" si="27"/>
        <v>10</v>
      </c>
      <c r="AB17" s="87">
        <f>'EF peternakan'!$C$11</f>
        <v>18</v>
      </c>
      <c r="AC17" s="43">
        <f t="shared" si="4"/>
        <v>1.7999999999999998E-4</v>
      </c>
      <c r="AD17" s="88">
        <f>'EF peternakan'!$C$21</f>
        <v>2.19</v>
      </c>
      <c r="AE17" s="205">
        <f t="shared" si="5"/>
        <v>2.1899999999999997E-5</v>
      </c>
      <c r="AF17" s="176">
        <f t="shared" si="28"/>
        <v>2.0189999999999997E-4</v>
      </c>
      <c r="AH17" s="46" t="s">
        <v>24</v>
      </c>
      <c r="AI17" s="86">
        <f t="shared" si="29"/>
        <v>60</v>
      </c>
      <c r="AJ17" s="87">
        <f>'EF peternakan'!$C$11</f>
        <v>18</v>
      </c>
      <c r="AK17" s="43">
        <f t="shared" si="6"/>
        <v>1.08E-3</v>
      </c>
      <c r="AL17" s="88">
        <f>'EF peternakan'!$C$21</f>
        <v>2.19</v>
      </c>
      <c r="AM17" s="205">
        <f t="shared" si="7"/>
        <v>1.314E-4</v>
      </c>
      <c r="AN17" s="176">
        <f t="shared" si="30"/>
        <v>1.2114000000000001E-3</v>
      </c>
      <c r="AP17" s="46" t="s">
        <v>24</v>
      </c>
      <c r="AQ17" s="86">
        <f t="shared" si="31"/>
        <v>0</v>
      </c>
      <c r="AR17" s="87">
        <f>'EF peternakan'!$C$11</f>
        <v>18</v>
      </c>
      <c r="AS17" s="43">
        <f t="shared" si="8"/>
        <v>0</v>
      </c>
      <c r="AT17" s="88">
        <f>'EF peternakan'!$C$21</f>
        <v>2.19</v>
      </c>
      <c r="AU17" s="205">
        <f t="shared" si="9"/>
        <v>0</v>
      </c>
      <c r="AV17" s="176">
        <f t="shared" si="32"/>
        <v>0</v>
      </c>
      <c r="AX17" s="46" t="s">
        <v>24</v>
      </c>
      <c r="AY17" s="86">
        <f t="shared" si="33"/>
        <v>0</v>
      </c>
      <c r="AZ17" s="87">
        <f>'EF peternakan'!$C$11</f>
        <v>18</v>
      </c>
      <c r="BA17" s="43">
        <f t="shared" si="10"/>
        <v>0</v>
      </c>
      <c r="BB17" s="307">
        <f>'EF peternakan'!$D$21</f>
        <v>1.64</v>
      </c>
      <c r="BC17" s="205">
        <f t="shared" si="11"/>
        <v>0</v>
      </c>
      <c r="BD17" s="176">
        <f t="shared" si="34"/>
        <v>0</v>
      </c>
      <c r="BF17" s="46" t="s">
        <v>24</v>
      </c>
      <c r="BG17" s="86">
        <f t="shared" si="35"/>
        <v>0</v>
      </c>
      <c r="BH17" s="87">
        <f>'EF peternakan'!$C$11</f>
        <v>18</v>
      </c>
      <c r="BI17" s="43">
        <f t="shared" si="12"/>
        <v>0</v>
      </c>
      <c r="BJ17" s="307">
        <f>'EF peternakan'!$D$21</f>
        <v>1.64</v>
      </c>
      <c r="BK17" s="205">
        <f t="shared" si="13"/>
        <v>0</v>
      </c>
      <c r="BL17" s="176">
        <f t="shared" si="36"/>
        <v>0</v>
      </c>
      <c r="BN17" s="46" t="s">
        <v>24</v>
      </c>
      <c r="BO17" s="86">
        <f t="shared" si="37"/>
        <v>0</v>
      </c>
      <c r="BP17" s="87">
        <f>'EF peternakan'!$C$11</f>
        <v>18</v>
      </c>
      <c r="BQ17" s="43">
        <f t="shared" si="14"/>
        <v>0</v>
      </c>
      <c r="BR17" s="307">
        <f>'EF peternakan'!$D$21</f>
        <v>1.64</v>
      </c>
      <c r="BS17" s="205">
        <f t="shared" si="15"/>
        <v>0</v>
      </c>
      <c r="BT17" s="176">
        <f t="shared" si="38"/>
        <v>0</v>
      </c>
      <c r="BV17" s="46" t="s">
        <v>24</v>
      </c>
      <c r="BW17" s="86">
        <f t="shared" si="39"/>
        <v>0</v>
      </c>
      <c r="BX17" s="87">
        <f>'EF peternakan'!$C$11</f>
        <v>18</v>
      </c>
      <c r="BY17" s="43">
        <f t="shared" si="16"/>
        <v>0</v>
      </c>
      <c r="BZ17" s="307">
        <f>'EF peternakan'!$D$21</f>
        <v>1.64</v>
      </c>
      <c r="CA17" s="205">
        <f t="shared" si="17"/>
        <v>0</v>
      </c>
      <c r="CB17" s="176">
        <f t="shared" si="40"/>
        <v>0</v>
      </c>
      <c r="CD17" s="46" t="s">
        <v>24</v>
      </c>
      <c r="CE17" s="86">
        <f t="shared" si="41"/>
        <v>0</v>
      </c>
      <c r="CF17" s="87">
        <f>'EF peternakan'!$C$11</f>
        <v>18</v>
      </c>
      <c r="CG17" s="43">
        <f t="shared" si="18"/>
        <v>0</v>
      </c>
      <c r="CH17" s="307">
        <f>'EF peternakan'!$D$21</f>
        <v>1.64</v>
      </c>
      <c r="CI17" s="205">
        <f t="shared" si="19"/>
        <v>0</v>
      </c>
      <c r="CJ17" s="176">
        <f t="shared" si="42"/>
        <v>0</v>
      </c>
    </row>
    <row r="18" spans="2:88" x14ac:dyDescent="0.25">
      <c r="B18" s="270" t="s">
        <v>461</v>
      </c>
      <c r="C18" s="86">
        <f>$C$37</f>
        <v>5800</v>
      </c>
      <c r="D18" s="87">
        <f>'EF peternakan'!$C$10</f>
        <v>1</v>
      </c>
      <c r="E18" s="43">
        <f t="shared" si="20"/>
        <v>5.7999999999999996E-3</v>
      </c>
      <c r="F18" s="88">
        <f>'EF peternakan'!$C$20</f>
        <v>7</v>
      </c>
      <c r="G18" s="205">
        <f t="shared" si="21"/>
        <v>4.0599999999999997E-2</v>
      </c>
      <c r="H18" s="176">
        <f t="shared" si="22"/>
        <v>4.6399999999999997E-2</v>
      </c>
      <c r="J18" s="270" t="s">
        <v>66</v>
      </c>
      <c r="K18" s="86">
        <f>$D37</f>
        <v>6591</v>
      </c>
      <c r="L18" s="87">
        <f>'EF peternakan'!$C$10</f>
        <v>1</v>
      </c>
      <c r="M18" s="43"/>
      <c r="N18" s="88">
        <f>'EF peternakan'!$C$20</f>
        <v>7</v>
      </c>
      <c r="O18" s="205">
        <f t="shared" si="1"/>
        <v>4.6136999999999997E-2</v>
      </c>
      <c r="P18" s="176">
        <f t="shared" si="24"/>
        <v>4.6136999999999997E-2</v>
      </c>
      <c r="R18" s="270" t="s">
        <v>66</v>
      </c>
      <c r="S18" s="86">
        <f>E37</f>
        <v>5933</v>
      </c>
      <c r="T18" s="87">
        <f>'EF peternakan'!$C$10</f>
        <v>1</v>
      </c>
      <c r="U18" s="43">
        <f t="shared" si="2"/>
        <v>5.9329999999999999E-3</v>
      </c>
      <c r="V18" s="88">
        <f>'EF peternakan'!$C$20</f>
        <v>7</v>
      </c>
      <c r="W18" s="205">
        <f t="shared" si="3"/>
        <v>4.1530999999999998E-2</v>
      </c>
      <c r="X18" s="176">
        <f t="shared" si="26"/>
        <v>4.7463999999999999E-2</v>
      </c>
      <c r="Z18" s="270" t="s">
        <v>66</v>
      </c>
      <c r="AA18" s="86">
        <f>F37</f>
        <v>6528</v>
      </c>
      <c r="AB18" s="87">
        <f>'EF peternakan'!$C$10</f>
        <v>1</v>
      </c>
      <c r="AC18" s="43">
        <f t="shared" si="4"/>
        <v>6.5279999999999999E-3</v>
      </c>
      <c r="AD18" s="88">
        <f>'EF peternakan'!$C$20</f>
        <v>7</v>
      </c>
      <c r="AE18" s="205">
        <f t="shared" si="5"/>
        <v>4.5696000000000001E-2</v>
      </c>
      <c r="AF18" s="176">
        <f t="shared" si="28"/>
        <v>5.2224E-2</v>
      </c>
      <c r="AH18" s="270" t="s">
        <v>66</v>
      </c>
      <c r="AI18" s="86">
        <f>G37</f>
        <v>8445</v>
      </c>
      <c r="AJ18" s="87">
        <f>'EF peternakan'!$C$10</f>
        <v>1</v>
      </c>
      <c r="AK18" s="43">
        <f t="shared" si="6"/>
        <v>8.4449999999999994E-3</v>
      </c>
      <c r="AL18" s="88">
        <f>'EF peternakan'!$C$20</f>
        <v>7</v>
      </c>
      <c r="AM18" s="205">
        <f>AI18*AL18*10^-6</f>
        <v>5.9114999999999994E-2</v>
      </c>
      <c r="AN18" s="176">
        <f t="shared" si="30"/>
        <v>6.7559999999999995E-2</v>
      </c>
      <c r="AP18" s="270" t="s">
        <v>66</v>
      </c>
      <c r="AQ18" s="86">
        <f>H37</f>
        <v>8906</v>
      </c>
      <c r="AR18" s="87">
        <f>'EF peternakan'!$C$10</f>
        <v>1</v>
      </c>
      <c r="AS18" s="43">
        <f t="shared" si="8"/>
        <v>8.905999999999999E-3</v>
      </c>
      <c r="AT18" s="88">
        <f>'EF peternakan'!$C$20</f>
        <v>7</v>
      </c>
      <c r="AU18" s="205">
        <f t="shared" si="9"/>
        <v>6.2341999999999995E-2</v>
      </c>
      <c r="AV18" s="176">
        <f t="shared" si="32"/>
        <v>7.1247999999999992E-2</v>
      </c>
      <c r="AX18" s="270" t="s">
        <v>66</v>
      </c>
      <c r="AY18" s="86">
        <f>I37</f>
        <v>9150</v>
      </c>
      <c r="AZ18" s="87">
        <f>'EF peternakan'!$C$10</f>
        <v>1</v>
      </c>
      <c r="BA18" s="43">
        <f t="shared" si="10"/>
        <v>9.1500000000000001E-3</v>
      </c>
      <c r="BB18" s="88">
        <f>'EF peternakan'!$C$20</f>
        <v>7</v>
      </c>
      <c r="BC18" s="205">
        <f t="shared" si="11"/>
        <v>6.4049999999999996E-2</v>
      </c>
      <c r="BD18" s="176">
        <f t="shared" si="34"/>
        <v>7.3200000000000001E-2</v>
      </c>
      <c r="BF18" s="270" t="s">
        <v>66</v>
      </c>
      <c r="BG18" s="86">
        <f>J37</f>
        <v>9636</v>
      </c>
      <c r="BH18" s="87">
        <f>'EF peternakan'!$C$10</f>
        <v>1</v>
      </c>
      <c r="BI18" s="43">
        <f t="shared" si="12"/>
        <v>9.6359999999999987E-3</v>
      </c>
      <c r="BJ18" s="88">
        <f>'EF peternakan'!$C$20</f>
        <v>7</v>
      </c>
      <c r="BK18" s="205">
        <f t="shared" si="13"/>
        <v>6.7451999999999998E-2</v>
      </c>
      <c r="BL18" s="176">
        <f t="shared" si="36"/>
        <v>7.708799999999999E-2</v>
      </c>
      <c r="BN18" s="270" t="s">
        <v>461</v>
      </c>
      <c r="BO18" s="86">
        <f>K37</f>
        <v>10243</v>
      </c>
      <c r="BP18" s="87">
        <f>'EF peternakan'!$C$10</f>
        <v>1</v>
      </c>
      <c r="BQ18" s="43">
        <f t="shared" si="14"/>
        <v>1.0243E-2</v>
      </c>
      <c r="BR18" s="88">
        <f>'EF peternakan'!$C$20</f>
        <v>7</v>
      </c>
      <c r="BS18" s="205">
        <f t="shared" si="15"/>
        <v>7.1701000000000001E-2</v>
      </c>
      <c r="BT18" s="176">
        <f t="shared" si="38"/>
        <v>8.1944000000000003E-2</v>
      </c>
      <c r="BV18" s="270" t="s">
        <v>461</v>
      </c>
      <c r="BW18" s="86">
        <f>L37</f>
        <v>10706</v>
      </c>
      <c r="BX18" s="87">
        <f>'EF peternakan'!$C$10</f>
        <v>1</v>
      </c>
      <c r="BY18" s="43">
        <f t="shared" si="16"/>
        <v>1.0706E-2</v>
      </c>
      <c r="BZ18" s="88">
        <f>'EF peternakan'!$C$20</f>
        <v>7</v>
      </c>
      <c r="CA18" s="205">
        <f t="shared" si="17"/>
        <v>7.4941999999999995E-2</v>
      </c>
      <c r="CB18" s="176">
        <f t="shared" si="40"/>
        <v>8.5648000000000002E-2</v>
      </c>
      <c r="CD18" s="270" t="s">
        <v>461</v>
      </c>
      <c r="CE18" s="86">
        <f>M37</f>
        <v>0</v>
      </c>
      <c r="CF18" s="87">
        <f>'EF peternakan'!$C$10</f>
        <v>1</v>
      </c>
      <c r="CG18" s="43">
        <f t="shared" si="18"/>
        <v>0</v>
      </c>
      <c r="CH18" s="88">
        <f>'EF peternakan'!$C$20</f>
        <v>7</v>
      </c>
      <c r="CI18" s="205">
        <f t="shared" si="19"/>
        <v>0</v>
      </c>
      <c r="CJ18" s="176">
        <f t="shared" si="42"/>
        <v>0</v>
      </c>
    </row>
    <row r="19" spans="2:88" x14ac:dyDescent="0.25">
      <c r="B19" s="46" t="s">
        <v>67</v>
      </c>
      <c r="C19" s="44">
        <f>C33</f>
        <v>557800</v>
      </c>
      <c r="D19" s="9"/>
      <c r="E19" s="12"/>
      <c r="F19" s="88">
        <f>'EF peternakan'!$C$22</f>
        <v>0.02</v>
      </c>
      <c r="G19" s="205">
        <f t="shared" ref="G19:G22" si="44">C19*F19*10^-6</f>
        <v>1.1155999999999999E-2</v>
      </c>
      <c r="H19" s="176">
        <f t="shared" ref="H19:H22" si="45">E19+G19</f>
        <v>1.1155999999999999E-2</v>
      </c>
      <c r="J19" s="46" t="s">
        <v>67</v>
      </c>
      <c r="K19" s="44">
        <f>D33</f>
        <v>625168</v>
      </c>
      <c r="L19" s="9"/>
      <c r="M19" s="12"/>
      <c r="N19" s="88">
        <f>'EF peternakan'!$C$22</f>
        <v>0.02</v>
      </c>
      <c r="O19" s="205">
        <f t="shared" ref="O19:O22" si="46">K19*N19*10^-6</f>
        <v>1.250336E-2</v>
      </c>
      <c r="P19" s="176">
        <f t="shared" ref="P19:P22" si="47">M19+O19</f>
        <v>1.250336E-2</v>
      </c>
      <c r="R19" s="46" t="s">
        <v>67</v>
      </c>
      <c r="S19" s="44">
        <f>E33</f>
        <v>626591</v>
      </c>
      <c r="T19" s="9"/>
      <c r="U19" s="12"/>
      <c r="V19" s="88">
        <f>'EF peternakan'!$C$22</f>
        <v>0.02</v>
      </c>
      <c r="W19" s="205">
        <f t="shared" ref="W19:W22" si="48">S19*V19*10^-6</f>
        <v>1.2531819999999999E-2</v>
      </c>
      <c r="X19" s="176">
        <f t="shared" ref="X19:X22" si="49">U19+W19</f>
        <v>1.2531819999999999E-2</v>
      </c>
      <c r="Z19" s="46" t="s">
        <v>67</v>
      </c>
      <c r="AA19" s="44">
        <f>F33</f>
        <v>633398</v>
      </c>
      <c r="AB19" s="9"/>
      <c r="AC19" s="12"/>
      <c r="AD19" s="88">
        <f>'EF peternakan'!$C$22</f>
        <v>0.02</v>
      </c>
      <c r="AE19" s="205">
        <f t="shared" ref="AE19:AE22" si="50">AA19*AD19*10^-6</f>
        <v>1.2667960000000001E-2</v>
      </c>
      <c r="AF19" s="176">
        <f t="shared" ref="AF19:AF22" si="51">AC19+AE19</f>
        <v>1.2667960000000001E-2</v>
      </c>
      <c r="AH19" s="46" t="s">
        <v>67</v>
      </c>
      <c r="AI19" s="44">
        <f>G33</f>
        <v>465533</v>
      </c>
      <c r="AJ19" s="9"/>
      <c r="AK19" s="12"/>
      <c r="AL19" s="88">
        <f>'EF peternakan'!$C$22</f>
        <v>0.02</v>
      </c>
      <c r="AM19" s="205">
        <f t="shared" ref="AM19:AM22" si="52">AI19*AL19*10^-6</f>
        <v>9.3106600000000001E-3</v>
      </c>
      <c r="AN19" s="176">
        <f t="shared" ref="AN19:AN22" si="53">AK19+AM19</f>
        <v>9.3106600000000001E-3</v>
      </c>
      <c r="AP19" s="46" t="s">
        <v>67</v>
      </c>
      <c r="AQ19" s="44">
        <f>H33</f>
        <v>470495</v>
      </c>
      <c r="AR19" s="9"/>
      <c r="AS19" s="12"/>
      <c r="AT19" s="88">
        <f>'EF peternakan'!$C$22</f>
        <v>0.02</v>
      </c>
      <c r="AU19" s="205">
        <f t="shared" ref="AU19:AU21" si="54">AQ19*AT19*10^-6</f>
        <v>9.4098999999999988E-3</v>
      </c>
      <c r="AV19" s="176">
        <f t="shared" ref="AV19:AV21" si="55">AS19+AU19</f>
        <v>9.4098999999999988E-3</v>
      </c>
      <c r="AX19" s="46" t="s">
        <v>67</v>
      </c>
      <c r="AY19" s="44">
        <f>I33</f>
        <v>470745</v>
      </c>
      <c r="AZ19" s="9"/>
      <c r="BA19" s="12"/>
      <c r="BB19" s="88">
        <f>'EF peternakan'!$C$22</f>
        <v>0.02</v>
      </c>
      <c r="BC19" s="205">
        <f t="shared" ref="BC19:BC22" si="56">AY19*BB19*10^-6</f>
        <v>9.4148999999999986E-3</v>
      </c>
      <c r="BD19" s="176">
        <f t="shared" ref="BD19:BD22" si="57">BA19+BC19</f>
        <v>9.4148999999999986E-3</v>
      </c>
      <c r="BF19" s="46" t="s">
        <v>67</v>
      </c>
      <c r="BG19" s="44">
        <f>J33</f>
        <v>471245</v>
      </c>
      <c r="BH19" s="9"/>
      <c r="BI19" s="12"/>
      <c r="BJ19" s="88">
        <f>'EF peternakan'!$C$22</f>
        <v>0.02</v>
      </c>
      <c r="BK19" s="205">
        <f t="shared" ref="BK19:BK22" si="58">BG19*BJ19*10^-6</f>
        <v>9.4248999999999999E-3</v>
      </c>
      <c r="BL19" s="176">
        <f t="shared" ref="BL19:BL22" si="59">BI19+BK19</f>
        <v>9.4248999999999999E-3</v>
      </c>
      <c r="BN19" s="46" t="s">
        <v>67</v>
      </c>
      <c r="BO19" s="44">
        <f>K33</f>
        <v>471495</v>
      </c>
      <c r="BP19" s="9"/>
      <c r="BQ19" s="12"/>
      <c r="BR19" s="88">
        <f>'EF peternakan'!$C$22</f>
        <v>0.02</v>
      </c>
      <c r="BS19" s="205">
        <f t="shared" ref="BS19:BS22" si="60">BO19*BR19*10^-6</f>
        <v>9.4298999999999997E-3</v>
      </c>
      <c r="BT19" s="176">
        <f t="shared" ref="BT19:BT22" si="61">BQ19+BS19</f>
        <v>9.4298999999999997E-3</v>
      </c>
      <c r="BV19" s="46" t="s">
        <v>67</v>
      </c>
      <c r="BW19" s="44">
        <f>L33</f>
        <v>472495</v>
      </c>
      <c r="BX19" s="9"/>
      <c r="BY19" s="12"/>
      <c r="BZ19" s="88">
        <f>'EF peternakan'!$C$22</f>
        <v>0.02</v>
      </c>
      <c r="CA19" s="205">
        <f t="shared" ref="CA19:CA22" si="62">BW19*BZ19*10^-6</f>
        <v>9.4498999999999989E-3</v>
      </c>
      <c r="CB19" s="176">
        <f t="shared" ref="CB19:CB22" si="63">BY19+CA19</f>
        <v>9.4498999999999989E-3</v>
      </c>
      <c r="CD19" s="46" t="s">
        <v>67</v>
      </c>
      <c r="CE19" s="44">
        <f>M33</f>
        <v>0</v>
      </c>
      <c r="CF19" s="9"/>
      <c r="CG19" s="12"/>
      <c r="CH19" s="88">
        <f>'EF peternakan'!$C$22</f>
        <v>0.02</v>
      </c>
      <c r="CI19" s="205">
        <f t="shared" ref="CI19:CI22" si="64">CE19*CH19*10^-6</f>
        <v>0</v>
      </c>
      <c r="CJ19" s="176">
        <f t="shared" ref="CJ19:CJ22" si="65">CG19+CI19</f>
        <v>0</v>
      </c>
    </row>
    <row r="20" spans="2:88" x14ac:dyDescent="0.25">
      <c r="B20" s="46" t="s">
        <v>68</v>
      </c>
      <c r="C20" s="44">
        <f t="shared" ref="C20:C21" si="66">C34</f>
        <v>1821500</v>
      </c>
      <c r="D20" s="9"/>
      <c r="E20" s="12"/>
      <c r="F20" s="88">
        <f>'EF peternakan'!$C$23</f>
        <v>0.02</v>
      </c>
      <c r="G20" s="205">
        <f t="shared" si="44"/>
        <v>3.6429999999999997E-2</v>
      </c>
      <c r="H20" s="176">
        <f t="shared" si="45"/>
        <v>3.6429999999999997E-2</v>
      </c>
      <c r="J20" s="46" t="s">
        <v>68</v>
      </c>
      <c r="K20" s="44">
        <f t="shared" ref="K20:K21" si="67">D34</f>
        <v>1903693</v>
      </c>
      <c r="L20" s="9"/>
      <c r="M20" s="12"/>
      <c r="N20" s="88">
        <f>'EF peternakan'!$C$23</f>
        <v>0.02</v>
      </c>
      <c r="O20" s="205">
        <f t="shared" si="46"/>
        <v>3.8073860000000001E-2</v>
      </c>
      <c r="P20" s="176">
        <f t="shared" si="47"/>
        <v>3.8073860000000001E-2</v>
      </c>
      <c r="R20" s="46" t="s">
        <v>68</v>
      </c>
      <c r="S20" s="44">
        <f t="shared" ref="S20:S21" si="68">E34</f>
        <v>1825000</v>
      </c>
      <c r="T20" s="9"/>
      <c r="U20" s="12"/>
      <c r="V20" s="88">
        <f>'EF peternakan'!$C$23</f>
        <v>0.02</v>
      </c>
      <c r="W20" s="205">
        <f t="shared" si="48"/>
        <v>3.6499999999999998E-2</v>
      </c>
      <c r="X20" s="176">
        <f t="shared" si="49"/>
        <v>3.6499999999999998E-2</v>
      </c>
      <c r="Z20" s="46" t="s">
        <v>68</v>
      </c>
      <c r="AA20" s="44">
        <f t="shared" ref="AA20:AA21" si="69">F34</f>
        <v>2192083</v>
      </c>
      <c r="AB20" s="9"/>
      <c r="AC20" s="12"/>
      <c r="AD20" s="88">
        <f>'EF peternakan'!$C$23</f>
        <v>0.02</v>
      </c>
      <c r="AE20" s="205">
        <f t="shared" si="50"/>
        <v>4.3841660000000005E-2</v>
      </c>
      <c r="AF20" s="176">
        <f t="shared" si="51"/>
        <v>4.3841660000000005E-2</v>
      </c>
      <c r="AH20" s="46" t="s">
        <v>68</v>
      </c>
      <c r="AI20" s="44">
        <f>G34</f>
        <v>3705919</v>
      </c>
      <c r="AJ20" s="9"/>
      <c r="AK20" s="12"/>
      <c r="AL20" s="88">
        <f>'EF peternakan'!$C$23</f>
        <v>0.02</v>
      </c>
      <c r="AM20" s="205">
        <f t="shared" si="52"/>
        <v>7.4118379999999998E-2</v>
      </c>
      <c r="AN20" s="176">
        <f t="shared" si="53"/>
        <v>7.4118379999999998E-2</v>
      </c>
      <c r="AP20" s="46" t="s">
        <v>68</v>
      </c>
      <c r="AQ20" s="44">
        <f>H34</f>
        <v>1648162</v>
      </c>
      <c r="AR20" s="9"/>
      <c r="AS20" s="12"/>
      <c r="AT20" s="88">
        <f>'EF peternakan'!$C$23</f>
        <v>0.02</v>
      </c>
      <c r="AU20" s="205">
        <f t="shared" si="54"/>
        <v>3.2963239999999998E-2</v>
      </c>
      <c r="AV20" s="176">
        <f t="shared" si="55"/>
        <v>3.2963239999999998E-2</v>
      </c>
      <c r="AX20" s="46" t="s">
        <v>68</v>
      </c>
      <c r="AY20" s="44">
        <f>I34</f>
        <v>1748805</v>
      </c>
      <c r="AZ20" s="9"/>
      <c r="BA20" s="12"/>
      <c r="BB20" s="88">
        <f>'EF peternakan'!$C$23</f>
        <v>0.02</v>
      </c>
      <c r="BC20" s="205">
        <f t="shared" si="56"/>
        <v>3.4976099999999996E-2</v>
      </c>
      <c r="BD20" s="176">
        <f t="shared" si="57"/>
        <v>3.4976099999999996E-2</v>
      </c>
      <c r="BF20" s="46" t="s">
        <v>68</v>
      </c>
      <c r="BG20" s="44">
        <f>J34</f>
        <v>1859196</v>
      </c>
      <c r="BH20" s="9"/>
      <c r="BI20" s="12"/>
      <c r="BJ20" s="88">
        <f>'EF peternakan'!$C$23</f>
        <v>0.02</v>
      </c>
      <c r="BK20" s="205">
        <f t="shared" si="58"/>
        <v>3.7183919999999995E-2</v>
      </c>
      <c r="BL20" s="176">
        <f t="shared" si="59"/>
        <v>3.7183919999999995E-2</v>
      </c>
      <c r="BN20" s="46" t="s">
        <v>68</v>
      </c>
      <c r="BO20" s="44">
        <f>K34</f>
        <v>1938835</v>
      </c>
      <c r="BP20" s="9"/>
      <c r="BQ20" s="12"/>
      <c r="BR20" s="88">
        <f>'EF peternakan'!$C$23</f>
        <v>0.02</v>
      </c>
      <c r="BS20" s="205">
        <f t="shared" si="60"/>
        <v>3.8776700000000004E-2</v>
      </c>
      <c r="BT20" s="176">
        <f t="shared" si="61"/>
        <v>3.8776700000000004E-2</v>
      </c>
      <c r="BV20" s="46" t="s">
        <v>68</v>
      </c>
      <c r="BW20" s="44">
        <f>L34</f>
        <v>2013722</v>
      </c>
      <c r="BX20" s="9"/>
      <c r="BY20" s="12"/>
      <c r="BZ20" s="88">
        <f>'EF peternakan'!$C$23</f>
        <v>0.02</v>
      </c>
      <c r="CA20" s="205">
        <f t="shared" si="62"/>
        <v>4.0274440000000002E-2</v>
      </c>
      <c r="CB20" s="176">
        <f t="shared" si="63"/>
        <v>4.0274440000000002E-2</v>
      </c>
      <c r="CD20" s="46" t="s">
        <v>68</v>
      </c>
      <c r="CE20" s="44">
        <f>M34</f>
        <v>0</v>
      </c>
      <c r="CF20" s="9"/>
      <c r="CG20" s="12"/>
      <c r="CH20" s="88">
        <f>'EF peternakan'!$C$23</f>
        <v>0.02</v>
      </c>
      <c r="CI20" s="205">
        <f t="shared" si="64"/>
        <v>0</v>
      </c>
      <c r="CJ20" s="176">
        <f t="shared" si="65"/>
        <v>0</v>
      </c>
    </row>
    <row r="21" spans="2:88" x14ac:dyDescent="0.25">
      <c r="B21" s="46" t="s">
        <v>69</v>
      </c>
      <c r="C21" s="44">
        <f t="shared" si="66"/>
        <v>15000</v>
      </c>
      <c r="D21" s="9"/>
      <c r="E21" s="12"/>
      <c r="F21" s="88">
        <f>'EF peternakan'!$C$24</f>
        <v>0.02</v>
      </c>
      <c r="G21" s="205">
        <f t="shared" si="44"/>
        <v>2.9999999999999997E-4</v>
      </c>
      <c r="H21" s="176">
        <f t="shared" si="45"/>
        <v>2.9999999999999997E-4</v>
      </c>
      <c r="J21" s="46" t="s">
        <v>69</v>
      </c>
      <c r="K21" s="44">
        <f t="shared" si="67"/>
        <v>29293</v>
      </c>
      <c r="L21" s="9"/>
      <c r="M21" s="12"/>
      <c r="N21" s="88">
        <f>'EF peternakan'!$C$24</f>
        <v>0.02</v>
      </c>
      <c r="O21" s="205">
        <f t="shared" si="46"/>
        <v>5.8586E-4</v>
      </c>
      <c r="P21" s="176">
        <f t="shared" si="47"/>
        <v>5.8586E-4</v>
      </c>
      <c r="R21" s="46" t="s">
        <v>69</v>
      </c>
      <c r="S21" s="44">
        <f t="shared" si="68"/>
        <v>29293</v>
      </c>
      <c r="T21" s="9"/>
      <c r="U21" s="12"/>
      <c r="V21" s="88">
        <f>'EF peternakan'!$C$24</f>
        <v>0.02</v>
      </c>
      <c r="W21" s="205">
        <f t="shared" si="48"/>
        <v>5.8586E-4</v>
      </c>
      <c r="X21" s="176">
        <f t="shared" si="49"/>
        <v>5.8586E-4</v>
      </c>
      <c r="Z21" s="46" t="s">
        <v>69</v>
      </c>
      <c r="AA21" s="44">
        <f t="shared" si="69"/>
        <v>28166</v>
      </c>
      <c r="AB21" s="9"/>
      <c r="AC21" s="12"/>
      <c r="AD21" s="88">
        <f>'EF peternakan'!$C$24</f>
        <v>0.02</v>
      </c>
      <c r="AE21" s="205">
        <f t="shared" si="50"/>
        <v>5.6332000000000008E-4</v>
      </c>
      <c r="AF21" s="176">
        <f t="shared" si="51"/>
        <v>5.6332000000000008E-4</v>
      </c>
      <c r="AH21" s="46" t="s">
        <v>69</v>
      </c>
      <c r="AI21" s="44">
        <f>G35</f>
        <v>40570</v>
      </c>
      <c r="AJ21" s="9"/>
      <c r="AK21" s="12"/>
      <c r="AL21" s="88">
        <f>'EF peternakan'!$C$24</f>
        <v>0.02</v>
      </c>
      <c r="AM21" s="205">
        <f t="shared" si="52"/>
        <v>8.1139999999999999E-4</v>
      </c>
      <c r="AN21" s="176">
        <f t="shared" si="53"/>
        <v>8.1139999999999999E-4</v>
      </c>
      <c r="AP21" s="46" t="s">
        <v>69</v>
      </c>
      <c r="AQ21" s="44">
        <f>H35</f>
        <v>0</v>
      </c>
      <c r="AR21" s="9"/>
      <c r="AS21" s="12"/>
      <c r="AT21" s="88">
        <f>'EF peternakan'!$C$24</f>
        <v>0.02</v>
      </c>
      <c r="AU21" s="205">
        <f t="shared" si="54"/>
        <v>0</v>
      </c>
      <c r="AV21" s="176">
        <f t="shared" si="55"/>
        <v>0</v>
      </c>
      <c r="AX21" s="46" t="s">
        <v>69</v>
      </c>
      <c r="AY21" s="44">
        <f>I35</f>
        <v>0</v>
      </c>
      <c r="AZ21" s="9"/>
      <c r="BA21" s="12"/>
      <c r="BB21" s="88">
        <f>'EF peternakan'!$C$24</f>
        <v>0.02</v>
      </c>
      <c r="BC21" s="205">
        <f t="shared" si="56"/>
        <v>0</v>
      </c>
      <c r="BD21" s="176">
        <f t="shared" si="57"/>
        <v>0</v>
      </c>
      <c r="BF21" s="46" t="s">
        <v>69</v>
      </c>
      <c r="BG21" s="44">
        <f>J35</f>
        <v>0</v>
      </c>
      <c r="BH21" s="9"/>
      <c r="BI21" s="12"/>
      <c r="BJ21" s="88">
        <f>'EF peternakan'!$C$24</f>
        <v>0.02</v>
      </c>
      <c r="BK21" s="205">
        <f t="shared" si="58"/>
        <v>0</v>
      </c>
      <c r="BL21" s="176">
        <f t="shared" si="59"/>
        <v>0</v>
      </c>
      <c r="BN21" s="46" t="s">
        <v>69</v>
      </c>
      <c r="BO21" s="44">
        <f>K35</f>
        <v>0</v>
      </c>
      <c r="BP21" s="9"/>
      <c r="BQ21" s="12"/>
      <c r="BR21" s="88">
        <f>'EF peternakan'!$C$24</f>
        <v>0.02</v>
      </c>
      <c r="BS21" s="205">
        <f t="shared" si="60"/>
        <v>0</v>
      </c>
      <c r="BT21" s="176">
        <f t="shared" si="61"/>
        <v>0</v>
      </c>
      <c r="BV21" s="46" t="s">
        <v>69</v>
      </c>
      <c r="BW21" s="44">
        <f>L35</f>
        <v>0</v>
      </c>
      <c r="BX21" s="9"/>
      <c r="BY21" s="12"/>
      <c r="BZ21" s="88">
        <f>'EF peternakan'!$C$24</f>
        <v>0.02</v>
      </c>
      <c r="CA21" s="205">
        <f t="shared" si="62"/>
        <v>0</v>
      </c>
      <c r="CB21" s="176">
        <f t="shared" si="63"/>
        <v>0</v>
      </c>
      <c r="CD21" s="46" t="s">
        <v>69</v>
      </c>
      <c r="CE21" s="44">
        <f>M35</f>
        <v>0</v>
      </c>
      <c r="CF21" s="9"/>
      <c r="CG21" s="12"/>
      <c r="CH21" s="88">
        <f>'EF peternakan'!$C$24</f>
        <v>0.02</v>
      </c>
      <c r="CI21" s="205">
        <f t="shared" si="64"/>
        <v>0</v>
      </c>
      <c r="CJ21" s="176">
        <f t="shared" si="65"/>
        <v>0</v>
      </c>
    </row>
    <row r="22" spans="2:88" x14ac:dyDescent="0.25">
      <c r="B22" s="270" t="s">
        <v>462</v>
      </c>
      <c r="C22" s="44">
        <f>C36</f>
        <v>11213</v>
      </c>
      <c r="D22" s="9"/>
      <c r="E22" s="12"/>
      <c r="F22" s="88">
        <f>'EF peternakan'!$C$25</f>
        <v>0.02</v>
      </c>
      <c r="G22" s="205">
        <f t="shared" si="44"/>
        <v>2.2425999999999997E-4</v>
      </c>
      <c r="H22" s="176">
        <f t="shared" si="45"/>
        <v>2.2425999999999997E-4</v>
      </c>
      <c r="J22" s="270" t="s">
        <v>462</v>
      </c>
      <c r="K22" s="44">
        <f>D36</f>
        <v>16588</v>
      </c>
      <c r="L22" s="9"/>
      <c r="M22" s="12"/>
      <c r="N22" s="88">
        <f>'EF peternakan'!$C$25</f>
        <v>0.02</v>
      </c>
      <c r="O22" s="205">
        <f t="shared" si="46"/>
        <v>3.3175999999999995E-4</v>
      </c>
      <c r="P22" s="176">
        <f t="shared" si="47"/>
        <v>3.3175999999999995E-4</v>
      </c>
      <c r="R22" s="270" t="s">
        <v>462</v>
      </c>
      <c r="S22" s="44">
        <f>E36</f>
        <v>17199</v>
      </c>
      <c r="T22" s="9"/>
      <c r="U22" s="12"/>
      <c r="V22" s="88">
        <f>'EF peternakan'!$C$25</f>
        <v>0.02</v>
      </c>
      <c r="W22" s="205">
        <f t="shared" si="48"/>
        <v>3.4398000000000002E-4</v>
      </c>
      <c r="X22" s="176">
        <f t="shared" si="49"/>
        <v>3.4398000000000002E-4</v>
      </c>
      <c r="Z22" s="270" t="s">
        <v>462</v>
      </c>
      <c r="AA22" s="44">
        <f>F36</f>
        <v>29446</v>
      </c>
      <c r="AB22" s="9"/>
      <c r="AC22" s="12"/>
      <c r="AD22" s="88">
        <f>'EF peternakan'!$C$25</f>
        <v>0.02</v>
      </c>
      <c r="AE22" s="205">
        <f t="shared" si="50"/>
        <v>5.8891999999999994E-4</v>
      </c>
      <c r="AF22" s="176">
        <f t="shared" si="51"/>
        <v>5.8891999999999994E-4</v>
      </c>
      <c r="AH22" s="270" t="s">
        <v>462</v>
      </c>
      <c r="AI22" s="44">
        <f>G36</f>
        <v>21273</v>
      </c>
      <c r="AJ22" s="9"/>
      <c r="AK22" s="12"/>
      <c r="AL22" s="88">
        <f>'EF peternakan'!$C$25</f>
        <v>0.02</v>
      </c>
      <c r="AM22" s="205">
        <f t="shared" si="52"/>
        <v>4.2546000000000001E-4</v>
      </c>
      <c r="AN22" s="176">
        <f t="shared" si="53"/>
        <v>4.2546000000000001E-4</v>
      </c>
      <c r="AP22" s="270" t="s">
        <v>462</v>
      </c>
      <c r="AQ22" s="44">
        <f>H36</f>
        <v>5343</v>
      </c>
      <c r="AR22" s="9"/>
      <c r="AS22" s="12"/>
      <c r="AT22" s="88">
        <f>'EF peternakan'!$C$25</f>
        <v>0.02</v>
      </c>
      <c r="AU22" s="205">
        <f t="shared" ref="AU22" si="70">AQ22*AT22*10^-6</f>
        <v>1.0685999999999999E-4</v>
      </c>
      <c r="AV22" s="176">
        <f t="shared" ref="AV22" si="71">AS22+AU22</f>
        <v>1.0685999999999999E-4</v>
      </c>
      <c r="AX22" s="270" t="s">
        <v>462</v>
      </c>
      <c r="AY22" s="44">
        <f>I36</f>
        <v>5450</v>
      </c>
      <c r="AZ22" s="9"/>
      <c r="BA22" s="12"/>
      <c r="BB22" s="88">
        <f>'EF peternakan'!$C$25</f>
        <v>0.02</v>
      </c>
      <c r="BC22" s="205">
        <f t="shared" si="56"/>
        <v>1.0899999999999999E-4</v>
      </c>
      <c r="BD22" s="176">
        <f t="shared" si="57"/>
        <v>1.0899999999999999E-4</v>
      </c>
      <c r="BF22" s="270" t="s">
        <v>462</v>
      </c>
      <c r="BG22" s="44">
        <f>J36</f>
        <v>5559</v>
      </c>
      <c r="BH22" s="9"/>
      <c r="BI22" s="12"/>
      <c r="BJ22" s="88">
        <f>'EF peternakan'!$C$25</f>
        <v>0.02</v>
      </c>
      <c r="BK22" s="205">
        <f t="shared" si="58"/>
        <v>1.1118E-4</v>
      </c>
      <c r="BL22" s="176">
        <f t="shared" si="59"/>
        <v>1.1118E-4</v>
      </c>
      <c r="BN22" s="270" t="s">
        <v>462</v>
      </c>
      <c r="BO22" s="44">
        <f>K36</f>
        <v>5670</v>
      </c>
      <c r="BP22" s="9"/>
      <c r="BQ22" s="12"/>
      <c r="BR22" s="88">
        <f>'EF peternakan'!$C$25</f>
        <v>0.02</v>
      </c>
      <c r="BS22" s="205">
        <f t="shared" si="60"/>
        <v>1.1340000000000001E-4</v>
      </c>
      <c r="BT22" s="176">
        <f t="shared" si="61"/>
        <v>1.1340000000000001E-4</v>
      </c>
      <c r="BV22" s="270" t="s">
        <v>462</v>
      </c>
      <c r="BW22" s="44">
        <f>L36</f>
        <v>5783</v>
      </c>
      <c r="BX22" s="9"/>
      <c r="BY22" s="12"/>
      <c r="BZ22" s="88">
        <f>'EF peternakan'!$C$25</f>
        <v>0.02</v>
      </c>
      <c r="CA22" s="205">
        <f t="shared" si="62"/>
        <v>1.1565999999999999E-4</v>
      </c>
      <c r="CB22" s="176">
        <f t="shared" si="63"/>
        <v>1.1565999999999999E-4</v>
      </c>
      <c r="CD22" s="270" t="s">
        <v>462</v>
      </c>
      <c r="CE22" s="44">
        <f>M36</f>
        <v>0</v>
      </c>
      <c r="CF22" s="9"/>
      <c r="CG22" s="12"/>
      <c r="CH22" s="88">
        <f>'EF peternakan'!$C$25</f>
        <v>0.02</v>
      </c>
      <c r="CI22" s="205">
        <f t="shared" si="64"/>
        <v>0</v>
      </c>
      <c r="CJ22" s="176">
        <f t="shared" si="65"/>
        <v>0</v>
      </c>
    </row>
    <row r="23" spans="2:88" ht="15.75" thickBot="1" x14ac:dyDescent="0.3">
      <c r="B23" s="47" t="s">
        <v>76</v>
      </c>
      <c r="C23" s="45">
        <f>SUM(C12:C22)</f>
        <v>2434104</v>
      </c>
      <c r="D23" s="50"/>
      <c r="E23" s="52">
        <f>SUM(E12:E21)</f>
        <v>0.79030899999999993</v>
      </c>
      <c r="F23" s="51"/>
      <c r="G23" s="206">
        <f>SUM(G12:G22)</f>
        <v>0.10699619999999999</v>
      </c>
      <c r="H23" s="212">
        <f>SUM(H12:H22)</f>
        <v>0.89730519999999991</v>
      </c>
      <c r="J23" s="47" t="s">
        <v>76</v>
      </c>
      <c r="K23" s="45">
        <f>SUM(K12:K22)</f>
        <v>2605740</v>
      </c>
      <c r="L23" s="50"/>
      <c r="M23" s="52">
        <f>SUM(M12:M22)</f>
        <v>0.83294299999999999</v>
      </c>
      <c r="N23" s="51"/>
      <c r="O23" s="206">
        <f>SUM(O12:O22)</f>
        <v>0.1172241</v>
      </c>
      <c r="P23" s="212">
        <f>SUM(P12:P22)</f>
        <v>0.95016709999999993</v>
      </c>
      <c r="R23" s="47" t="s">
        <v>76</v>
      </c>
      <c r="S23" s="45">
        <f>SUM(S12:S22)</f>
        <v>2530219</v>
      </c>
      <c r="T23" s="50"/>
      <c r="U23" s="52">
        <f>SUM(U12:U22)</f>
        <v>0.89382600000000001</v>
      </c>
      <c r="V23" s="51"/>
      <c r="W23" s="206">
        <f>SUM(W12:W22)</f>
        <v>0.11260805999999998</v>
      </c>
      <c r="X23" s="212">
        <f>SUM(X12:X22)</f>
        <v>1.0064340599999999</v>
      </c>
      <c r="Z23" s="47" t="s">
        <v>76</v>
      </c>
      <c r="AA23" s="45">
        <f>SUM(AA12:AA22)</f>
        <v>2917691</v>
      </c>
      <c r="AB23" s="50"/>
      <c r="AC23" s="52">
        <f>SUM(AC12:AC22)</f>
        <v>0.91176599999999985</v>
      </c>
      <c r="AD23" s="51"/>
      <c r="AE23" s="206">
        <f>SUM(AE12:AE22)</f>
        <v>0.12579702000000001</v>
      </c>
      <c r="AF23" s="212">
        <f>SUM(AF12:AF22)</f>
        <v>1.0375630200000001</v>
      </c>
      <c r="AH23" s="47" t="s">
        <v>76</v>
      </c>
      <c r="AI23" s="45">
        <f>SUM(AI12:AI22)</f>
        <v>4271376</v>
      </c>
      <c r="AJ23" s="50"/>
      <c r="AK23" s="52">
        <f>SUM(AK12:AK22)</f>
        <v>0.95087700000000008</v>
      </c>
      <c r="AL23" s="51"/>
      <c r="AM23" s="206">
        <f>SUM(AM12:AM22)</f>
        <v>0.16719047999999997</v>
      </c>
      <c r="AN23" s="212">
        <f>SUM(AN12:AN22)</f>
        <v>1.1180674799999997</v>
      </c>
      <c r="AP23" s="47" t="s">
        <v>76</v>
      </c>
      <c r="AQ23" s="45">
        <f>SUM(AQ12:AQ22)</f>
        <v>2163863</v>
      </c>
      <c r="AR23" s="50"/>
      <c r="AS23" s="52">
        <f>SUM(AS12:AS22)</f>
        <v>1.008969</v>
      </c>
      <c r="AT23" s="51"/>
      <c r="AU23" s="206">
        <f>SUM(AU12:AU22)</f>
        <v>0.12983599999999998</v>
      </c>
      <c r="AV23" s="212">
        <f>SUM(AV12:AV22)</f>
        <v>1.1388050000000001</v>
      </c>
      <c r="AX23" s="47" t="s">
        <v>76</v>
      </c>
      <c r="AY23" s="45">
        <f>SUM(AY12:AY22)</f>
        <v>2266396.8149754046</v>
      </c>
      <c r="AZ23" s="50"/>
      <c r="BA23" s="52">
        <f>SUM(BA12:BA22)</f>
        <v>1.043880303844023</v>
      </c>
      <c r="BB23" s="51"/>
      <c r="BC23" s="206">
        <f>SUM(BC12:BC22)</f>
        <v>0.13416644497540473</v>
      </c>
      <c r="BD23" s="212">
        <f>SUM(BD12:BD22)</f>
        <v>1.1780467488194273</v>
      </c>
      <c r="BF23" s="47" t="s">
        <v>76</v>
      </c>
      <c r="BG23" s="45">
        <f>SUM(BG12:BG22)</f>
        <v>2379310.8169864626</v>
      </c>
      <c r="BH23" s="50"/>
      <c r="BI23" s="52">
        <f>SUM(BI12:BI22)</f>
        <v>1.0914423983637327</v>
      </c>
      <c r="BJ23" s="51"/>
      <c r="BK23" s="206">
        <f>SUM(BK12:BK22)</f>
        <v>0.14114206698646237</v>
      </c>
      <c r="BL23" s="212">
        <f>SUM(BL12:BL22)</f>
        <v>1.2325844653501952</v>
      </c>
      <c r="BN23" s="47" t="s">
        <v>76</v>
      </c>
      <c r="BO23" s="45">
        <f>SUM(BO12:BO22)</f>
        <v>2461089.2824524031</v>
      </c>
      <c r="BP23" s="50"/>
      <c r="BQ23" s="52">
        <f>SUM(BQ12:BQ22)</f>
        <v>1.1439842752629537</v>
      </c>
      <c r="BR23" s="51"/>
      <c r="BS23" s="206">
        <f>SUM(BS12:BS22)</f>
        <v>0.1484965324524033</v>
      </c>
      <c r="BT23" s="212">
        <f>SUM(BT12:BT22)</f>
        <v>1.2924808077153571</v>
      </c>
      <c r="BV23" s="47" t="s">
        <v>76</v>
      </c>
      <c r="BW23" s="45">
        <f>SUM(BW12:BW22)</f>
        <v>2538814.7479183441</v>
      </c>
      <c r="BX23" s="50"/>
      <c r="BY23" s="52">
        <f>SUM(BY12:BY22)</f>
        <v>1.1964851521621724</v>
      </c>
      <c r="BZ23" s="51"/>
      <c r="CA23" s="206">
        <f>SUM(CA12:CA22)</f>
        <v>0.15499582791834407</v>
      </c>
      <c r="CB23" s="212">
        <f>SUM(CB12:CB22)</f>
        <v>1.3514809800805163</v>
      </c>
      <c r="CD23" s="47" t="s">
        <v>76</v>
      </c>
      <c r="CE23" s="45">
        <f>SUM(CE12:CE22)</f>
        <v>0</v>
      </c>
      <c r="CF23" s="50"/>
      <c r="CG23" s="52">
        <f>SUM(CG12:CG22)</f>
        <v>0</v>
      </c>
      <c r="CH23" s="51"/>
      <c r="CI23" s="206">
        <f>SUM(CI12:CI22)</f>
        <v>0</v>
      </c>
      <c r="CJ23" s="212">
        <f>SUM(CJ12:CJ22)</f>
        <v>0</v>
      </c>
    </row>
    <row r="25" spans="2:88" x14ac:dyDescent="0.25">
      <c r="B25" s="228"/>
      <c r="C25" s="429" t="s">
        <v>519</v>
      </c>
      <c r="D25" s="430"/>
      <c r="E25" s="430"/>
      <c r="F25" s="430"/>
      <c r="G25" s="430"/>
      <c r="H25" s="430"/>
      <c r="I25" s="430"/>
      <c r="J25" s="430"/>
      <c r="K25" s="430"/>
      <c r="L25" s="430"/>
      <c r="M25" s="431"/>
    </row>
    <row r="26" spans="2:88" x14ac:dyDescent="0.25">
      <c r="B26" s="229" t="s">
        <v>12</v>
      </c>
      <c r="C26" s="262">
        <v>2011</v>
      </c>
      <c r="D26" s="263">
        <v>2012</v>
      </c>
      <c r="E26" s="262">
        <v>2013</v>
      </c>
      <c r="F26" s="263">
        <v>2014</v>
      </c>
      <c r="G26" s="263">
        <v>2015</v>
      </c>
      <c r="H26" s="262">
        <v>2016</v>
      </c>
      <c r="I26" s="263">
        <v>2017</v>
      </c>
      <c r="J26" s="263">
        <v>2018</v>
      </c>
      <c r="K26" s="262">
        <v>2019</v>
      </c>
      <c r="L26" s="263">
        <v>2020</v>
      </c>
      <c r="M26" s="263">
        <v>2021</v>
      </c>
    </row>
    <row r="27" spans="2:88" x14ac:dyDescent="0.25">
      <c r="B27" s="56" t="s">
        <v>64</v>
      </c>
      <c r="C27" s="423">
        <f>'[1]Kutai Timur'!$O$16</f>
        <v>5</v>
      </c>
      <c r="D27" s="423">
        <f>'[1]Kutai Timur'!$O$17</f>
        <v>12</v>
      </c>
      <c r="E27" s="423">
        <f>'[1]Kutai Timur'!$O$18</f>
        <v>24</v>
      </c>
      <c r="F27" s="423">
        <f>'[1]Kutai Timur'!$O$19</f>
        <v>51</v>
      </c>
      <c r="G27" s="423">
        <f>'[1]Kutai Timur'!$O$20</f>
        <v>48</v>
      </c>
      <c r="H27" s="423">
        <f>'[1]Kutai Timur'!$O$21</f>
        <v>62</v>
      </c>
      <c r="I27" s="423">
        <f>'[1]Kutai Timur'!$O$22</f>
        <v>72</v>
      </c>
      <c r="J27" s="423">
        <f>'[1]Kutai Timur'!$O$23</f>
        <v>82</v>
      </c>
      <c r="K27" s="423">
        <f>'[1]Kutai Timur'!$O$24</f>
        <v>92</v>
      </c>
      <c r="L27" s="423">
        <f>'[1]Kutai Timur'!$O$25</f>
        <v>110</v>
      </c>
      <c r="M27" s="231"/>
    </row>
    <row r="28" spans="2:88" x14ac:dyDescent="0.25">
      <c r="B28" s="56" t="s">
        <v>71</v>
      </c>
      <c r="C28" s="423">
        <f>'[1]Kutai Timur'!$N$16</f>
        <v>15022</v>
      </c>
      <c r="D28" s="423">
        <f>'[1]Kutai Timur'!$N$17</f>
        <v>15983</v>
      </c>
      <c r="E28" s="423">
        <f>'[1]Kutai Timur'!$N$18</f>
        <v>17177</v>
      </c>
      <c r="F28" s="423">
        <f>'[1]Kutai Timur'!$N$19</f>
        <v>17406</v>
      </c>
      <c r="G28" s="423">
        <f>'[1]Kutai Timur'!$N$20</f>
        <v>17977</v>
      </c>
      <c r="H28" s="423">
        <f>'[1]Kutai Timur'!$N$21</f>
        <v>19118</v>
      </c>
      <c r="I28" s="423">
        <f>'[1]Kutai Timur'!$N$22</f>
        <v>19665.814975404744</v>
      </c>
      <c r="J28" s="423">
        <f>'[1]Kutai Timur'!$N$23</f>
        <v>20568.816986462403</v>
      </c>
      <c r="K28" s="423">
        <f>'[1]Kutai Timur'!$N$24</f>
        <v>21513.282452403269</v>
      </c>
      <c r="L28" s="423">
        <f>'[1]Kutai Timur'!$N$25</f>
        <v>22457.747918344099</v>
      </c>
      <c r="M28" s="231"/>
      <c r="N28" s="231"/>
    </row>
    <row r="29" spans="2:88" x14ac:dyDescent="0.25">
      <c r="B29" s="56" t="s">
        <v>22</v>
      </c>
      <c r="C29" s="423">
        <f>'[1]Kutai Timur'!$P$16</f>
        <v>787</v>
      </c>
      <c r="D29" s="423">
        <f>'[1]Kutai Timur'!$P$17</f>
        <v>779</v>
      </c>
      <c r="E29" s="423">
        <f>'[1]Kutai Timur'!$P$18</f>
        <v>682</v>
      </c>
      <c r="F29" s="423">
        <f>'[1]Kutai Timur'!$P$19</f>
        <v>617</v>
      </c>
      <c r="G29" s="423">
        <f>'[1]Kutai Timur'!$P$20</f>
        <v>715</v>
      </c>
      <c r="H29" s="423">
        <f>'[1]Kutai Timur'!$P$21</f>
        <v>777</v>
      </c>
      <c r="I29" s="423">
        <f>'[1]Kutai Timur'!$P$22</f>
        <v>870</v>
      </c>
      <c r="J29" s="423">
        <f>'[1]Kutai Timur'!$P$23</f>
        <v>899</v>
      </c>
      <c r="K29" s="423">
        <f>'[1]Kutai Timur'!$P$24</f>
        <v>1016</v>
      </c>
      <c r="L29" s="423">
        <f>'[1]Kutai Timur'!$P$25</f>
        <v>1117</v>
      </c>
      <c r="M29" s="231"/>
    </row>
    <row r="30" spans="2:88" x14ac:dyDescent="0.25">
      <c r="B30" s="56" t="s">
        <v>65</v>
      </c>
      <c r="C30" s="423">
        <f>'[1]Kutai Timur'!$R$16</f>
        <v>0</v>
      </c>
      <c r="D30" s="423">
        <f>'[1]Kutai Timur'!$R$17</f>
        <v>0</v>
      </c>
      <c r="E30" s="423">
        <f>'[1]Kutai Timur'!$R$18</f>
        <v>0</v>
      </c>
      <c r="F30" s="423">
        <f>'[1]Kutai Timur'!$R$19</f>
        <v>33</v>
      </c>
      <c r="G30" s="423">
        <f>'[1]Kutai Timur'!$R$20</f>
        <v>37</v>
      </c>
      <c r="H30" s="423">
        <f>'[1]Kutai Timur'!$R$21</f>
        <v>0</v>
      </c>
      <c r="I30" s="423">
        <f>'[1]Kutai Timur'!$R$22</f>
        <v>0</v>
      </c>
      <c r="J30" s="423">
        <f>'[1]Kutai Timur'!$R$23</f>
        <v>0</v>
      </c>
      <c r="K30" s="423">
        <f>'[1]Kutai Timur'!$R$24</f>
        <v>0</v>
      </c>
      <c r="L30" s="423">
        <f>'[1]Kutai Timur'!$R$25</f>
        <v>0</v>
      </c>
      <c r="M30" s="227"/>
    </row>
    <row r="31" spans="2:88" x14ac:dyDescent="0.25">
      <c r="B31" s="56" t="s">
        <v>23</v>
      </c>
      <c r="C31" s="423">
        <f>'[1]Kutai Timur'!$Q$16</f>
        <v>6977</v>
      </c>
      <c r="D31" s="423">
        <f>'[1]Kutai Timur'!$Q$17</f>
        <v>7633</v>
      </c>
      <c r="E31" s="423">
        <f>'[1]Kutai Timur'!$Q$18</f>
        <v>8320</v>
      </c>
      <c r="F31" s="423">
        <f>'[1]Kutai Timur'!$Q$19</f>
        <v>9953</v>
      </c>
      <c r="G31" s="423">
        <f>'[1]Kutai Timur'!$Q$20</f>
        <v>10799</v>
      </c>
      <c r="H31" s="423">
        <f>'[1]Kutai Timur'!$Q$21</f>
        <v>11000</v>
      </c>
      <c r="I31" s="423">
        <f>'[1]Kutai Timur'!$Q$22</f>
        <v>11639</v>
      </c>
      <c r="J31" s="423">
        <f>'[1]Kutai Timur'!$Q$23</f>
        <v>12125</v>
      </c>
      <c r="K31" s="423">
        <f>'[1]Kutai Timur'!$Q$24</f>
        <v>12225</v>
      </c>
      <c r="L31" s="423">
        <f>'[1]Kutai Timur'!$Q$25</f>
        <v>12424</v>
      </c>
      <c r="M31" s="231"/>
    </row>
    <row r="32" spans="2:88" x14ac:dyDescent="0.25">
      <c r="B32" s="56" t="s">
        <v>24</v>
      </c>
      <c r="C32" s="423">
        <f>'[1]Kutai Timur'!$T$16</f>
        <v>0</v>
      </c>
      <c r="D32" s="423">
        <f>'[1]Kutai Timur'!$T$17</f>
        <v>0</v>
      </c>
      <c r="E32" s="423">
        <f>'[1]Kutai Timur'!$T$18</f>
        <v>0</v>
      </c>
      <c r="F32" s="423">
        <f>'[1]Kutai Timur'!$T$19</f>
        <v>10</v>
      </c>
      <c r="G32" s="423">
        <f>'[1]Kutai Timur'!$T$20</f>
        <v>60</v>
      </c>
      <c r="H32" s="423">
        <f>'[1]Kutai Timur'!$T$21</f>
        <v>0</v>
      </c>
      <c r="I32" s="423">
        <f>'[1]Kutai Timur'!$T$22</f>
        <v>0</v>
      </c>
      <c r="J32" s="423">
        <f>'[1]Kutai Timur'!$T$23</f>
        <v>0</v>
      </c>
      <c r="K32" s="423">
        <f>'[1]Kutai Timur'!$T$24</f>
        <v>0</v>
      </c>
      <c r="L32" s="423">
        <f>'[1]Kutai Timur'!$T$25</f>
        <v>0</v>
      </c>
      <c r="M32" s="231"/>
    </row>
    <row r="33" spans="2:13" x14ac:dyDescent="0.25">
      <c r="B33" s="56" t="s">
        <v>72</v>
      </c>
      <c r="C33" s="423">
        <f>'[1]Kutai Timur'!$U$16</f>
        <v>557800</v>
      </c>
      <c r="D33" s="423">
        <f>'[1]Kutai Timur'!$U$17</f>
        <v>625168</v>
      </c>
      <c r="E33" s="423">
        <f>'[1]Kutai Timur'!$U$18</f>
        <v>626591</v>
      </c>
      <c r="F33" s="423">
        <f>'[1]Kutai Timur'!$U$19</f>
        <v>633398</v>
      </c>
      <c r="G33" s="423">
        <f>'[1]Kutai Timur'!$U$20</f>
        <v>465533</v>
      </c>
      <c r="H33" s="423">
        <f>'[1]Kutai Timur'!$U$21</f>
        <v>470495</v>
      </c>
      <c r="I33" s="423">
        <f>'[1]Kutai Timur'!$U$22</f>
        <v>470745</v>
      </c>
      <c r="J33" s="423">
        <f>'[1]Kutai Timur'!$U$23</f>
        <v>471245</v>
      </c>
      <c r="K33" s="423">
        <f>'[1]Kutai Timur'!$U$24</f>
        <v>471495</v>
      </c>
      <c r="L33" s="423">
        <f>'[1]Kutai Timur'!$U$25</f>
        <v>472495</v>
      </c>
      <c r="M33" s="231"/>
    </row>
    <row r="34" spans="2:13" x14ac:dyDescent="0.25">
      <c r="B34" s="56" t="s">
        <v>73</v>
      </c>
      <c r="C34" s="423">
        <f>'[1]Kutai Timur'!$V$16</f>
        <v>1821500</v>
      </c>
      <c r="D34" s="423">
        <f>'[1]Kutai Timur'!$V$17</f>
        <v>1903693</v>
      </c>
      <c r="E34" s="423">
        <f>'[1]Kutai Timur'!$V$18</f>
        <v>1825000</v>
      </c>
      <c r="F34" s="423">
        <f>'[1]Kutai Timur'!$V$19</f>
        <v>2192083</v>
      </c>
      <c r="G34" s="423">
        <f>'[1]Kutai Timur'!$V$20</f>
        <v>3705919</v>
      </c>
      <c r="H34" s="423">
        <f>'[1]Kutai Timur'!$V$21</f>
        <v>1648162</v>
      </c>
      <c r="I34" s="423">
        <f>'[1]Kutai Timur'!$V$22</f>
        <v>1748805</v>
      </c>
      <c r="J34" s="423">
        <f>'[1]Kutai Timur'!$V$23</f>
        <v>1859196</v>
      </c>
      <c r="K34" s="423">
        <f>'[1]Kutai Timur'!$V$24</f>
        <v>1938835</v>
      </c>
      <c r="L34" s="423">
        <f>'[1]Kutai Timur'!$V$25</f>
        <v>2013722</v>
      </c>
      <c r="M34" s="231"/>
    </row>
    <row r="35" spans="2:13" x14ac:dyDescent="0.25">
      <c r="B35" s="56" t="s">
        <v>74</v>
      </c>
      <c r="C35" s="423">
        <f>'[1]Kutai Timur'!$W$16</f>
        <v>15000</v>
      </c>
      <c r="D35" s="423">
        <f>'[1]Kutai Timur'!$W$17</f>
        <v>29293</v>
      </c>
      <c r="E35" s="423">
        <f>'[1]Kutai Timur'!$W$18</f>
        <v>29293</v>
      </c>
      <c r="F35" s="423">
        <f>'[1]Kutai Timur'!$W$19</f>
        <v>28166</v>
      </c>
      <c r="G35" s="423">
        <f>'[1]Kutai Timur'!$W$20</f>
        <v>40570</v>
      </c>
      <c r="H35" s="423">
        <f>'[1]Kutai Timur'!$W$21</f>
        <v>0</v>
      </c>
      <c r="I35" s="423">
        <f>'[1]Kutai Timur'!$W$22</f>
        <v>0</v>
      </c>
      <c r="J35" s="423">
        <f>'[1]Kutai Timur'!$W$23</f>
        <v>0</v>
      </c>
      <c r="K35" s="423">
        <f>'[1]Kutai Timur'!$W$24</f>
        <v>0</v>
      </c>
      <c r="L35" s="423">
        <f>'[1]Kutai Timur'!$W$25</f>
        <v>0</v>
      </c>
      <c r="M35" s="227"/>
    </row>
    <row r="36" spans="2:13" x14ac:dyDescent="0.25">
      <c r="B36" s="56" t="s">
        <v>75</v>
      </c>
      <c r="C36" s="423">
        <f>'[1]Kutai Timur'!$X$16</f>
        <v>11213</v>
      </c>
      <c r="D36" s="423">
        <f>'[1]Kutai Timur'!$X$17</f>
        <v>16588</v>
      </c>
      <c r="E36" s="423">
        <f>'[1]Kutai Timur'!$X$18</f>
        <v>17199</v>
      </c>
      <c r="F36" s="423">
        <f>'[1]Kutai Timur'!$X$19</f>
        <v>29446</v>
      </c>
      <c r="G36" s="423">
        <f>'[1]Kutai Timur'!$X$20</f>
        <v>21273</v>
      </c>
      <c r="H36" s="423">
        <f>'[1]Kutai Timur'!$X$21</f>
        <v>5343</v>
      </c>
      <c r="I36" s="423">
        <f>'[1]Kutai Timur'!$X$22</f>
        <v>5450</v>
      </c>
      <c r="J36" s="423">
        <f>'[1]Kutai Timur'!$X$23</f>
        <v>5559</v>
      </c>
      <c r="K36" s="423">
        <f>'[1]Kutai Timur'!$X$24</f>
        <v>5670</v>
      </c>
      <c r="L36" s="423">
        <f>'[1]Kutai Timur'!$X$25</f>
        <v>5783</v>
      </c>
      <c r="M36" s="227"/>
    </row>
    <row r="37" spans="2:13" x14ac:dyDescent="0.25">
      <c r="B37" s="272" t="s">
        <v>66</v>
      </c>
      <c r="C37" s="424">
        <f>'[1]Kutai Timur'!$S$16</f>
        <v>5800</v>
      </c>
      <c r="D37" s="424">
        <f>'[1]Kutai Timur'!$S$17</f>
        <v>6591</v>
      </c>
      <c r="E37" s="424">
        <f>'[1]Kutai Timur'!$S$18</f>
        <v>5933</v>
      </c>
      <c r="F37" s="424">
        <f>'[1]Kutai Timur'!$S$19</f>
        <v>6528</v>
      </c>
      <c r="G37" s="424">
        <f>'[1]Kutai Timur'!$S$20</f>
        <v>8445</v>
      </c>
      <c r="H37" s="424">
        <f>'[1]Kutai Timur'!$S$21</f>
        <v>8906</v>
      </c>
      <c r="I37" s="424">
        <f>'[1]Kutai Timur'!$S$22</f>
        <v>9150</v>
      </c>
      <c r="J37" s="424">
        <f>'[1]Kutai Timur'!$S$23</f>
        <v>9636</v>
      </c>
      <c r="K37" s="424">
        <f>'[1]Kutai Timur'!$S$24</f>
        <v>10243</v>
      </c>
      <c r="L37" s="424">
        <f>'[1]Kutai Timur'!$S$25</f>
        <v>10706</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70" zoomScaleNormal="70" workbookViewId="0">
      <pane xSplit="2" ySplit="1" topLeftCell="EX5" activePane="bottomRight" state="frozen"/>
      <selection pane="topRight" activeCell="C1" sqref="C1"/>
      <selection pane="bottomLeft" activeCell="A2" sqref="A2"/>
      <selection pane="bottomRight" activeCell="FJ16" sqref="FJ16"/>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2" t="s">
        <v>396</v>
      </c>
      <c r="C1" s="232">
        <v>2011</v>
      </c>
      <c r="AB1" s="232" t="s">
        <v>396</v>
      </c>
      <c r="AC1" s="232">
        <v>2012</v>
      </c>
      <c r="BB1" s="232" t="s">
        <v>396</v>
      </c>
      <c r="BC1" s="232">
        <v>2013</v>
      </c>
      <c r="CB1" s="232" t="s">
        <v>396</v>
      </c>
      <c r="CC1" s="232">
        <v>2014</v>
      </c>
      <c r="DB1" s="232" t="s">
        <v>396</v>
      </c>
      <c r="DC1" s="232">
        <v>2015</v>
      </c>
      <c r="EB1" s="232" t="s">
        <v>396</v>
      </c>
      <c r="EC1" s="232">
        <v>2016</v>
      </c>
      <c r="FB1" s="232" t="s">
        <v>396</v>
      </c>
      <c r="FC1" s="232">
        <v>2017</v>
      </c>
      <c r="GB1" s="232" t="s">
        <v>396</v>
      </c>
      <c r="GC1" s="232">
        <v>2018</v>
      </c>
      <c r="HB1" s="232" t="s">
        <v>396</v>
      </c>
      <c r="HC1" s="232">
        <v>2019</v>
      </c>
      <c r="IB1" s="232" t="s">
        <v>396</v>
      </c>
      <c r="IC1" s="232">
        <v>2020</v>
      </c>
      <c r="JB1" s="232" t="s">
        <v>396</v>
      </c>
      <c r="JC1" s="232">
        <v>2021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34" t="s">
        <v>102</v>
      </c>
      <c r="C5" s="303" t="s">
        <v>3</v>
      </c>
      <c r="D5" s="304" t="s">
        <v>89</v>
      </c>
      <c r="E5" s="440" t="s">
        <v>98</v>
      </c>
      <c r="F5" s="441"/>
      <c r="G5" s="443"/>
      <c r="H5" s="440" t="s">
        <v>89</v>
      </c>
      <c r="I5" s="441"/>
      <c r="J5" s="441"/>
      <c r="K5" s="442"/>
      <c r="S5" s="434" t="s">
        <v>102</v>
      </c>
      <c r="T5" s="303" t="s">
        <v>3</v>
      </c>
      <c r="U5" s="304" t="s">
        <v>89</v>
      </c>
      <c r="V5" s="440" t="s">
        <v>145</v>
      </c>
      <c r="W5" s="441"/>
      <c r="X5" s="440" t="s">
        <v>146</v>
      </c>
      <c r="Y5" s="442"/>
      <c r="AB5" s="434" t="s">
        <v>102</v>
      </c>
      <c r="AC5" s="303" t="s">
        <v>3</v>
      </c>
      <c r="AD5" s="304" t="s">
        <v>89</v>
      </c>
      <c r="AE5" s="440" t="s">
        <v>98</v>
      </c>
      <c r="AF5" s="441"/>
      <c r="AG5" s="443"/>
      <c r="AH5" s="440" t="s">
        <v>89</v>
      </c>
      <c r="AI5" s="441"/>
      <c r="AJ5" s="441"/>
      <c r="AK5" s="442"/>
      <c r="AS5" s="434" t="s">
        <v>102</v>
      </c>
      <c r="AT5" s="303" t="s">
        <v>3</v>
      </c>
      <c r="AU5" s="304" t="s">
        <v>89</v>
      </c>
      <c r="AV5" s="440" t="s">
        <v>145</v>
      </c>
      <c r="AW5" s="441"/>
      <c r="AX5" s="440" t="s">
        <v>146</v>
      </c>
      <c r="AY5" s="442"/>
      <c r="BB5" s="434" t="s">
        <v>102</v>
      </c>
      <c r="BC5" s="303" t="s">
        <v>3</v>
      </c>
      <c r="BD5" s="304" t="s">
        <v>89</v>
      </c>
      <c r="BE5" s="440" t="s">
        <v>98</v>
      </c>
      <c r="BF5" s="441"/>
      <c r="BG5" s="443"/>
      <c r="BH5" s="440" t="s">
        <v>89</v>
      </c>
      <c r="BI5" s="441"/>
      <c r="BJ5" s="441"/>
      <c r="BK5" s="442"/>
      <c r="BS5" s="434" t="s">
        <v>102</v>
      </c>
      <c r="BT5" s="303" t="s">
        <v>3</v>
      </c>
      <c r="BU5" s="304" t="s">
        <v>89</v>
      </c>
      <c r="BV5" s="440" t="s">
        <v>145</v>
      </c>
      <c r="BW5" s="441"/>
      <c r="BX5" s="440" t="s">
        <v>146</v>
      </c>
      <c r="BY5" s="442"/>
      <c r="CB5" s="434" t="s">
        <v>102</v>
      </c>
      <c r="CC5" s="303" t="s">
        <v>3</v>
      </c>
      <c r="CD5" s="304" t="s">
        <v>89</v>
      </c>
      <c r="CE5" s="440" t="s">
        <v>98</v>
      </c>
      <c r="CF5" s="441"/>
      <c r="CG5" s="443"/>
      <c r="CH5" s="440" t="s">
        <v>89</v>
      </c>
      <c r="CI5" s="441"/>
      <c r="CJ5" s="441"/>
      <c r="CK5" s="442"/>
      <c r="CS5" s="434" t="s">
        <v>102</v>
      </c>
      <c r="CT5" s="303" t="s">
        <v>3</v>
      </c>
      <c r="CU5" s="304" t="s">
        <v>89</v>
      </c>
      <c r="CV5" s="440" t="s">
        <v>145</v>
      </c>
      <c r="CW5" s="441"/>
      <c r="CX5" s="440" t="s">
        <v>146</v>
      </c>
      <c r="CY5" s="442"/>
      <c r="DB5" s="434" t="s">
        <v>102</v>
      </c>
      <c r="DC5" s="303" t="s">
        <v>3</v>
      </c>
      <c r="DD5" s="304" t="s">
        <v>89</v>
      </c>
      <c r="DE5" s="440" t="s">
        <v>98</v>
      </c>
      <c r="DF5" s="441"/>
      <c r="DG5" s="443"/>
      <c r="DH5" s="440" t="s">
        <v>89</v>
      </c>
      <c r="DI5" s="441"/>
      <c r="DJ5" s="441"/>
      <c r="DK5" s="442"/>
      <c r="DS5" s="434" t="s">
        <v>102</v>
      </c>
      <c r="DT5" s="303" t="s">
        <v>3</v>
      </c>
      <c r="DU5" s="304" t="s">
        <v>89</v>
      </c>
      <c r="DV5" s="440" t="s">
        <v>145</v>
      </c>
      <c r="DW5" s="441"/>
      <c r="DX5" s="440" t="s">
        <v>146</v>
      </c>
      <c r="DY5" s="442"/>
      <c r="EB5" s="434" t="s">
        <v>102</v>
      </c>
      <c r="EC5" s="303" t="s">
        <v>3</v>
      </c>
      <c r="ED5" s="304" t="s">
        <v>89</v>
      </c>
      <c r="EE5" s="440" t="s">
        <v>98</v>
      </c>
      <c r="EF5" s="441"/>
      <c r="EG5" s="443"/>
      <c r="EH5" s="440" t="s">
        <v>89</v>
      </c>
      <c r="EI5" s="441"/>
      <c r="EJ5" s="441"/>
      <c r="EK5" s="442"/>
      <c r="ES5" s="434" t="s">
        <v>102</v>
      </c>
      <c r="ET5" s="303" t="s">
        <v>3</v>
      </c>
      <c r="EU5" s="304" t="s">
        <v>89</v>
      </c>
      <c r="EV5" s="440" t="s">
        <v>145</v>
      </c>
      <c r="EW5" s="441"/>
      <c r="EX5" s="440" t="s">
        <v>146</v>
      </c>
      <c r="EY5" s="442"/>
      <c r="FB5" s="434" t="s">
        <v>102</v>
      </c>
      <c r="FC5" s="303" t="s">
        <v>3</v>
      </c>
      <c r="FD5" s="304" t="s">
        <v>89</v>
      </c>
      <c r="FE5" s="440" t="s">
        <v>98</v>
      </c>
      <c r="FF5" s="441"/>
      <c r="FG5" s="443"/>
      <c r="FH5" s="440" t="s">
        <v>89</v>
      </c>
      <c r="FI5" s="441"/>
      <c r="FJ5" s="441"/>
      <c r="FK5" s="442"/>
      <c r="FS5" s="434" t="s">
        <v>102</v>
      </c>
      <c r="FT5" s="303" t="s">
        <v>3</v>
      </c>
      <c r="FU5" s="304" t="s">
        <v>89</v>
      </c>
      <c r="FV5" s="440" t="s">
        <v>145</v>
      </c>
      <c r="FW5" s="441"/>
      <c r="FX5" s="440" t="s">
        <v>146</v>
      </c>
      <c r="FY5" s="442"/>
      <c r="GB5" s="434" t="s">
        <v>102</v>
      </c>
      <c r="GC5" s="303" t="s">
        <v>3</v>
      </c>
      <c r="GD5" s="304" t="s">
        <v>89</v>
      </c>
      <c r="GE5" s="440" t="s">
        <v>98</v>
      </c>
      <c r="GF5" s="441"/>
      <c r="GG5" s="443"/>
      <c r="GH5" s="440" t="s">
        <v>89</v>
      </c>
      <c r="GI5" s="441"/>
      <c r="GJ5" s="441"/>
      <c r="GK5" s="442"/>
      <c r="GS5" s="434" t="s">
        <v>102</v>
      </c>
      <c r="GT5" s="303" t="s">
        <v>3</v>
      </c>
      <c r="GU5" s="304" t="s">
        <v>89</v>
      </c>
      <c r="GV5" s="440" t="s">
        <v>145</v>
      </c>
      <c r="GW5" s="441"/>
      <c r="GX5" s="440" t="s">
        <v>146</v>
      </c>
      <c r="GY5" s="442"/>
      <c r="HB5" s="434" t="s">
        <v>102</v>
      </c>
      <c r="HC5" s="303" t="s">
        <v>3</v>
      </c>
      <c r="HD5" s="304" t="s">
        <v>89</v>
      </c>
      <c r="HE5" s="440" t="s">
        <v>98</v>
      </c>
      <c r="HF5" s="441"/>
      <c r="HG5" s="443"/>
      <c r="HH5" s="440" t="s">
        <v>89</v>
      </c>
      <c r="HI5" s="441"/>
      <c r="HJ5" s="441"/>
      <c r="HK5" s="442"/>
      <c r="HS5" s="434" t="s">
        <v>102</v>
      </c>
      <c r="HT5" s="303" t="s">
        <v>3</v>
      </c>
      <c r="HU5" s="304" t="s">
        <v>89</v>
      </c>
      <c r="HV5" s="440" t="s">
        <v>145</v>
      </c>
      <c r="HW5" s="441"/>
      <c r="HX5" s="440" t="s">
        <v>146</v>
      </c>
      <c r="HY5" s="442"/>
      <c r="IB5" s="434" t="s">
        <v>102</v>
      </c>
      <c r="IC5" s="303" t="s">
        <v>3</v>
      </c>
      <c r="ID5" s="304" t="s">
        <v>89</v>
      </c>
      <c r="IE5" s="440" t="s">
        <v>98</v>
      </c>
      <c r="IF5" s="441"/>
      <c r="IG5" s="443"/>
      <c r="IH5" s="440" t="s">
        <v>89</v>
      </c>
      <c r="II5" s="441"/>
      <c r="IJ5" s="441"/>
      <c r="IK5" s="442"/>
      <c r="IS5" s="434" t="s">
        <v>102</v>
      </c>
      <c r="IT5" s="303" t="s">
        <v>3</v>
      </c>
      <c r="IU5" s="304" t="s">
        <v>89</v>
      </c>
      <c r="IV5" s="440" t="s">
        <v>145</v>
      </c>
      <c r="IW5" s="441"/>
      <c r="IX5" s="440" t="s">
        <v>146</v>
      </c>
      <c r="IY5" s="442"/>
      <c r="JB5" s="434" t="s">
        <v>102</v>
      </c>
      <c r="JC5" s="303" t="s">
        <v>3</v>
      </c>
      <c r="JD5" s="304" t="s">
        <v>89</v>
      </c>
      <c r="JE5" s="440" t="s">
        <v>98</v>
      </c>
      <c r="JF5" s="441"/>
      <c r="JG5" s="443"/>
      <c r="JH5" s="440" t="s">
        <v>89</v>
      </c>
      <c r="JI5" s="441"/>
      <c r="JJ5" s="441"/>
      <c r="JK5" s="442"/>
      <c r="JS5" s="434" t="s">
        <v>102</v>
      </c>
      <c r="JT5" s="303" t="s">
        <v>3</v>
      </c>
      <c r="JU5" s="304" t="s">
        <v>89</v>
      </c>
      <c r="JV5" s="440" t="s">
        <v>145</v>
      </c>
      <c r="JW5" s="441"/>
      <c r="JX5" s="440" t="s">
        <v>146</v>
      </c>
      <c r="JY5" s="442"/>
    </row>
    <row r="6" spans="1:285" s="254" customFormat="1" ht="93" x14ac:dyDescent="0.25">
      <c r="B6" s="435"/>
      <c r="C6" s="439" t="s">
        <v>12</v>
      </c>
      <c r="D6" s="25" t="s">
        <v>5</v>
      </c>
      <c r="E6" s="25" t="s">
        <v>88</v>
      </c>
      <c r="F6" s="25" t="s">
        <v>93</v>
      </c>
      <c r="G6" s="25" t="s">
        <v>96</v>
      </c>
      <c r="H6" s="439" t="s">
        <v>349</v>
      </c>
      <c r="I6" s="204" t="s">
        <v>110</v>
      </c>
      <c r="J6" s="295" t="s">
        <v>106</v>
      </c>
      <c r="K6" s="21" t="s">
        <v>133</v>
      </c>
      <c r="S6" s="435"/>
      <c r="T6" s="444" t="s">
        <v>12</v>
      </c>
      <c r="U6" s="25" t="s">
        <v>121</v>
      </c>
      <c r="V6" s="439" t="s">
        <v>130</v>
      </c>
      <c r="W6" s="25" t="s">
        <v>124</v>
      </c>
      <c r="X6" s="25" t="s">
        <v>126</v>
      </c>
      <c r="Y6" s="158" t="s">
        <v>129</v>
      </c>
      <c r="AB6" s="435"/>
      <c r="AC6" s="439" t="s">
        <v>12</v>
      </c>
      <c r="AD6" s="25" t="s">
        <v>5</v>
      </c>
      <c r="AE6" s="25" t="s">
        <v>88</v>
      </c>
      <c r="AF6" s="25" t="s">
        <v>93</v>
      </c>
      <c r="AG6" s="25" t="s">
        <v>96</v>
      </c>
      <c r="AH6" s="439" t="s">
        <v>349</v>
      </c>
      <c r="AI6" s="204" t="s">
        <v>110</v>
      </c>
      <c r="AJ6" s="295" t="s">
        <v>106</v>
      </c>
      <c r="AK6" s="21" t="s">
        <v>133</v>
      </c>
      <c r="AS6" s="435"/>
      <c r="AT6" s="444" t="s">
        <v>12</v>
      </c>
      <c r="AU6" s="25" t="s">
        <v>121</v>
      </c>
      <c r="AV6" s="439" t="s">
        <v>130</v>
      </c>
      <c r="AW6" s="25" t="s">
        <v>124</v>
      </c>
      <c r="AX6" s="25" t="s">
        <v>126</v>
      </c>
      <c r="AY6" s="158" t="s">
        <v>129</v>
      </c>
      <c r="BB6" s="435"/>
      <c r="BC6" s="439" t="s">
        <v>12</v>
      </c>
      <c r="BD6" s="25" t="s">
        <v>5</v>
      </c>
      <c r="BE6" s="25" t="s">
        <v>88</v>
      </c>
      <c r="BF6" s="25" t="s">
        <v>93</v>
      </c>
      <c r="BG6" s="25" t="s">
        <v>96</v>
      </c>
      <c r="BH6" s="439" t="s">
        <v>349</v>
      </c>
      <c r="BI6" s="204" t="s">
        <v>110</v>
      </c>
      <c r="BJ6" s="295" t="s">
        <v>106</v>
      </c>
      <c r="BK6" s="21" t="s">
        <v>133</v>
      </c>
      <c r="BS6" s="435"/>
      <c r="BT6" s="444" t="s">
        <v>12</v>
      </c>
      <c r="BU6" s="25" t="s">
        <v>121</v>
      </c>
      <c r="BV6" s="439" t="s">
        <v>130</v>
      </c>
      <c r="BW6" s="25" t="s">
        <v>124</v>
      </c>
      <c r="BX6" s="25" t="s">
        <v>126</v>
      </c>
      <c r="BY6" s="158" t="s">
        <v>129</v>
      </c>
      <c r="CB6" s="435"/>
      <c r="CC6" s="439" t="s">
        <v>12</v>
      </c>
      <c r="CD6" s="25" t="s">
        <v>5</v>
      </c>
      <c r="CE6" s="25" t="s">
        <v>88</v>
      </c>
      <c r="CF6" s="25" t="s">
        <v>93</v>
      </c>
      <c r="CG6" s="25" t="s">
        <v>96</v>
      </c>
      <c r="CH6" s="439" t="s">
        <v>349</v>
      </c>
      <c r="CI6" s="204" t="s">
        <v>110</v>
      </c>
      <c r="CJ6" s="295" t="s">
        <v>106</v>
      </c>
      <c r="CK6" s="21" t="s">
        <v>133</v>
      </c>
      <c r="CS6" s="435"/>
      <c r="CT6" s="444" t="s">
        <v>12</v>
      </c>
      <c r="CU6" s="25" t="s">
        <v>121</v>
      </c>
      <c r="CV6" s="439" t="s">
        <v>130</v>
      </c>
      <c r="CW6" s="25" t="s">
        <v>124</v>
      </c>
      <c r="CX6" s="25" t="s">
        <v>126</v>
      </c>
      <c r="CY6" s="158" t="s">
        <v>129</v>
      </c>
      <c r="DB6" s="435"/>
      <c r="DC6" s="439" t="s">
        <v>12</v>
      </c>
      <c r="DD6" s="25" t="s">
        <v>5</v>
      </c>
      <c r="DE6" s="25" t="s">
        <v>88</v>
      </c>
      <c r="DF6" s="25" t="s">
        <v>93</v>
      </c>
      <c r="DG6" s="25" t="s">
        <v>96</v>
      </c>
      <c r="DH6" s="439" t="s">
        <v>349</v>
      </c>
      <c r="DI6" s="204" t="s">
        <v>110</v>
      </c>
      <c r="DJ6" s="295" t="s">
        <v>106</v>
      </c>
      <c r="DK6" s="21" t="s">
        <v>133</v>
      </c>
      <c r="DS6" s="435"/>
      <c r="DT6" s="444" t="s">
        <v>12</v>
      </c>
      <c r="DU6" s="25" t="s">
        <v>121</v>
      </c>
      <c r="DV6" s="439" t="s">
        <v>130</v>
      </c>
      <c r="DW6" s="25" t="s">
        <v>124</v>
      </c>
      <c r="DX6" s="25" t="s">
        <v>126</v>
      </c>
      <c r="DY6" s="158" t="s">
        <v>129</v>
      </c>
      <c r="EB6" s="435"/>
      <c r="EC6" s="439" t="s">
        <v>12</v>
      </c>
      <c r="ED6" s="25" t="s">
        <v>5</v>
      </c>
      <c r="EE6" s="25" t="s">
        <v>88</v>
      </c>
      <c r="EF6" s="25" t="s">
        <v>93</v>
      </c>
      <c r="EG6" s="25" t="s">
        <v>96</v>
      </c>
      <c r="EH6" s="439" t="s">
        <v>349</v>
      </c>
      <c r="EI6" s="204" t="s">
        <v>110</v>
      </c>
      <c r="EJ6" s="295" t="s">
        <v>106</v>
      </c>
      <c r="EK6" s="21" t="s">
        <v>133</v>
      </c>
      <c r="ES6" s="435"/>
      <c r="ET6" s="444" t="s">
        <v>12</v>
      </c>
      <c r="EU6" s="25" t="s">
        <v>121</v>
      </c>
      <c r="EV6" s="439" t="s">
        <v>130</v>
      </c>
      <c r="EW6" s="25" t="s">
        <v>124</v>
      </c>
      <c r="EX6" s="25" t="s">
        <v>126</v>
      </c>
      <c r="EY6" s="158" t="s">
        <v>129</v>
      </c>
      <c r="FB6" s="435"/>
      <c r="FC6" s="439" t="s">
        <v>12</v>
      </c>
      <c r="FD6" s="25" t="s">
        <v>5</v>
      </c>
      <c r="FE6" s="25" t="s">
        <v>88</v>
      </c>
      <c r="FF6" s="25" t="s">
        <v>93</v>
      </c>
      <c r="FG6" s="25" t="s">
        <v>96</v>
      </c>
      <c r="FH6" s="439" t="s">
        <v>349</v>
      </c>
      <c r="FI6" s="204" t="s">
        <v>110</v>
      </c>
      <c r="FJ6" s="295" t="s">
        <v>106</v>
      </c>
      <c r="FK6" s="21" t="s">
        <v>133</v>
      </c>
      <c r="FS6" s="435"/>
      <c r="FT6" s="444" t="s">
        <v>12</v>
      </c>
      <c r="FU6" s="25" t="s">
        <v>121</v>
      </c>
      <c r="FV6" s="439" t="s">
        <v>130</v>
      </c>
      <c r="FW6" s="25" t="s">
        <v>124</v>
      </c>
      <c r="FX6" s="25" t="s">
        <v>126</v>
      </c>
      <c r="FY6" s="158" t="s">
        <v>129</v>
      </c>
      <c r="GB6" s="435"/>
      <c r="GC6" s="439" t="s">
        <v>12</v>
      </c>
      <c r="GD6" s="25" t="s">
        <v>5</v>
      </c>
      <c r="GE6" s="25" t="s">
        <v>88</v>
      </c>
      <c r="GF6" s="25" t="s">
        <v>93</v>
      </c>
      <c r="GG6" s="25" t="s">
        <v>96</v>
      </c>
      <c r="GH6" s="439" t="s">
        <v>349</v>
      </c>
      <c r="GI6" s="204" t="s">
        <v>110</v>
      </c>
      <c r="GJ6" s="295" t="s">
        <v>106</v>
      </c>
      <c r="GK6" s="21" t="s">
        <v>133</v>
      </c>
      <c r="GS6" s="435"/>
      <c r="GT6" s="444" t="s">
        <v>12</v>
      </c>
      <c r="GU6" s="25" t="s">
        <v>121</v>
      </c>
      <c r="GV6" s="439" t="s">
        <v>130</v>
      </c>
      <c r="GW6" s="25" t="s">
        <v>124</v>
      </c>
      <c r="GX6" s="25" t="s">
        <v>126</v>
      </c>
      <c r="GY6" s="158" t="s">
        <v>129</v>
      </c>
      <c r="HB6" s="435"/>
      <c r="HC6" s="439" t="s">
        <v>12</v>
      </c>
      <c r="HD6" s="25" t="s">
        <v>5</v>
      </c>
      <c r="HE6" s="25" t="s">
        <v>88</v>
      </c>
      <c r="HF6" s="25" t="s">
        <v>93</v>
      </c>
      <c r="HG6" s="25" t="s">
        <v>96</v>
      </c>
      <c r="HH6" s="439" t="s">
        <v>349</v>
      </c>
      <c r="HI6" s="204" t="s">
        <v>110</v>
      </c>
      <c r="HJ6" s="295" t="s">
        <v>106</v>
      </c>
      <c r="HK6" s="21" t="s">
        <v>133</v>
      </c>
      <c r="HS6" s="435"/>
      <c r="HT6" s="444" t="s">
        <v>12</v>
      </c>
      <c r="HU6" s="25" t="s">
        <v>121</v>
      </c>
      <c r="HV6" s="439" t="s">
        <v>130</v>
      </c>
      <c r="HW6" s="25" t="s">
        <v>124</v>
      </c>
      <c r="HX6" s="25" t="s">
        <v>126</v>
      </c>
      <c r="HY6" s="158" t="s">
        <v>129</v>
      </c>
      <c r="IB6" s="435"/>
      <c r="IC6" s="439" t="s">
        <v>12</v>
      </c>
      <c r="ID6" s="25" t="s">
        <v>5</v>
      </c>
      <c r="IE6" s="25" t="s">
        <v>88</v>
      </c>
      <c r="IF6" s="25" t="s">
        <v>93</v>
      </c>
      <c r="IG6" s="25" t="s">
        <v>96</v>
      </c>
      <c r="IH6" s="439" t="s">
        <v>349</v>
      </c>
      <c r="II6" s="204" t="s">
        <v>110</v>
      </c>
      <c r="IJ6" s="295" t="s">
        <v>106</v>
      </c>
      <c r="IK6" s="21" t="s">
        <v>133</v>
      </c>
      <c r="IS6" s="435"/>
      <c r="IT6" s="444" t="s">
        <v>12</v>
      </c>
      <c r="IU6" s="25" t="s">
        <v>121</v>
      </c>
      <c r="IV6" s="439" t="s">
        <v>130</v>
      </c>
      <c r="IW6" s="25" t="s">
        <v>124</v>
      </c>
      <c r="IX6" s="25" t="s">
        <v>126</v>
      </c>
      <c r="IY6" s="158" t="s">
        <v>129</v>
      </c>
      <c r="JB6" s="435"/>
      <c r="JC6" s="439" t="s">
        <v>12</v>
      </c>
      <c r="JD6" s="25" t="s">
        <v>5</v>
      </c>
      <c r="JE6" s="25" t="s">
        <v>88</v>
      </c>
      <c r="JF6" s="25" t="s">
        <v>93</v>
      </c>
      <c r="JG6" s="25" t="s">
        <v>96</v>
      </c>
      <c r="JH6" s="439" t="s">
        <v>349</v>
      </c>
      <c r="JI6" s="204" t="s">
        <v>110</v>
      </c>
      <c r="JJ6" s="295" t="s">
        <v>106</v>
      </c>
      <c r="JK6" s="21" t="s">
        <v>133</v>
      </c>
      <c r="JS6" s="435"/>
      <c r="JT6" s="444" t="s">
        <v>12</v>
      </c>
      <c r="JU6" s="25" t="s">
        <v>121</v>
      </c>
      <c r="JV6" s="439" t="s">
        <v>130</v>
      </c>
      <c r="JW6" s="25" t="s">
        <v>124</v>
      </c>
      <c r="JX6" s="25" t="s">
        <v>126</v>
      </c>
      <c r="JY6" s="158" t="s">
        <v>129</v>
      </c>
    </row>
    <row r="7" spans="1:285" s="20" customFormat="1" ht="45" x14ac:dyDescent="0.25">
      <c r="A7" s="20" t="s">
        <v>348</v>
      </c>
      <c r="B7" s="435"/>
      <c r="C7" s="439"/>
      <c r="D7" s="255" t="s">
        <v>6</v>
      </c>
      <c r="E7" s="25" t="s">
        <v>95</v>
      </c>
      <c r="F7" s="255" t="s">
        <v>94</v>
      </c>
      <c r="G7" s="255" t="s">
        <v>97</v>
      </c>
      <c r="H7" s="439"/>
      <c r="I7" s="274" t="s">
        <v>109</v>
      </c>
      <c r="J7" s="295" t="s">
        <v>107</v>
      </c>
      <c r="K7" s="275" t="s">
        <v>108</v>
      </c>
      <c r="S7" s="435"/>
      <c r="T7" s="444"/>
      <c r="U7" s="204" t="s">
        <v>109</v>
      </c>
      <c r="V7" s="439"/>
      <c r="W7" s="204" t="s">
        <v>109</v>
      </c>
      <c r="X7" s="25" t="s">
        <v>128</v>
      </c>
      <c r="Y7" s="276" t="s">
        <v>143</v>
      </c>
      <c r="AB7" s="435"/>
      <c r="AC7" s="439"/>
      <c r="AD7" s="255" t="s">
        <v>6</v>
      </c>
      <c r="AE7" s="25" t="s">
        <v>95</v>
      </c>
      <c r="AF7" s="255" t="s">
        <v>94</v>
      </c>
      <c r="AG7" s="255" t="s">
        <v>97</v>
      </c>
      <c r="AH7" s="439"/>
      <c r="AI7" s="274" t="s">
        <v>109</v>
      </c>
      <c r="AJ7" s="295" t="s">
        <v>107</v>
      </c>
      <c r="AK7" s="275" t="s">
        <v>108</v>
      </c>
      <c r="AS7" s="435"/>
      <c r="AT7" s="444"/>
      <c r="AU7" s="204" t="s">
        <v>109</v>
      </c>
      <c r="AV7" s="439"/>
      <c r="AW7" s="204" t="s">
        <v>109</v>
      </c>
      <c r="AX7" s="25" t="s">
        <v>128</v>
      </c>
      <c r="AY7" s="276" t="s">
        <v>143</v>
      </c>
      <c r="BB7" s="435"/>
      <c r="BC7" s="439"/>
      <c r="BD7" s="255" t="s">
        <v>6</v>
      </c>
      <c r="BE7" s="25" t="s">
        <v>95</v>
      </c>
      <c r="BF7" s="255" t="s">
        <v>94</v>
      </c>
      <c r="BG7" s="255" t="s">
        <v>97</v>
      </c>
      <c r="BH7" s="439"/>
      <c r="BI7" s="274" t="s">
        <v>109</v>
      </c>
      <c r="BJ7" s="295" t="s">
        <v>107</v>
      </c>
      <c r="BK7" s="275" t="s">
        <v>108</v>
      </c>
      <c r="BS7" s="435"/>
      <c r="BT7" s="444"/>
      <c r="BU7" s="204" t="s">
        <v>109</v>
      </c>
      <c r="BV7" s="439"/>
      <c r="BW7" s="204" t="s">
        <v>109</v>
      </c>
      <c r="BX7" s="25" t="s">
        <v>128</v>
      </c>
      <c r="BY7" s="276" t="s">
        <v>143</v>
      </c>
      <c r="CB7" s="435"/>
      <c r="CC7" s="439"/>
      <c r="CD7" s="255" t="s">
        <v>6</v>
      </c>
      <c r="CE7" s="25" t="s">
        <v>95</v>
      </c>
      <c r="CF7" s="255" t="s">
        <v>94</v>
      </c>
      <c r="CG7" s="255" t="s">
        <v>97</v>
      </c>
      <c r="CH7" s="439"/>
      <c r="CI7" s="274" t="s">
        <v>109</v>
      </c>
      <c r="CJ7" s="295" t="s">
        <v>107</v>
      </c>
      <c r="CK7" s="275" t="s">
        <v>108</v>
      </c>
      <c r="CS7" s="435"/>
      <c r="CT7" s="444"/>
      <c r="CU7" s="204" t="s">
        <v>109</v>
      </c>
      <c r="CV7" s="439"/>
      <c r="CW7" s="204" t="s">
        <v>109</v>
      </c>
      <c r="CX7" s="25" t="s">
        <v>128</v>
      </c>
      <c r="CY7" s="276" t="s">
        <v>143</v>
      </c>
      <c r="DB7" s="435"/>
      <c r="DC7" s="439"/>
      <c r="DD7" s="255" t="s">
        <v>6</v>
      </c>
      <c r="DE7" s="25" t="s">
        <v>95</v>
      </c>
      <c r="DF7" s="255" t="s">
        <v>94</v>
      </c>
      <c r="DG7" s="255" t="s">
        <v>97</v>
      </c>
      <c r="DH7" s="439"/>
      <c r="DI7" s="274" t="s">
        <v>109</v>
      </c>
      <c r="DJ7" s="295" t="s">
        <v>107</v>
      </c>
      <c r="DK7" s="275" t="s">
        <v>108</v>
      </c>
      <c r="DS7" s="435"/>
      <c r="DT7" s="444"/>
      <c r="DU7" s="204" t="s">
        <v>109</v>
      </c>
      <c r="DV7" s="439"/>
      <c r="DW7" s="204" t="s">
        <v>109</v>
      </c>
      <c r="DX7" s="25" t="s">
        <v>128</v>
      </c>
      <c r="DY7" s="276" t="s">
        <v>143</v>
      </c>
      <c r="EB7" s="435"/>
      <c r="EC7" s="439"/>
      <c r="ED7" s="255" t="s">
        <v>6</v>
      </c>
      <c r="EE7" s="25" t="s">
        <v>95</v>
      </c>
      <c r="EF7" s="255" t="s">
        <v>94</v>
      </c>
      <c r="EG7" s="255" t="s">
        <v>97</v>
      </c>
      <c r="EH7" s="439"/>
      <c r="EI7" s="274" t="s">
        <v>109</v>
      </c>
      <c r="EJ7" s="295" t="s">
        <v>107</v>
      </c>
      <c r="EK7" s="275" t="s">
        <v>108</v>
      </c>
      <c r="ES7" s="435"/>
      <c r="ET7" s="444"/>
      <c r="EU7" s="204" t="s">
        <v>109</v>
      </c>
      <c r="EV7" s="439"/>
      <c r="EW7" s="204" t="s">
        <v>109</v>
      </c>
      <c r="EX7" s="25" t="s">
        <v>128</v>
      </c>
      <c r="EY7" s="276" t="s">
        <v>143</v>
      </c>
      <c r="FB7" s="435"/>
      <c r="FC7" s="439"/>
      <c r="FD7" s="255" t="s">
        <v>6</v>
      </c>
      <c r="FE7" s="25" t="s">
        <v>95</v>
      </c>
      <c r="FF7" s="255" t="s">
        <v>94</v>
      </c>
      <c r="FG7" s="255" t="s">
        <v>97</v>
      </c>
      <c r="FH7" s="439"/>
      <c r="FI7" s="274" t="s">
        <v>109</v>
      </c>
      <c r="FJ7" s="295" t="s">
        <v>107</v>
      </c>
      <c r="FK7" s="275" t="s">
        <v>108</v>
      </c>
      <c r="FS7" s="435"/>
      <c r="FT7" s="444"/>
      <c r="FU7" s="204" t="s">
        <v>109</v>
      </c>
      <c r="FV7" s="439"/>
      <c r="FW7" s="204" t="s">
        <v>109</v>
      </c>
      <c r="FX7" s="25" t="s">
        <v>128</v>
      </c>
      <c r="FY7" s="276" t="s">
        <v>143</v>
      </c>
      <c r="GB7" s="435"/>
      <c r="GC7" s="439"/>
      <c r="GD7" s="255" t="s">
        <v>6</v>
      </c>
      <c r="GE7" s="25" t="s">
        <v>95</v>
      </c>
      <c r="GF7" s="255" t="s">
        <v>94</v>
      </c>
      <c r="GG7" s="255" t="s">
        <v>97</v>
      </c>
      <c r="GH7" s="439"/>
      <c r="GI7" s="274" t="s">
        <v>109</v>
      </c>
      <c r="GJ7" s="295" t="s">
        <v>107</v>
      </c>
      <c r="GK7" s="275" t="s">
        <v>108</v>
      </c>
      <c r="GS7" s="435"/>
      <c r="GT7" s="444"/>
      <c r="GU7" s="204" t="s">
        <v>109</v>
      </c>
      <c r="GV7" s="439"/>
      <c r="GW7" s="204" t="s">
        <v>109</v>
      </c>
      <c r="GX7" s="25" t="s">
        <v>128</v>
      </c>
      <c r="GY7" s="276" t="s">
        <v>143</v>
      </c>
      <c r="HB7" s="435"/>
      <c r="HC7" s="439"/>
      <c r="HD7" s="255" t="s">
        <v>6</v>
      </c>
      <c r="HE7" s="25" t="s">
        <v>95</v>
      </c>
      <c r="HF7" s="255" t="s">
        <v>94</v>
      </c>
      <c r="HG7" s="255" t="s">
        <v>97</v>
      </c>
      <c r="HH7" s="439"/>
      <c r="HI7" s="274" t="s">
        <v>109</v>
      </c>
      <c r="HJ7" s="295" t="s">
        <v>107</v>
      </c>
      <c r="HK7" s="275" t="s">
        <v>108</v>
      </c>
      <c r="HS7" s="435"/>
      <c r="HT7" s="444"/>
      <c r="HU7" s="204" t="s">
        <v>109</v>
      </c>
      <c r="HV7" s="439"/>
      <c r="HW7" s="204" t="s">
        <v>109</v>
      </c>
      <c r="HX7" s="25" t="s">
        <v>128</v>
      </c>
      <c r="HY7" s="276" t="s">
        <v>143</v>
      </c>
      <c r="IB7" s="435"/>
      <c r="IC7" s="439"/>
      <c r="ID7" s="255" t="s">
        <v>6</v>
      </c>
      <c r="IE7" s="25" t="s">
        <v>95</v>
      </c>
      <c r="IF7" s="255" t="s">
        <v>94</v>
      </c>
      <c r="IG7" s="255" t="s">
        <v>97</v>
      </c>
      <c r="IH7" s="439"/>
      <c r="II7" s="274" t="s">
        <v>109</v>
      </c>
      <c r="IJ7" s="295" t="s">
        <v>107</v>
      </c>
      <c r="IK7" s="275" t="s">
        <v>108</v>
      </c>
      <c r="IS7" s="435"/>
      <c r="IT7" s="444"/>
      <c r="IU7" s="204" t="s">
        <v>109</v>
      </c>
      <c r="IV7" s="439"/>
      <c r="IW7" s="204" t="s">
        <v>109</v>
      </c>
      <c r="IX7" s="25" t="s">
        <v>128</v>
      </c>
      <c r="IY7" s="276" t="s">
        <v>143</v>
      </c>
      <c r="JB7" s="435"/>
      <c r="JC7" s="439"/>
      <c r="JD7" s="255" t="s">
        <v>6</v>
      </c>
      <c r="JE7" s="25" t="s">
        <v>95</v>
      </c>
      <c r="JF7" s="255" t="s">
        <v>94</v>
      </c>
      <c r="JG7" s="255" t="s">
        <v>97</v>
      </c>
      <c r="JH7" s="439"/>
      <c r="JI7" s="274" t="s">
        <v>109</v>
      </c>
      <c r="JJ7" s="295" t="s">
        <v>107</v>
      </c>
      <c r="JK7" s="275" t="s">
        <v>108</v>
      </c>
      <c r="JS7" s="435"/>
      <c r="JT7" s="444"/>
      <c r="JU7" s="204" t="s">
        <v>109</v>
      </c>
      <c r="JV7" s="439"/>
      <c r="JW7" s="204" t="s">
        <v>109</v>
      </c>
      <c r="JX7" s="25" t="s">
        <v>128</v>
      </c>
      <c r="JY7" s="276" t="s">
        <v>143</v>
      </c>
    </row>
    <row r="8" spans="1:285" s="20" customFormat="1" ht="54" x14ac:dyDescent="0.25">
      <c r="B8" s="435"/>
      <c r="C8" s="255"/>
      <c r="D8" s="255"/>
      <c r="E8" s="255"/>
      <c r="F8" s="255"/>
      <c r="G8" s="25" t="s">
        <v>100</v>
      </c>
      <c r="H8" s="273" t="s">
        <v>99</v>
      </c>
      <c r="I8" s="295" t="s">
        <v>104</v>
      </c>
      <c r="J8" s="273"/>
      <c r="K8" s="21" t="s">
        <v>111</v>
      </c>
      <c r="S8" s="435"/>
      <c r="T8" s="255"/>
      <c r="U8" s="25"/>
      <c r="V8" s="25" t="s">
        <v>99</v>
      </c>
      <c r="W8" s="25" t="s">
        <v>135</v>
      </c>
      <c r="X8" s="25"/>
      <c r="Y8" s="158" t="s">
        <v>147</v>
      </c>
      <c r="AB8" s="435"/>
      <c r="AC8" s="255"/>
      <c r="AD8" s="255"/>
      <c r="AE8" s="255"/>
      <c r="AF8" s="255"/>
      <c r="AG8" s="25" t="s">
        <v>100</v>
      </c>
      <c r="AH8" s="273" t="s">
        <v>99</v>
      </c>
      <c r="AI8" s="295" t="s">
        <v>104</v>
      </c>
      <c r="AJ8" s="273"/>
      <c r="AK8" s="21" t="s">
        <v>111</v>
      </c>
      <c r="AS8" s="435"/>
      <c r="AT8" s="255"/>
      <c r="AU8" s="25"/>
      <c r="AV8" s="25" t="s">
        <v>99</v>
      </c>
      <c r="AW8" s="25" t="s">
        <v>135</v>
      </c>
      <c r="AX8" s="25"/>
      <c r="AY8" s="158" t="s">
        <v>147</v>
      </c>
      <c r="BB8" s="435"/>
      <c r="BC8" s="255"/>
      <c r="BD8" s="255"/>
      <c r="BE8" s="255"/>
      <c r="BF8" s="255"/>
      <c r="BG8" s="25" t="s">
        <v>100</v>
      </c>
      <c r="BH8" s="273" t="s">
        <v>99</v>
      </c>
      <c r="BI8" s="295" t="s">
        <v>104</v>
      </c>
      <c r="BJ8" s="273"/>
      <c r="BK8" s="21" t="s">
        <v>111</v>
      </c>
      <c r="BS8" s="435"/>
      <c r="BT8" s="255"/>
      <c r="BU8" s="25"/>
      <c r="BV8" s="25" t="s">
        <v>99</v>
      </c>
      <c r="BW8" s="25" t="s">
        <v>135</v>
      </c>
      <c r="BX8" s="25"/>
      <c r="BY8" s="158" t="s">
        <v>147</v>
      </c>
      <c r="CB8" s="435"/>
      <c r="CC8" s="255"/>
      <c r="CD8" s="255"/>
      <c r="CE8" s="255"/>
      <c r="CF8" s="255"/>
      <c r="CG8" s="25" t="s">
        <v>100</v>
      </c>
      <c r="CH8" s="273" t="s">
        <v>99</v>
      </c>
      <c r="CI8" s="295" t="s">
        <v>104</v>
      </c>
      <c r="CJ8" s="273"/>
      <c r="CK8" s="21" t="s">
        <v>111</v>
      </c>
      <c r="CS8" s="435"/>
      <c r="CT8" s="255"/>
      <c r="CU8" s="25"/>
      <c r="CV8" s="25" t="s">
        <v>99</v>
      </c>
      <c r="CW8" s="25" t="s">
        <v>135</v>
      </c>
      <c r="CX8" s="25"/>
      <c r="CY8" s="158" t="s">
        <v>147</v>
      </c>
      <c r="DB8" s="435"/>
      <c r="DC8" s="255"/>
      <c r="DD8" s="255"/>
      <c r="DE8" s="255"/>
      <c r="DF8" s="255"/>
      <c r="DG8" s="25" t="s">
        <v>100</v>
      </c>
      <c r="DH8" s="273" t="s">
        <v>99</v>
      </c>
      <c r="DI8" s="295" t="s">
        <v>104</v>
      </c>
      <c r="DJ8" s="273"/>
      <c r="DK8" s="21" t="s">
        <v>111</v>
      </c>
      <c r="DS8" s="435"/>
      <c r="DT8" s="255"/>
      <c r="DU8" s="25"/>
      <c r="DV8" s="25" t="s">
        <v>99</v>
      </c>
      <c r="DW8" s="25" t="s">
        <v>135</v>
      </c>
      <c r="DX8" s="25"/>
      <c r="DY8" s="158" t="s">
        <v>147</v>
      </c>
      <c r="EB8" s="435"/>
      <c r="EC8" s="255"/>
      <c r="ED8" s="255"/>
      <c r="EE8" s="255"/>
      <c r="EF8" s="255"/>
      <c r="EG8" s="25" t="s">
        <v>100</v>
      </c>
      <c r="EH8" s="273" t="s">
        <v>99</v>
      </c>
      <c r="EI8" s="295" t="s">
        <v>104</v>
      </c>
      <c r="EJ8" s="273"/>
      <c r="EK8" s="21" t="s">
        <v>111</v>
      </c>
      <c r="ES8" s="435"/>
      <c r="ET8" s="255"/>
      <c r="EU8" s="25"/>
      <c r="EV8" s="25" t="s">
        <v>99</v>
      </c>
      <c r="EW8" s="25" t="s">
        <v>135</v>
      </c>
      <c r="EX8" s="25"/>
      <c r="EY8" s="158" t="s">
        <v>147</v>
      </c>
      <c r="FB8" s="435"/>
      <c r="FC8" s="255"/>
      <c r="FD8" s="255"/>
      <c r="FE8" s="255"/>
      <c r="FF8" s="255"/>
      <c r="FG8" s="25" t="s">
        <v>100</v>
      </c>
      <c r="FH8" s="273" t="s">
        <v>99</v>
      </c>
      <c r="FI8" s="295" t="s">
        <v>104</v>
      </c>
      <c r="FJ8" s="273"/>
      <c r="FK8" s="21" t="s">
        <v>111</v>
      </c>
      <c r="FS8" s="435"/>
      <c r="FT8" s="255"/>
      <c r="FU8" s="25"/>
      <c r="FV8" s="25" t="s">
        <v>99</v>
      </c>
      <c r="FW8" s="25" t="s">
        <v>135</v>
      </c>
      <c r="FX8" s="25"/>
      <c r="FY8" s="158" t="s">
        <v>147</v>
      </c>
      <c r="GB8" s="435"/>
      <c r="GC8" s="255"/>
      <c r="GD8" s="255"/>
      <c r="GE8" s="255"/>
      <c r="GF8" s="255"/>
      <c r="GG8" s="25" t="s">
        <v>100</v>
      </c>
      <c r="GH8" s="273" t="s">
        <v>99</v>
      </c>
      <c r="GI8" s="295" t="s">
        <v>104</v>
      </c>
      <c r="GJ8" s="273"/>
      <c r="GK8" s="21" t="s">
        <v>111</v>
      </c>
      <c r="GS8" s="435"/>
      <c r="GT8" s="255"/>
      <c r="GU8" s="25"/>
      <c r="GV8" s="25" t="s">
        <v>99</v>
      </c>
      <c r="GW8" s="25" t="s">
        <v>135</v>
      </c>
      <c r="GX8" s="25"/>
      <c r="GY8" s="158" t="s">
        <v>147</v>
      </c>
      <c r="HB8" s="435"/>
      <c r="HC8" s="255"/>
      <c r="HD8" s="255"/>
      <c r="HE8" s="255"/>
      <c r="HF8" s="255"/>
      <c r="HG8" s="25" t="s">
        <v>100</v>
      </c>
      <c r="HH8" s="273" t="s">
        <v>99</v>
      </c>
      <c r="HI8" s="295" t="s">
        <v>104</v>
      </c>
      <c r="HJ8" s="273"/>
      <c r="HK8" s="21" t="s">
        <v>111</v>
      </c>
      <c r="HS8" s="435"/>
      <c r="HT8" s="255"/>
      <c r="HU8" s="25"/>
      <c r="HV8" s="25" t="s">
        <v>99</v>
      </c>
      <c r="HW8" s="25" t="s">
        <v>135</v>
      </c>
      <c r="HX8" s="25"/>
      <c r="HY8" s="158" t="s">
        <v>147</v>
      </c>
      <c r="IB8" s="435"/>
      <c r="IC8" s="255"/>
      <c r="ID8" s="255"/>
      <c r="IE8" s="255"/>
      <c r="IF8" s="255"/>
      <c r="IG8" s="25" t="s">
        <v>100</v>
      </c>
      <c r="IH8" s="273" t="s">
        <v>99</v>
      </c>
      <c r="II8" s="295" t="s">
        <v>104</v>
      </c>
      <c r="IJ8" s="273"/>
      <c r="IK8" s="21" t="s">
        <v>111</v>
      </c>
      <c r="IS8" s="435"/>
      <c r="IT8" s="255"/>
      <c r="IU8" s="25"/>
      <c r="IV8" s="25" t="s">
        <v>99</v>
      </c>
      <c r="IW8" s="25" t="s">
        <v>135</v>
      </c>
      <c r="IX8" s="25"/>
      <c r="IY8" s="158" t="s">
        <v>147</v>
      </c>
      <c r="JB8" s="435"/>
      <c r="JC8" s="255"/>
      <c r="JD8" s="255"/>
      <c r="JE8" s="255"/>
      <c r="JF8" s="255"/>
      <c r="JG8" s="25" t="s">
        <v>100</v>
      </c>
      <c r="JH8" s="273" t="s">
        <v>99</v>
      </c>
      <c r="JI8" s="295" t="s">
        <v>104</v>
      </c>
      <c r="JJ8" s="273"/>
      <c r="JK8" s="21" t="s">
        <v>111</v>
      </c>
      <c r="JS8" s="435"/>
      <c r="JT8" s="255"/>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5</v>
      </c>
      <c r="E11" s="87">
        <f>'EF peternakan'!$G$5</f>
        <v>0.47</v>
      </c>
      <c r="F11" s="294">
        <f>'EF peternakan'!$H$5</f>
        <v>300</v>
      </c>
      <c r="G11" s="92">
        <f>E11*(F11/10^3)*365</f>
        <v>51.464999999999996</v>
      </c>
      <c r="H11" s="89">
        <f>I$26/100</f>
        <v>0.02</v>
      </c>
      <c r="I11" s="83">
        <f>D11*G11*H11</f>
        <v>5.1464999999999996</v>
      </c>
      <c r="J11" s="88">
        <v>0.02</v>
      </c>
      <c r="K11" s="85">
        <f t="shared" ref="K11:K21" si="0">I11*J11*(44/28)</f>
        <v>0.16174714285714284</v>
      </c>
      <c r="S11" s="6"/>
      <c r="T11" s="81" t="s">
        <v>64</v>
      </c>
      <c r="U11" s="86">
        <f t="shared" ref="U11:U21" si="1">I11</f>
        <v>5.1464999999999996</v>
      </c>
      <c r="V11" s="87">
        <f>V26</f>
        <v>0</v>
      </c>
      <c r="W11" s="301">
        <f t="shared" ref="W11:W16" si="2">$U$23*V11</f>
        <v>0</v>
      </c>
      <c r="X11" s="92">
        <f t="shared" ref="X11:X16" si="3">Z$26</f>
        <v>0.01</v>
      </c>
      <c r="Y11" s="99">
        <f t="shared" ref="Y11:Y16" si="4">W11*X11*(44/28)</f>
        <v>0</v>
      </c>
      <c r="AB11" s="6"/>
      <c r="AC11" s="81" t="s">
        <v>64</v>
      </c>
      <c r="AD11" s="86">
        <f>D39</f>
        <v>12</v>
      </c>
      <c r="AE11" s="87">
        <f>'EF peternakan'!$G$5</f>
        <v>0.47</v>
      </c>
      <c r="AF11" s="87">
        <f>'EF peternakan'!$H$5</f>
        <v>300</v>
      </c>
      <c r="AG11" s="92">
        <f t="shared" ref="AG11:AG21" si="5">AE11*(AF11/10^3)*365</f>
        <v>51.464999999999996</v>
      </c>
      <c r="AH11" s="89">
        <f t="shared" ref="AH11:AH21" si="6">AI$26/100</f>
        <v>0.02</v>
      </c>
      <c r="AI11" s="83">
        <f t="shared" ref="AI11:AI20" si="7">AD11*AG11*AH11</f>
        <v>12.351599999999999</v>
      </c>
      <c r="AJ11" s="88">
        <v>0.02</v>
      </c>
      <c r="AK11" s="85">
        <f t="shared" ref="AK11:AK21" si="8">AI11*AJ11*(44/28)</f>
        <v>0.38819314285714285</v>
      </c>
      <c r="AS11" s="6"/>
      <c r="AT11" s="81" t="s">
        <v>64</v>
      </c>
      <c r="AU11" s="86">
        <f t="shared" ref="AU11:AU15" si="9">AI11</f>
        <v>12.351599999999999</v>
      </c>
      <c r="AV11" s="87">
        <f t="shared" ref="AV11:AV16" si="10">AV26</f>
        <v>0</v>
      </c>
      <c r="AW11" s="301">
        <f>$AU$23*AV11</f>
        <v>0</v>
      </c>
      <c r="AX11" s="92">
        <f t="shared" ref="AX11:AX16" si="11">AZ$26</f>
        <v>0.01</v>
      </c>
      <c r="AY11" s="99">
        <f t="shared" ref="AY11:AY16" si="12">AW11*AX11*(44/28)</f>
        <v>0</v>
      </c>
      <c r="BB11" s="6"/>
      <c r="BC11" s="81" t="s">
        <v>64</v>
      </c>
      <c r="BD11" s="86">
        <f>E39</f>
        <v>24</v>
      </c>
      <c r="BE11" s="87">
        <f>'EF peternakan'!$G$5</f>
        <v>0.47</v>
      </c>
      <c r="BF11" s="87">
        <f>'EF peternakan'!$H$5</f>
        <v>300</v>
      </c>
      <c r="BG11" s="92">
        <f>BE11*(BF11/10^3)*365</f>
        <v>51.464999999999996</v>
      </c>
      <c r="BH11" s="89">
        <f t="shared" ref="BH11:BH16" si="13">BI$26/100</f>
        <v>0.02</v>
      </c>
      <c r="BI11" s="83">
        <f>BD11*BG11*BH11</f>
        <v>24.703199999999999</v>
      </c>
      <c r="BJ11" s="88">
        <v>0.02</v>
      </c>
      <c r="BK11" s="85">
        <f t="shared" ref="BK11:BK21" si="14">BI11*BJ11*(44/28)</f>
        <v>0.7763862857142857</v>
      </c>
      <c r="BS11" s="6"/>
      <c r="BT11" s="81" t="s">
        <v>64</v>
      </c>
      <c r="BU11" s="86">
        <f>BI11</f>
        <v>24.703199999999999</v>
      </c>
      <c r="BV11" s="87">
        <f t="shared" ref="BV11:BV16" si="15">BV26</f>
        <v>0</v>
      </c>
      <c r="BW11" s="301">
        <f>$BU$23*BV11</f>
        <v>0</v>
      </c>
      <c r="BX11" s="92">
        <f t="shared" ref="BX11:BX16" si="16">BZ$26</f>
        <v>0.01</v>
      </c>
      <c r="BY11" s="99">
        <f t="shared" ref="BY11:BY16" si="17">BW11*BX11*(44/28)</f>
        <v>0</v>
      </c>
      <c r="CB11" s="6"/>
      <c r="CC11" s="81" t="s">
        <v>64</v>
      </c>
      <c r="CD11" s="86">
        <f>F39</f>
        <v>51</v>
      </c>
      <c r="CE11" s="87">
        <f>'EF peternakan'!$G$5</f>
        <v>0.47</v>
      </c>
      <c r="CF11" s="87">
        <f>'EF peternakan'!$H$5</f>
        <v>300</v>
      </c>
      <c r="CG11" s="92">
        <f t="shared" ref="CG11:CG21" si="18">CE11*(CF11/10^3)*365</f>
        <v>51.464999999999996</v>
      </c>
      <c r="CH11" s="89">
        <f t="shared" ref="CH11:CH21" si="19">CI$26/100</f>
        <v>0.02</v>
      </c>
      <c r="CI11" s="83">
        <f t="shared" ref="CI11:CI15" si="20">CD11*CG11*CH11</f>
        <v>52.494299999999996</v>
      </c>
      <c r="CJ11" s="88">
        <v>0.02</v>
      </c>
      <c r="CK11" s="85">
        <f t="shared" ref="CK11:CK21" si="21">CI11*CJ11*(44/28)</f>
        <v>1.649820857142857</v>
      </c>
      <c r="CS11" s="6"/>
      <c r="CT11" s="81" t="s">
        <v>64</v>
      </c>
      <c r="CU11" s="86">
        <f>CI11</f>
        <v>52.494299999999996</v>
      </c>
      <c r="CV11" s="87">
        <f t="shared" ref="CV11:CV16" si="22">CV26</f>
        <v>0</v>
      </c>
      <c r="CW11" s="301">
        <f>$CU$23*CV11</f>
        <v>0</v>
      </c>
      <c r="CX11" s="92">
        <f t="shared" ref="CX11:CX16" si="23">CZ$26</f>
        <v>0.01</v>
      </c>
      <c r="CY11" s="99">
        <f t="shared" ref="CY11:CY16" si="24">CW11*CX11*(44/28)</f>
        <v>0</v>
      </c>
      <c r="DB11" s="6"/>
      <c r="DC11" s="81" t="s">
        <v>64</v>
      </c>
      <c r="DD11" s="86">
        <f>G39</f>
        <v>48</v>
      </c>
      <c r="DE11" s="87">
        <f>'EF peternakan'!$G$5</f>
        <v>0.47</v>
      </c>
      <c r="DF11" s="87">
        <f>'EF peternakan'!$H$5</f>
        <v>300</v>
      </c>
      <c r="DG11" s="92">
        <f t="shared" ref="DG11:DG21" si="25">DE11*(DF11/10^3)*365</f>
        <v>51.464999999999996</v>
      </c>
      <c r="DH11" s="89">
        <f t="shared" ref="DH11:DH21" si="26">DI$26/100</f>
        <v>0.02</v>
      </c>
      <c r="DI11" s="83">
        <f t="shared" ref="DI11:DI21" si="27">DD11*DG11*DH11</f>
        <v>49.406399999999998</v>
      </c>
      <c r="DJ11" s="88">
        <v>0.02</v>
      </c>
      <c r="DK11" s="85">
        <f t="shared" ref="DK11:DK15" si="28">DI11*DJ11*(44/28)</f>
        <v>1.5527725714285714</v>
      </c>
      <c r="DS11" s="6"/>
      <c r="DT11" s="81" t="s">
        <v>64</v>
      </c>
      <c r="DU11" s="86">
        <f>DI11</f>
        <v>49.406399999999998</v>
      </c>
      <c r="DV11" s="87">
        <f t="shared" ref="DV11:DV16" si="29">DV26</f>
        <v>0</v>
      </c>
      <c r="DW11" s="301">
        <f>$DU$23*DV11</f>
        <v>0</v>
      </c>
      <c r="DX11" s="92">
        <f t="shared" ref="DX11:DX16" si="30">DZ$26</f>
        <v>0.01</v>
      </c>
      <c r="DY11" s="99">
        <f t="shared" ref="DY11:DY16" si="31">DW11*DX11*(44/28)</f>
        <v>0</v>
      </c>
      <c r="EB11" s="6"/>
      <c r="EC11" s="81" t="s">
        <v>64</v>
      </c>
      <c r="ED11" s="86">
        <f>H39</f>
        <v>62</v>
      </c>
      <c r="EE11" s="87">
        <f>'EF peternakan'!$G$5</f>
        <v>0.47</v>
      </c>
      <c r="EF11" s="87">
        <f>'EF peternakan'!$H$5</f>
        <v>300</v>
      </c>
      <c r="EG11" s="92">
        <f t="shared" ref="EG11:EG21" si="32">EE11*(EF11/10^3)*365</f>
        <v>51.464999999999996</v>
      </c>
      <c r="EH11" s="89">
        <f t="shared" ref="EH11:EH21" si="33">EI$26/100</f>
        <v>0.02</v>
      </c>
      <c r="EI11" s="83">
        <f t="shared" ref="EI11:EI21" si="34">ED11*EG11*EH11</f>
        <v>63.816600000000001</v>
      </c>
      <c r="EJ11" s="88">
        <v>0.02</v>
      </c>
      <c r="EK11" s="85">
        <f t="shared" ref="EK11:EK21" si="35">EI11*EJ11*(44/28)</f>
        <v>2.0056645714285715</v>
      </c>
      <c r="ES11" s="6"/>
      <c r="ET11" s="81" t="s">
        <v>64</v>
      </c>
      <c r="EU11" s="86">
        <f>EI11</f>
        <v>63.816600000000001</v>
      </c>
      <c r="EV11" s="87">
        <f t="shared" ref="EV11:EV16" si="36">EV26</f>
        <v>0</v>
      </c>
      <c r="EW11" s="301">
        <f>$EU$23*EV11</f>
        <v>0</v>
      </c>
      <c r="EX11" s="92">
        <f t="shared" ref="EX11:EX16" si="37">EZ$26</f>
        <v>0.01</v>
      </c>
      <c r="EY11" s="99">
        <f t="shared" ref="EY11:EY16" si="38">EW11*EX11*(44/28)</f>
        <v>0</v>
      </c>
      <c r="FB11" s="6"/>
      <c r="FC11" s="81" t="s">
        <v>64</v>
      </c>
      <c r="FD11" s="86">
        <f>I39</f>
        <v>72</v>
      </c>
      <c r="FE11" s="87">
        <f>'EF peternakan'!$G$5</f>
        <v>0.47</v>
      </c>
      <c r="FF11" s="87">
        <f>'EF peternakan'!$H$5</f>
        <v>300</v>
      </c>
      <c r="FG11" s="92">
        <f t="shared" ref="FG11:FG21" si="39">FE11*(FF11/10^3)*365</f>
        <v>51.464999999999996</v>
      </c>
      <c r="FH11" s="89">
        <f t="shared" ref="FH11:FH21" si="40">FI$26/100</f>
        <v>0.02</v>
      </c>
      <c r="FI11" s="83">
        <f>FD11*FG11*FH11</f>
        <v>74.109599999999986</v>
      </c>
      <c r="FJ11" s="307">
        <f>'EF peternakan'!$C$30</f>
        <v>0</v>
      </c>
      <c r="FK11" s="85">
        <f>FI11*FJ11*(44/28)</f>
        <v>0</v>
      </c>
      <c r="FS11" s="6"/>
      <c r="FT11" s="81" t="s">
        <v>64</v>
      </c>
      <c r="FU11" s="86">
        <f>FI11</f>
        <v>74.109599999999986</v>
      </c>
      <c r="FV11" s="87">
        <f t="shared" ref="FV11:FV16" si="41">FV26</f>
        <v>0</v>
      </c>
      <c r="FW11" s="301">
        <f>$FU$23*FV11</f>
        <v>0</v>
      </c>
      <c r="FX11" s="92">
        <f t="shared" ref="FX11:FX16" si="42">FZ$26</f>
        <v>0.01</v>
      </c>
      <c r="FY11" s="99">
        <f>FW11*FX11*(44/28)</f>
        <v>0</v>
      </c>
      <c r="GB11" s="6"/>
      <c r="GC11" s="81" t="s">
        <v>64</v>
      </c>
      <c r="GD11" s="86">
        <f>J39</f>
        <v>82</v>
      </c>
      <c r="GE11" s="87">
        <f>'EF peternakan'!$G$5</f>
        <v>0.47</v>
      </c>
      <c r="GF11" s="87">
        <f>'EF peternakan'!$H$5</f>
        <v>300</v>
      </c>
      <c r="GG11" s="92">
        <f t="shared" ref="GG11:GG21" si="43">GE11*(GF11/10^3)*365</f>
        <v>51.464999999999996</v>
      </c>
      <c r="GH11" s="89">
        <f t="shared" ref="GH11:GH21" si="44">GI$26/100</f>
        <v>0.02</v>
      </c>
      <c r="GI11" s="83">
        <f t="shared" ref="GI11:GI16" si="45">GD11*GG11*GH11</f>
        <v>84.402600000000007</v>
      </c>
      <c r="GJ11" s="307">
        <f>'EF peternakan'!$C$30</f>
        <v>0</v>
      </c>
      <c r="GK11" s="85">
        <f t="shared" ref="GK11:GK16" si="46">GI11*GJ11*(44/28)</f>
        <v>0</v>
      </c>
      <c r="GS11" s="6"/>
      <c r="GT11" s="81" t="s">
        <v>64</v>
      </c>
      <c r="GU11" s="86">
        <f t="shared" ref="GU11:GU21" si="47">GI11</f>
        <v>84.402600000000007</v>
      </c>
      <c r="GV11" s="87">
        <f t="shared" ref="GV11:GV16" si="48">GV26</f>
        <v>0</v>
      </c>
      <c r="GW11" s="301">
        <f>$GU$23*GV11</f>
        <v>0</v>
      </c>
      <c r="GX11" s="92">
        <f t="shared" ref="GX11:GX16" si="49">GZ$26</f>
        <v>0.01</v>
      </c>
      <c r="GY11" s="99">
        <f t="shared" ref="GY11:GY16" si="50">GW11*GX11*(44/28)</f>
        <v>0</v>
      </c>
      <c r="HB11" s="6"/>
      <c r="HC11" s="81" t="s">
        <v>64</v>
      </c>
      <c r="HD11" s="86">
        <f>K39</f>
        <v>92</v>
      </c>
      <c r="HE11" s="87">
        <f>'EF peternakan'!$G$5</f>
        <v>0.47</v>
      </c>
      <c r="HF11" s="87">
        <f>'EF peternakan'!$H$5</f>
        <v>300</v>
      </c>
      <c r="HG11" s="92">
        <f t="shared" ref="HG11:HG21" si="51">HE11*(HF11/10^3)*365</f>
        <v>51.464999999999996</v>
      </c>
      <c r="HH11" s="89">
        <f t="shared" ref="HH11:HH21" si="52">HI$26/100</f>
        <v>0.02</v>
      </c>
      <c r="HI11" s="83">
        <f t="shared" ref="HI11:HI21" si="53">HD11*HG11*HH11</f>
        <v>94.695599999999999</v>
      </c>
      <c r="HJ11" s="307">
        <f>'EF peternakan'!$C$30</f>
        <v>0</v>
      </c>
      <c r="HK11" s="85">
        <f t="shared" ref="HK11:HK21" si="54">HI11*HJ11*(44/28)</f>
        <v>0</v>
      </c>
      <c r="HS11" s="6"/>
      <c r="HT11" s="81" t="s">
        <v>64</v>
      </c>
      <c r="HU11" s="86">
        <f>HI11</f>
        <v>94.695599999999999</v>
      </c>
      <c r="HV11" s="87">
        <f t="shared" ref="HV11:HV16" si="55">HV26</f>
        <v>0</v>
      </c>
      <c r="HW11" s="301">
        <f>HU23*HV11</f>
        <v>0</v>
      </c>
      <c r="HX11" s="92">
        <f t="shared" ref="HX11:HX16" si="56">HZ$26</f>
        <v>0.01</v>
      </c>
      <c r="HY11" s="99">
        <f t="shared" ref="HY11:HY16" si="57">HW11*HX11*(44/28)</f>
        <v>0</v>
      </c>
      <c r="IB11" s="6"/>
      <c r="IC11" s="81" t="s">
        <v>64</v>
      </c>
      <c r="ID11" s="86">
        <f>L39</f>
        <v>110</v>
      </c>
      <c r="IE11" s="87">
        <f>'EF peternakan'!$G$5</f>
        <v>0.47</v>
      </c>
      <c r="IF11" s="87">
        <f>'EF peternakan'!$H$5</f>
        <v>300</v>
      </c>
      <c r="IG11" s="92">
        <f t="shared" ref="IG11:IG21" si="58">IE11*(IF11/10^3)*365</f>
        <v>51.464999999999996</v>
      </c>
      <c r="IH11" s="89">
        <f t="shared" ref="IH11:IH21" si="59">II$26/100</f>
        <v>0.02</v>
      </c>
      <c r="II11" s="83">
        <f t="shared" ref="II11:II21" si="60">ID11*IG11*IH11</f>
        <v>113.223</v>
      </c>
      <c r="IJ11" s="307">
        <f>'EF peternakan'!$C$30</f>
        <v>0</v>
      </c>
      <c r="IK11" s="85">
        <f t="shared" ref="IK11:IK21" si="61">II11*IJ11*(44/28)</f>
        <v>0</v>
      </c>
      <c r="IS11" s="6"/>
      <c r="IT11" s="81" t="s">
        <v>64</v>
      </c>
      <c r="IU11" s="86">
        <f t="shared" ref="IU11:IU21" si="62">II11</f>
        <v>113.223</v>
      </c>
      <c r="IV11" s="87">
        <f t="shared" ref="IV11:IV16" si="63">IV26</f>
        <v>0</v>
      </c>
      <c r="IW11" s="301">
        <f>$IU$23*IV11</f>
        <v>0</v>
      </c>
      <c r="IX11" s="92">
        <f t="shared" ref="IX11:IX16" si="64">IZ$26</f>
        <v>0.01</v>
      </c>
      <c r="IY11" s="99">
        <f t="shared" ref="IY11:IY16" si="65">IW11*IX11*(44/28)</f>
        <v>0</v>
      </c>
      <c r="JB11" s="6"/>
      <c r="JC11" s="81" t="s">
        <v>64</v>
      </c>
      <c r="JD11" s="86">
        <f>M39</f>
        <v>0</v>
      </c>
      <c r="JE11" s="87">
        <f>'EF peternakan'!$G$5</f>
        <v>0.47</v>
      </c>
      <c r="JF11" s="87">
        <f>'EF peternakan'!$H$5</f>
        <v>300</v>
      </c>
      <c r="JG11" s="92">
        <f t="shared" ref="JG11:JG21" si="66">JE11*(JF11/10^3)*365</f>
        <v>51.464999999999996</v>
      </c>
      <c r="JH11" s="89">
        <f t="shared" ref="JH11:JH21" si="67">JI$26/100</f>
        <v>0.02</v>
      </c>
      <c r="JI11" s="83">
        <f t="shared" ref="JI11:JI21" si="68">JD11*JG11*JH11</f>
        <v>0</v>
      </c>
      <c r="JJ11" s="307">
        <f>'EF peternakan'!$C$30</f>
        <v>0</v>
      </c>
      <c r="JK11" s="85">
        <f t="shared" ref="JK11:JK21" si="69">JI11*JJ11*(44/28)</f>
        <v>0</v>
      </c>
      <c r="JS11" s="6"/>
      <c r="JT11" s="81" t="s">
        <v>64</v>
      </c>
      <c r="JU11" s="86">
        <f t="shared" ref="JU11:JU21" si="70">JI11</f>
        <v>0</v>
      </c>
      <c r="JV11" s="87">
        <f t="shared" ref="JV11:JV16" si="71">JV26</f>
        <v>0</v>
      </c>
      <c r="JW11" s="91">
        <f>$JU$23*JV11</f>
        <v>0</v>
      </c>
      <c r="JX11" s="92">
        <f t="shared" ref="JX11:JX16" si="72">JZ$26</f>
        <v>0.01</v>
      </c>
      <c r="JY11" s="99">
        <f t="shared" ref="JY11:JY16" si="73">JW11*JX11*(44/28)</f>
        <v>0</v>
      </c>
    </row>
    <row r="12" spans="1:285" x14ac:dyDescent="0.25">
      <c r="B12" s="6"/>
      <c r="C12" s="81" t="s">
        <v>71</v>
      </c>
      <c r="D12" s="86">
        <f t="shared" ref="D12:D16" si="74">C40</f>
        <v>15022</v>
      </c>
      <c r="E12" s="87">
        <f>'EF peternakan'!$G$6</f>
        <v>0.34</v>
      </c>
      <c r="F12" s="294">
        <f>'EF peternakan'!$H$6</f>
        <v>250</v>
      </c>
      <c r="G12" s="92">
        <f>E12*(F12/10^3)*365</f>
        <v>31.025000000000002</v>
      </c>
      <c r="H12" s="89">
        <f t="shared" ref="H12:H21" si="75">I$26/100</f>
        <v>0.02</v>
      </c>
      <c r="I12" s="83">
        <f>D12*G12*H12</f>
        <v>9321.1510000000017</v>
      </c>
      <c r="J12" s="88">
        <v>0.02</v>
      </c>
      <c r="K12" s="85">
        <f t="shared" si="0"/>
        <v>292.95046000000008</v>
      </c>
      <c r="S12" s="6"/>
      <c r="T12" s="81" t="s">
        <v>71</v>
      </c>
      <c r="U12" s="86">
        <f t="shared" si="1"/>
        <v>9321.1510000000017</v>
      </c>
      <c r="V12" s="87">
        <f t="shared" ref="V12:V15" si="76">V27</f>
        <v>0.3</v>
      </c>
      <c r="W12" s="301">
        <f>$U$23*V12</f>
        <v>15309.7910742</v>
      </c>
      <c r="X12" s="92">
        <f t="shared" si="3"/>
        <v>0.01</v>
      </c>
      <c r="Y12" s="99">
        <f t="shared" si="4"/>
        <v>240.58243116600002</v>
      </c>
      <c r="AB12" s="6"/>
      <c r="AC12" s="81" t="s">
        <v>71</v>
      </c>
      <c r="AD12" s="86">
        <f t="shared" ref="AD12:AD20" si="77">D40</f>
        <v>15983</v>
      </c>
      <c r="AE12" s="87">
        <f>'EF peternakan'!$G$6</f>
        <v>0.34</v>
      </c>
      <c r="AF12" s="87">
        <f>'EF peternakan'!$H$6</f>
        <v>250</v>
      </c>
      <c r="AG12" s="92">
        <f t="shared" si="5"/>
        <v>31.025000000000002</v>
      </c>
      <c r="AH12" s="89">
        <f t="shared" si="6"/>
        <v>0.02</v>
      </c>
      <c r="AI12" s="83">
        <f t="shared" si="7"/>
        <v>9917.451500000001</v>
      </c>
      <c r="AJ12" s="88">
        <v>0.02</v>
      </c>
      <c r="AK12" s="85">
        <f t="shared" si="8"/>
        <v>311.69133285714287</v>
      </c>
      <c r="AS12" s="6"/>
      <c r="AT12" s="81" t="s">
        <v>71</v>
      </c>
      <c r="AU12" s="86">
        <f t="shared" si="9"/>
        <v>9917.451500000001</v>
      </c>
      <c r="AV12" s="87">
        <f t="shared" si="10"/>
        <v>0.3</v>
      </c>
      <c r="AW12" s="301">
        <f t="shared" ref="AW12:AW16" si="78">$AU$23*AV12</f>
        <v>16363.3430028</v>
      </c>
      <c r="AX12" s="92">
        <f t="shared" si="11"/>
        <v>0.01</v>
      </c>
      <c r="AY12" s="99">
        <f t="shared" si="12"/>
        <v>257.13824718685714</v>
      </c>
      <c r="BB12" s="6"/>
      <c r="BC12" s="81" t="s">
        <v>71</v>
      </c>
      <c r="BD12" s="86">
        <f t="shared" ref="BD12:BD16" si="79">E40</f>
        <v>17177</v>
      </c>
      <c r="BE12" s="87">
        <f>'EF peternakan'!$G$6</f>
        <v>0.34</v>
      </c>
      <c r="BF12" s="87">
        <f>'EF peternakan'!$H$6</f>
        <v>250</v>
      </c>
      <c r="BG12" s="92">
        <f t="shared" ref="BG12:BG16" si="80">BE12*(BF12/10^3)*365</f>
        <v>31.025000000000002</v>
      </c>
      <c r="BH12" s="89">
        <f t="shared" si="13"/>
        <v>0.02</v>
      </c>
      <c r="BI12" s="83">
        <f t="shared" ref="BI12" si="81">BD12*BG12*BH12</f>
        <v>10658.328500000001</v>
      </c>
      <c r="BJ12" s="88">
        <v>0.02</v>
      </c>
      <c r="BK12" s="85">
        <f t="shared" si="14"/>
        <v>334.9760385714286</v>
      </c>
      <c r="BS12" s="6"/>
      <c r="BT12" s="81" t="s">
        <v>71</v>
      </c>
      <c r="BU12" s="86">
        <f t="shared" ref="BU12:BU15" si="82">BI12</f>
        <v>10658.328500000001</v>
      </c>
      <c r="BV12" s="87">
        <f t="shared" si="15"/>
        <v>0.3</v>
      </c>
      <c r="BW12" s="301">
        <f t="shared" ref="BW12:BW16" si="83">$BU$23*BV12</f>
        <v>16207.504748999998</v>
      </c>
      <c r="BX12" s="92">
        <f t="shared" si="16"/>
        <v>0.01</v>
      </c>
      <c r="BY12" s="99">
        <f t="shared" si="17"/>
        <v>254.68936034142854</v>
      </c>
      <c r="CB12" s="6"/>
      <c r="CC12" s="81" t="s">
        <v>71</v>
      </c>
      <c r="CD12" s="86">
        <f t="shared" ref="CD12:CD16" si="84">F40</f>
        <v>17406</v>
      </c>
      <c r="CE12" s="87">
        <f>'EF peternakan'!$G$6</f>
        <v>0.34</v>
      </c>
      <c r="CF12" s="87">
        <f>'EF peternakan'!$H$6</f>
        <v>250</v>
      </c>
      <c r="CG12" s="92">
        <f t="shared" si="18"/>
        <v>31.025000000000002</v>
      </c>
      <c r="CH12" s="89">
        <f t="shared" si="19"/>
        <v>0.02</v>
      </c>
      <c r="CI12" s="83">
        <f t="shared" si="20"/>
        <v>10800.423000000001</v>
      </c>
      <c r="CJ12" s="88">
        <v>0.02</v>
      </c>
      <c r="CK12" s="85">
        <f t="shared" si="21"/>
        <v>339.44186571428571</v>
      </c>
      <c r="CS12" s="6"/>
      <c r="CT12" s="81" t="s">
        <v>71</v>
      </c>
      <c r="CU12" s="86">
        <f>CI12</f>
        <v>10800.423000000001</v>
      </c>
      <c r="CV12" s="87">
        <f t="shared" si="22"/>
        <v>0.3</v>
      </c>
      <c r="CW12" s="301">
        <f t="shared" ref="CW12:CW16" si="85">$CU$23*CV12</f>
        <v>18348.811566299999</v>
      </c>
      <c r="CX12" s="92">
        <f t="shared" si="23"/>
        <v>0.01</v>
      </c>
      <c r="CY12" s="99">
        <f t="shared" si="24"/>
        <v>288.33846747042855</v>
      </c>
      <c r="DB12" s="6"/>
      <c r="DC12" s="81" t="s">
        <v>71</v>
      </c>
      <c r="DD12" s="86">
        <f t="shared" ref="DD12:DD16" si="86">G40</f>
        <v>17977</v>
      </c>
      <c r="DE12" s="87">
        <f>'EF peternakan'!$G$6</f>
        <v>0.34</v>
      </c>
      <c r="DF12" s="87">
        <f>'EF peternakan'!$H$6</f>
        <v>250</v>
      </c>
      <c r="DG12" s="92">
        <f t="shared" si="25"/>
        <v>31.025000000000002</v>
      </c>
      <c r="DH12" s="89">
        <f t="shared" si="26"/>
        <v>0.02</v>
      </c>
      <c r="DI12" s="83">
        <f t="shared" si="27"/>
        <v>11154.728500000001</v>
      </c>
      <c r="DJ12" s="88">
        <v>0.02</v>
      </c>
      <c r="DK12" s="85">
        <f t="shared" si="28"/>
        <v>350.57718142857146</v>
      </c>
      <c r="DS12" s="6"/>
      <c r="DT12" s="81" t="s">
        <v>71</v>
      </c>
      <c r="DU12" s="86">
        <f t="shared" ref="DU12:DU15" si="87">DI12</f>
        <v>11154.728500000001</v>
      </c>
      <c r="DV12" s="87">
        <f t="shared" si="29"/>
        <v>0.3</v>
      </c>
      <c r="DW12" s="301">
        <f t="shared" ref="DW12:DW16" si="88">$DU$23*DV12</f>
        <v>25519.982728500006</v>
      </c>
      <c r="DX12" s="92">
        <f t="shared" si="30"/>
        <v>0.01</v>
      </c>
      <c r="DY12" s="99">
        <f t="shared" si="31"/>
        <v>401.02830001928584</v>
      </c>
      <c r="EB12" s="6"/>
      <c r="EC12" s="81" t="s">
        <v>71</v>
      </c>
      <c r="ED12" s="86">
        <f t="shared" ref="ED12:ED21" si="89">H40</f>
        <v>19118</v>
      </c>
      <c r="EE12" s="87">
        <f>'EF peternakan'!$G$6</f>
        <v>0.34</v>
      </c>
      <c r="EF12" s="87">
        <f>'EF peternakan'!$H$6</f>
        <v>250</v>
      </c>
      <c r="EG12" s="92">
        <f t="shared" si="32"/>
        <v>31.025000000000002</v>
      </c>
      <c r="EH12" s="89">
        <f t="shared" si="33"/>
        <v>0.02</v>
      </c>
      <c r="EI12" s="83">
        <f t="shared" si="34"/>
        <v>11862.719000000001</v>
      </c>
      <c r="EJ12" s="88">
        <v>0.02</v>
      </c>
      <c r="EK12" s="85">
        <f t="shared" si="35"/>
        <v>372.82831142857145</v>
      </c>
      <c r="ES12" s="6"/>
      <c r="ET12" s="81" t="s">
        <v>71</v>
      </c>
      <c r="EU12" s="86">
        <f>EI12</f>
        <v>11862.719000000001</v>
      </c>
      <c r="EV12" s="87">
        <f t="shared" si="36"/>
        <v>0.3</v>
      </c>
      <c r="EW12" s="301">
        <f t="shared" ref="EW12:EW16" si="90">$EU$23*EV12</f>
        <v>15686.7544602</v>
      </c>
      <c r="EX12" s="92">
        <f t="shared" si="37"/>
        <v>0.01</v>
      </c>
      <c r="EY12" s="99">
        <f t="shared" si="38"/>
        <v>246.50614151742857</v>
      </c>
      <c r="FB12" s="6"/>
      <c r="FC12" s="81" t="s">
        <v>71</v>
      </c>
      <c r="FD12" s="86">
        <f t="shared" ref="FD12:FD21" si="91">I40</f>
        <v>19665.814975404744</v>
      </c>
      <c r="FE12" s="87">
        <f>'EF peternakan'!$G$6</f>
        <v>0.34</v>
      </c>
      <c r="FF12" s="87">
        <f>'EF peternakan'!$H$6</f>
        <v>250</v>
      </c>
      <c r="FG12" s="92">
        <f t="shared" si="39"/>
        <v>31.025000000000002</v>
      </c>
      <c r="FH12" s="89">
        <f t="shared" si="40"/>
        <v>0.02</v>
      </c>
      <c r="FI12" s="83">
        <f t="shared" ref="FI12:FI16" si="92">FD12*FG12*FH12</f>
        <v>12202.638192238644</v>
      </c>
      <c r="FJ12" s="307">
        <f>'EF peternakan'!$C$30</f>
        <v>0</v>
      </c>
      <c r="FK12" s="85">
        <f t="shared" ref="FK12:FK16" si="93">FI12*FJ12*(44/28)</f>
        <v>0</v>
      </c>
      <c r="FS12" s="6"/>
      <c r="FT12" s="81" t="s">
        <v>71</v>
      </c>
      <c r="FU12" s="86">
        <f t="shared" ref="FU12:FU21" si="94">FI12</f>
        <v>12202.638192238644</v>
      </c>
      <c r="FV12" s="87">
        <f t="shared" si="41"/>
        <v>0.3</v>
      </c>
      <c r="FW12" s="301">
        <f t="shared" ref="FW12:FW16" si="95">$FU$23*FV12</f>
        <v>16400.960967671592</v>
      </c>
      <c r="FX12" s="92">
        <f t="shared" si="42"/>
        <v>0.01</v>
      </c>
      <c r="FY12" s="99">
        <f t="shared" ref="FY12:FY16" si="96">FW12*FX12*(44/28)</f>
        <v>257.72938663483927</v>
      </c>
      <c r="GB12" s="6"/>
      <c r="GC12" s="81" t="s">
        <v>71</v>
      </c>
      <c r="GD12" s="86">
        <f t="shared" ref="GD12:GD21" si="97">J40</f>
        <v>20568.816986462403</v>
      </c>
      <c r="GE12" s="87">
        <f>'EF peternakan'!$G$6</f>
        <v>0.34</v>
      </c>
      <c r="GF12" s="87">
        <f>'EF peternakan'!$H$6</f>
        <v>250</v>
      </c>
      <c r="GG12" s="92">
        <f t="shared" si="43"/>
        <v>31.025000000000002</v>
      </c>
      <c r="GH12" s="89">
        <f t="shared" si="44"/>
        <v>0.02</v>
      </c>
      <c r="GI12" s="83">
        <f t="shared" si="45"/>
        <v>12762.950940099923</v>
      </c>
      <c r="GJ12" s="307">
        <f>'EF peternakan'!$C$30</f>
        <v>0</v>
      </c>
      <c r="GK12" s="85">
        <f t="shared" si="46"/>
        <v>0</v>
      </c>
      <c r="GS12" s="6"/>
      <c r="GT12" s="81" t="s">
        <v>71</v>
      </c>
      <c r="GU12" s="86">
        <f>GI12</f>
        <v>12762.950940099923</v>
      </c>
      <c r="GV12" s="87">
        <f t="shared" si="48"/>
        <v>0.3</v>
      </c>
      <c r="GW12" s="301">
        <f t="shared" ref="GW12:GW16" si="98">$GU$23*GV12</f>
        <v>17223.838380629975</v>
      </c>
      <c r="GX12" s="92">
        <f t="shared" si="49"/>
        <v>0.01</v>
      </c>
      <c r="GY12" s="99">
        <f t="shared" si="50"/>
        <v>270.66031740989962</v>
      </c>
      <c r="HB12" s="6"/>
      <c r="HC12" s="81" t="s">
        <v>71</v>
      </c>
      <c r="HD12" s="86">
        <f t="shared" ref="HD12:HD21" si="99">K40</f>
        <v>21513.282452403269</v>
      </c>
      <c r="HE12" s="87">
        <f>'EF peternakan'!$G$6</f>
        <v>0.34</v>
      </c>
      <c r="HF12" s="87">
        <f>'EF peternakan'!$H$6</f>
        <v>250</v>
      </c>
      <c r="HG12" s="92">
        <f t="shared" si="51"/>
        <v>31.025000000000002</v>
      </c>
      <c r="HH12" s="89">
        <f t="shared" si="52"/>
        <v>0.02</v>
      </c>
      <c r="HI12" s="83">
        <f t="shared" si="53"/>
        <v>13348.99176171623</v>
      </c>
      <c r="HJ12" s="307">
        <f>'EF peternakan'!$C$30</f>
        <v>0</v>
      </c>
      <c r="HK12" s="85">
        <f t="shared" si="54"/>
        <v>0</v>
      </c>
      <c r="HS12" s="6"/>
      <c r="HT12" s="81" t="s">
        <v>71</v>
      </c>
      <c r="HU12" s="86">
        <f t="shared" ref="HU12:HU21" si="100">HI12</f>
        <v>13348.99176171623</v>
      </c>
      <c r="HV12" s="87">
        <f t="shared" si="55"/>
        <v>0.3</v>
      </c>
      <c r="HW12" s="91">
        <f t="shared" ref="HW12:HW16" si="101">HU12*HV12</f>
        <v>4004.6975285148687</v>
      </c>
      <c r="HX12" s="92">
        <f t="shared" si="56"/>
        <v>0.01</v>
      </c>
      <c r="HY12" s="99">
        <f t="shared" si="57"/>
        <v>62.930961162376512</v>
      </c>
      <c r="IB12" s="6"/>
      <c r="IC12" s="81" t="s">
        <v>71</v>
      </c>
      <c r="ID12" s="86">
        <f t="shared" ref="ID12:ID21" si="102">L40</f>
        <v>22457.747918344099</v>
      </c>
      <c r="IE12" s="87">
        <f>'EF peternakan'!$G$6</f>
        <v>0.34</v>
      </c>
      <c r="IF12" s="87">
        <f>'EF peternakan'!$H$6</f>
        <v>250</v>
      </c>
      <c r="IG12" s="92">
        <f t="shared" si="58"/>
        <v>31.025000000000002</v>
      </c>
      <c r="IH12" s="89">
        <f t="shared" si="59"/>
        <v>0.02</v>
      </c>
      <c r="II12" s="83">
        <f t="shared" si="60"/>
        <v>13935.032583332513</v>
      </c>
      <c r="IJ12" s="307">
        <f>'EF peternakan'!$C$30</f>
        <v>0</v>
      </c>
      <c r="IK12" s="85">
        <f t="shared" si="61"/>
        <v>0</v>
      </c>
      <c r="IS12" s="6"/>
      <c r="IT12" s="81" t="s">
        <v>71</v>
      </c>
      <c r="IU12" s="86">
        <f t="shared" si="62"/>
        <v>13935.032583332513</v>
      </c>
      <c r="IV12" s="87">
        <f t="shared" si="63"/>
        <v>0.3</v>
      </c>
      <c r="IW12" s="301">
        <f t="shared" ref="IW12:IW16" si="103">$IU$23*IV12</f>
        <v>18532.799999199753</v>
      </c>
      <c r="IX12" s="92">
        <f t="shared" si="64"/>
        <v>0.01</v>
      </c>
      <c r="IY12" s="99">
        <f t="shared" si="65"/>
        <v>291.229714273139</v>
      </c>
      <c r="JB12" s="6"/>
      <c r="JC12" s="81" t="s">
        <v>71</v>
      </c>
      <c r="JD12" s="86">
        <f t="shared" ref="JD12:JD21" si="104">M40</f>
        <v>0</v>
      </c>
      <c r="JE12" s="87">
        <f>'EF peternakan'!$G$6</f>
        <v>0.34</v>
      </c>
      <c r="JF12" s="87">
        <f>'EF peternakan'!$H$6</f>
        <v>250</v>
      </c>
      <c r="JG12" s="92">
        <f t="shared" si="66"/>
        <v>31.025000000000002</v>
      </c>
      <c r="JH12" s="89">
        <f t="shared" si="67"/>
        <v>0.02</v>
      </c>
      <c r="JI12" s="83">
        <f t="shared" si="68"/>
        <v>0</v>
      </c>
      <c r="JJ12" s="307">
        <f>'EF peternakan'!$C$30</f>
        <v>0</v>
      </c>
      <c r="JK12" s="85">
        <f t="shared" si="69"/>
        <v>0</v>
      </c>
      <c r="JS12" s="6"/>
      <c r="JT12" s="81" t="s">
        <v>71</v>
      </c>
      <c r="JU12" s="86">
        <f t="shared" si="70"/>
        <v>0</v>
      </c>
      <c r="JV12" s="87">
        <f t="shared" si="71"/>
        <v>0.3</v>
      </c>
      <c r="JW12" s="91">
        <f t="shared" ref="JW12:JW16" si="105">$JU$23*JV12</f>
        <v>0</v>
      </c>
      <c r="JX12" s="92">
        <f t="shared" si="72"/>
        <v>0.01</v>
      </c>
      <c r="JY12" s="99">
        <f t="shared" si="73"/>
        <v>0</v>
      </c>
    </row>
    <row r="13" spans="1:285" x14ac:dyDescent="0.25">
      <c r="B13" s="6"/>
      <c r="C13" s="81" t="s">
        <v>22</v>
      </c>
      <c r="D13" s="86">
        <f t="shared" si="74"/>
        <v>787</v>
      </c>
      <c r="E13" s="87">
        <f>'EF peternakan'!$G$17</f>
        <v>0.32</v>
      </c>
      <c r="F13" s="294">
        <f>'EF peternakan'!$H$17</f>
        <v>300</v>
      </c>
      <c r="G13" s="92">
        <f t="shared" ref="G13:G21" si="106">E13*(F13/10^3)*365</f>
        <v>35.04</v>
      </c>
      <c r="H13" s="89">
        <f t="shared" si="75"/>
        <v>0.02</v>
      </c>
      <c r="I13" s="83">
        <f t="shared" ref="I13:I20" si="107">D13*G13*H13</f>
        <v>551.52959999999996</v>
      </c>
      <c r="J13" s="88">
        <v>0.02</v>
      </c>
      <c r="K13" s="85">
        <f t="shared" si="0"/>
        <v>17.333787428571426</v>
      </c>
      <c r="S13" s="6"/>
      <c r="T13" s="81" t="s">
        <v>22</v>
      </c>
      <c r="U13" s="86">
        <f t="shared" si="1"/>
        <v>551.52959999999996</v>
      </c>
      <c r="V13" s="87">
        <f t="shared" si="76"/>
        <v>0</v>
      </c>
      <c r="W13" s="301">
        <f t="shared" si="2"/>
        <v>0</v>
      </c>
      <c r="X13" s="92">
        <f t="shared" si="3"/>
        <v>0.01</v>
      </c>
      <c r="Y13" s="99">
        <f t="shared" si="4"/>
        <v>0</v>
      </c>
      <c r="AB13" s="6"/>
      <c r="AC13" s="81" t="s">
        <v>22</v>
      </c>
      <c r="AD13" s="86">
        <f t="shared" si="77"/>
        <v>779</v>
      </c>
      <c r="AE13" s="87">
        <f>'EF peternakan'!$G$17</f>
        <v>0.32</v>
      </c>
      <c r="AF13" s="87">
        <f>'EF peternakan'!$H$17</f>
        <v>300</v>
      </c>
      <c r="AG13" s="92">
        <f t="shared" si="5"/>
        <v>35.04</v>
      </c>
      <c r="AH13" s="89">
        <f t="shared" si="6"/>
        <v>0.02</v>
      </c>
      <c r="AI13" s="83">
        <f t="shared" si="7"/>
        <v>545.92319999999995</v>
      </c>
      <c r="AJ13" s="88">
        <v>0.02</v>
      </c>
      <c r="AK13" s="85">
        <f t="shared" si="8"/>
        <v>17.157586285714284</v>
      </c>
      <c r="AS13" s="6"/>
      <c r="AT13" s="81" t="s">
        <v>22</v>
      </c>
      <c r="AU13" s="86">
        <f t="shared" si="9"/>
        <v>545.92319999999995</v>
      </c>
      <c r="AV13" s="87">
        <f t="shared" si="10"/>
        <v>0</v>
      </c>
      <c r="AW13" s="301">
        <f t="shared" si="78"/>
        <v>0</v>
      </c>
      <c r="AX13" s="92">
        <f t="shared" si="11"/>
        <v>0.01</v>
      </c>
      <c r="AY13" s="99">
        <f t="shared" si="12"/>
        <v>0</v>
      </c>
      <c r="BB13" s="6"/>
      <c r="BC13" s="81" t="s">
        <v>22</v>
      </c>
      <c r="BD13" s="86">
        <f t="shared" si="79"/>
        <v>682</v>
      </c>
      <c r="BE13" s="87">
        <f>'EF peternakan'!$G$17</f>
        <v>0.32</v>
      </c>
      <c r="BF13" s="87">
        <f>'EF peternakan'!$H$17</f>
        <v>300</v>
      </c>
      <c r="BG13" s="92">
        <f t="shared" si="80"/>
        <v>35.04</v>
      </c>
      <c r="BH13" s="89">
        <f t="shared" si="13"/>
        <v>0.02</v>
      </c>
      <c r="BI13" s="83">
        <f t="shared" ref="BI13:BI21" si="108">BD13*BG13*BH13</f>
        <v>477.94560000000001</v>
      </c>
      <c r="BJ13" s="88">
        <v>0.02</v>
      </c>
      <c r="BK13" s="85">
        <f t="shared" si="14"/>
        <v>15.02114742857143</v>
      </c>
      <c r="BS13" s="6"/>
      <c r="BT13" s="81" t="s">
        <v>22</v>
      </c>
      <c r="BU13" s="86">
        <f t="shared" si="82"/>
        <v>477.94560000000001</v>
      </c>
      <c r="BV13" s="87">
        <f t="shared" si="15"/>
        <v>0</v>
      </c>
      <c r="BW13" s="301">
        <f t="shared" si="83"/>
        <v>0</v>
      </c>
      <c r="BX13" s="92">
        <f t="shared" si="16"/>
        <v>0.01</v>
      </c>
      <c r="BY13" s="99">
        <f t="shared" si="17"/>
        <v>0</v>
      </c>
      <c r="CB13" s="6"/>
      <c r="CC13" s="81" t="s">
        <v>22</v>
      </c>
      <c r="CD13" s="86">
        <f t="shared" si="84"/>
        <v>617</v>
      </c>
      <c r="CE13" s="87">
        <f>'EF peternakan'!$G$17</f>
        <v>0.32</v>
      </c>
      <c r="CF13" s="87">
        <f>'EF peternakan'!$H$17</f>
        <v>300</v>
      </c>
      <c r="CG13" s="92">
        <f t="shared" si="18"/>
        <v>35.04</v>
      </c>
      <c r="CH13" s="89">
        <f t="shared" si="19"/>
        <v>0.02</v>
      </c>
      <c r="CI13" s="83">
        <f t="shared" si="20"/>
        <v>432.39359999999999</v>
      </c>
      <c r="CJ13" s="88">
        <v>0.02</v>
      </c>
      <c r="CK13" s="85">
        <f t="shared" si="21"/>
        <v>13.589513142857141</v>
      </c>
      <c r="CS13" s="6"/>
      <c r="CT13" s="81" t="s">
        <v>22</v>
      </c>
      <c r="CU13" s="86">
        <f t="shared" ref="CU13:CU15" si="109">CI13</f>
        <v>432.39359999999999</v>
      </c>
      <c r="CV13" s="87">
        <f t="shared" si="22"/>
        <v>0</v>
      </c>
      <c r="CW13" s="301">
        <f t="shared" si="85"/>
        <v>0</v>
      </c>
      <c r="CX13" s="92">
        <f t="shared" si="23"/>
        <v>0.01</v>
      </c>
      <c r="CY13" s="99">
        <f t="shared" si="24"/>
        <v>0</v>
      </c>
      <c r="DB13" s="6"/>
      <c r="DC13" s="81" t="s">
        <v>22</v>
      </c>
      <c r="DD13" s="86">
        <f t="shared" si="86"/>
        <v>715</v>
      </c>
      <c r="DE13" s="87">
        <f>'EF peternakan'!$G$17</f>
        <v>0.32</v>
      </c>
      <c r="DF13" s="87">
        <f>'EF peternakan'!$H$17</f>
        <v>300</v>
      </c>
      <c r="DG13" s="92">
        <f t="shared" si="25"/>
        <v>35.04</v>
      </c>
      <c r="DH13" s="89">
        <f t="shared" si="26"/>
        <v>0.02</v>
      </c>
      <c r="DI13" s="83">
        <f t="shared" si="27"/>
        <v>501.072</v>
      </c>
      <c r="DJ13" s="88">
        <v>0.02</v>
      </c>
      <c r="DK13" s="85">
        <f t="shared" si="28"/>
        <v>15.747977142857144</v>
      </c>
      <c r="DS13" s="6"/>
      <c r="DT13" s="81" t="s">
        <v>22</v>
      </c>
      <c r="DU13" s="86">
        <f t="shared" si="87"/>
        <v>501.072</v>
      </c>
      <c r="DV13" s="87">
        <f t="shared" si="29"/>
        <v>0</v>
      </c>
      <c r="DW13" s="301">
        <f t="shared" si="88"/>
        <v>0</v>
      </c>
      <c r="DX13" s="92">
        <f t="shared" si="30"/>
        <v>0.01</v>
      </c>
      <c r="DY13" s="99">
        <f t="shared" si="31"/>
        <v>0</v>
      </c>
      <c r="EB13" s="6"/>
      <c r="EC13" s="81" t="s">
        <v>22</v>
      </c>
      <c r="ED13" s="86">
        <f t="shared" si="89"/>
        <v>777</v>
      </c>
      <c r="EE13" s="87">
        <f>'EF peternakan'!$G$17</f>
        <v>0.32</v>
      </c>
      <c r="EF13" s="87">
        <f>'EF peternakan'!$H$17</f>
        <v>300</v>
      </c>
      <c r="EG13" s="92">
        <f t="shared" si="32"/>
        <v>35.04</v>
      </c>
      <c r="EH13" s="89">
        <f t="shared" si="33"/>
        <v>0.02</v>
      </c>
      <c r="EI13" s="83">
        <f t="shared" si="34"/>
        <v>544.52159999999992</v>
      </c>
      <c r="EJ13" s="88">
        <v>0.02</v>
      </c>
      <c r="EK13" s="85">
        <f t="shared" si="35"/>
        <v>17.113535999999996</v>
      </c>
      <c r="ES13" s="6"/>
      <c r="ET13" s="81" t="s">
        <v>22</v>
      </c>
      <c r="EU13" s="86">
        <f>EI13</f>
        <v>544.52159999999992</v>
      </c>
      <c r="EV13" s="87">
        <f t="shared" si="36"/>
        <v>0</v>
      </c>
      <c r="EW13" s="301">
        <f t="shared" si="90"/>
        <v>0</v>
      </c>
      <c r="EX13" s="92">
        <f t="shared" si="37"/>
        <v>0.01</v>
      </c>
      <c r="EY13" s="99">
        <f t="shared" si="38"/>
        <v>0</v>
      </c>
      <c r="FB13" s="6"/>
      <c r="FC13" s="81" t="s">
        <v>22</v>
      </c>
      <c r="FD13" s="86">
        <f t="shared" si="91"/>
        <v>870</v>
      </c>
      <c r="FE13" s="87">
        <f>'EF peternakan'!$G$17</f>
        <v>0.32</v>
      </c>
      <c r="FF13" s="87">
        <f>'EF peternakan'!$H$17</f>
        <v>300</v>
      </c>
      <c r="FG13" s="92">
        <f t="shared" si="39"/>
        <v>35.04</v>
      </c>
      <c r="FH13" s="89">
        <f t="shared" si="40"/>
        <v>0.02</v>
      </c>
      <c r="FI13" s="83">
        <f t="shared" si="92"/>
        <v>609.69600000000003</v>
      </c>
      <c r="FJ13" s="307">
        <f>'EF peternakan'!$C$30</f>
        <v>0</v>
      </c>
      <c r="FK13" s="85">
        <f t="shared" si="93"/>
        <v>0</v>
      </c>
      <c r="FS13" s="6"/>
      <c r="FT13" s="81" t="s">
        <v>22</v>
      </c>
      <c r="FU13" s="86">
        <f t="shared" si="94"/>
        <v>609.69600000000003</v>
      </c>
      <c r="FV13" s="87">
        <f t="shared" si="41"/>
        <v>0</v>
      </c>
      <c r="FW13" s="301">
        <f t="shared" si="95"/>
        <v>0</v>
      </c>
      <c r="FX13" s="92">
        <f t="shared" si="42"/>
        <v>0.01</v>
      </c>
      <c r="FY13" s="99">
        <f t="shared" si="96"/>
        <v>0</v>
      </c>
      <c r="GB13" s="6"/>
      <c r="GC13" s="81" t="s">
        <v>22</v>
      </c>
      <c r="GD13" s="86">
        <f t="shared" si="97"/>
        <v>899</v>
      </c>
      <c r="GE13" s="87">
        <f>'EF peternakan'!$G$17</f>
        <v>0.32</v>
      </c>
      <c r="GF13" s="87">
        <f>'EF peternakan'!$H$17</f>
        <v>300</v>
      </c>
      <c r="GG13" s="92">
        <f t="shared" si="43"/>
        <v>35.04</v>
      </c>
      <c r="GH13" s="89">
        <f t="shared" si="44"/>
        <v>0.02</v>
      </c>
      <c r="GI13" s="83">
        <f t="shared" si="45"/>
        <v>630.01919999999996</v>
      </c>
      <c r="GJ13" s="307">
        <f>'EF peternakan'!$C$30</f>
        <v>0</v>
      </c>
      <c r="GK13" s="85">
        <f t="shared" si="46"/>
        <v>0</v>
      </c>
      <c r="GS13" s="6"/>
      <c r="GT13" s="81" t="s">
        <v>22</v>
      </c>
      <c r="GU13" s="86">
        <f t="shared" si="47"/>
        <v>630.01919999999996</v>
      </c>
      <c r="GV13" s="87">
        <f t="shared" si="48"/>
        <v>0</v>
      </c>
      <c r="GW13" s="301">
        <f t="shared" si="98"/>
        <v>0</v>
      </c>
      <c r="GX13" s="92">
        <f t="shared" si="49"/>
        <v>0.01</v>
      </c>
      <c r="GY13" s="99">
        <f t="shared" si="50"/>
        <v>0</v>
      </c>
      <c r="HB13" s="6"/>
      <c r="HC13" s="81" t="s">
        <v>22</v>
      </c>
      <c r="HD13" s="86">
        <f t="shared" si="99"/>
        <v>1016</v>
      </c>
      <c r="HE13" s="87">
        <f>'EF peternakan'!$G$17</f>
        <v>0.32</v>
      </c>
      <c r="HF13" s="87">
        <f>'EF peternakan'!$H$17</f>
        <v>300</v>
      </c>
      <c r="HG13" s="92">
        <f t="shared" si="51"/>
        <v>35.04</v>
      </c>
      <c r="HH13" s="89">
        <f t="shared" si="52"/>
        <v>0.02</v>
      </c>
      <c r="HI13" s="83">
        <f t="shared" si="53"/>
        <v>712.01279999999997</v>
      </c>
      <c r="HJ13" s="307">
        <f>'EF peternakan'!$C$30</f>
        <v>0</v>
      </c>
      <c r="HK13" s="85">
        <f t="shared" si="54"/>
        <v>0</v>
      </c>
      <c r="HS13" s="6"/>
      <c r="HT13" s="81" t="s">
        <v>22</v>
      </c>
      <c r="HU13" s="86">
        <f t="shared" si="100"/>
        <v>712.01279999999997</v>
      </c>
      <c r="HV13" s="87">
        <f t="shared" si="55"/>
        <v>0</v>
      </c>
      <c r="HW13" s="91">
        <f t="shared" si="101"/>
        <v>0</v>
      </c>
      <c r="HX13" s="92">
        <f t="shared" si="56"/>
        <v>0.01</v>
      </c>
      <c r="HY13" s="99">
        <f t="shared" si="57"/>
        <v>0</v>
      </c>
      <c r="IB13" s="6"/>
      <c r="IC13" s="81" t="s">
        <v>22</v>
      </c>
      <c r="ID13" s="86">
        <f t="shared" si="102"/>
        <v>1117</v>
      </c>
      <c r="IE13" s="87">
        <f>'EF peternakan'!$G$17</f>
        <v>0.32</v>
      </c>
      <c r="IF13" s="87">
        <f>'EF peternakan'!$H$17</f>
        <v>300</v>
      </c>
      <c r="IG13" s="92">
        <f t="shared" si="58"/>
        <v>35.04</v>
      </c>
      <c r="IH13" s="89">
        <f t="shared" si="59"/>
        <v>0.02</v>
      </c>
      <c r="II13" s="83">
        <f t="shared" si="60"/>
        <v>782.79359999999997</v>
      </c>
      <c r="IJ13" s="307">
        <f>'EF peternakan'!$C$30</f>
        <v>0</v>
      </c>
      <c r="IK13" s="85">
        <f t="shared" si="61"/>
        <v>0</v>
      </c>
      <c r="IS13" s="6"/>
      <c r="IT13" s="81" t="s">
        <v>22</v>
      </c>
      <c r="IU13" s="86">
        <f t="shared" si="62"/>
        <v>782.79359999999997</v>
      </c>
      <c r="IV13" s="87">
        <f t="shared" si="63"/>
        <v>0</v>
      </c>
      <c r="IW13" s="301">
        <f t="shared" si="103"/>
        <v>0</v>
      </c>
      <c r="IX13" s="92">
        <f t="shared" si="64"/>
        <v>0.01</v>
      </c>
      <c r="IY13" s="99">
        <f t="shared" si="65"/>
        <v>0</v>
      </c>
      <c r="JB13" s="6"/>
      <c r="JC13" s="81" t="s">
        <v>22</v>
      </c>
      <c r="JD13" s="86">
        <f t="shared" si="104"/>
        <v>0</v>
      </c>
      <c r="JE13" s="87">
        <f>'EF peternakan'!$G$17</f>
        <v>0.32</v>
      </c>
      <c r="JF13" s="87">
        <f>'EF peternakan'!$H$17</f>
        <v>300</v>
      </c>
      <c r="JG13" s="92">
        <f t="shared" si="66"/>
        <v>35.04</v>
      </c>
      <c r="JH13" s="89">
        <f t="shared" si="67"/>
        <v>0.02</v>
      </c>
      <c r="JI13" s="83">
        <f t="shared" si="68"/>
        <v>0</v>
      </c>
      <c r="JJ13" s="307">
        <f>'EF peternakan'!$C$30</f>
        <v>0</v>
      </c>
      <c r="JK13" s="85">
        <f t="shared" si="69"/>
        <v>0</v>
      </c>
      <c r="JS13" s="6"/>
      <c r="JT13" s="81" t="s">
        <v>22</v>
      </c>
      <c r="JU13" s="86">
        <f>JI13</f>
        <v>0</v>
      </c>
      <c r="JV13" s="87">
        <f t="shared" si="71"/>
        <v>0</v>
      </c>
      <c r="JW13" s="91">
        <f t="shared" si="105"/>
        <v>0</v>
      </c>
      <c r="JX13" s="92">
        <f t="shared" si="72"/>
        <v>0.01</v>
      </c>
      <c r="JY13" s="99">
        <f t="shared" si="73"/>
        <v>0</v>
      </c>
    </row>
    <row r="14" spans="1:285" x14ac:dyDescent="0.25">
      <c r="B14" s="6"/>
      <c r="C14" s="81" t="s">
        <v>65</v>
      </c>
      <c r="D14" s="86">
        <f t="shared" si="74"/>
        <v>0</v>
      </c>
      <c r="E14" s="87">
        <f>'EF peternakan'!$G$14</f>
        <v>1.17</v>
      </c>
      <c r="F14" s="294">
        <f>'EF peternakan'!$H$14</f>
        <v>45</v>
      </c>
      <c r="G14" s="92">
        <f t="shared" si="106"/>
        <v>19.21725</v>
      </c>
      <c r="H14" s="89">
        <f t="shared" si="75"/>
        <v>0.02</v>
      </c>
      <c r="I14" s="83">
        <f t="shared" si="107"/>
        <v>0</v>
      </c>
      <c r="J14" s="88">
        <v>0.02</v>
      </c>
      <c r="K14" s="85">
        <f t="shared" si="0"/>
        <v>0</v>
      </c>
      <c r="S14" s="6"/>
      <c r="T14" s="81" t="s">
        <v>65</v>
      </c>
      <c r="U14" s="86">
        <f t="shared" si="1"/>
        <v>0</v>
      </c>
      <c r="V14" s="87">
        <f t="shared" si="76"/>
        <v>0</v>
      </c>
      <c r="W14" s="301">
        <f t="shared" si="2"/>
        <v>0</v>
      </c>
      <c r="X14" s="92">
        <f t="shared" si="3"/>
        <v>0.01</v>
      </c>
      <c r="Y14" s="99">
        <f t="shared" si="4"/>
        <v>0</v>
      </c>
      <c r="AB14" s="6"/>
      <c r="AC14" s="81" t="s">
        <v>65</v>
      </c>
      <c r="AD14" s="86">
        <f t="shared" si="77"/>
        <v>0</v>
      </c>
      <c r="AE14" s="87">
        <f>'EF peternakan'!$G$14</f>
        <v>1.17</v>
      </c>
      <c r="AF14" s="87">
        <f>'EF peternakan'!$H$14</f>
        <v>45</v>
      </c>
      <c r="AG14" s="92">
        <f t="shared" si="5"/>
        <v>19.21725</v>
      </c>
      <c r="AH14" s="89">
        <f t="shared" si="6"/>
        <v>0.02</v>
      </c>
      <c r="AI14" s="83">
        <f t="shared" si="7"/>
        <v>0</v>
      </c>
      <c r="AJ14" s="88">
        <v>0.02</v>
      </c>
      <c r="AK14" s="85">
        <f t="shared" si="8"/>
        <v>0</v>
      </c>
      <c r="AS14" s="6"/>
      <c r="AT14" s="81" t="s">
        <v>65</v>
      </c>
      <c r="AU14" s="86">
        <f t="shared" si="9"/>
        <v>0</v>
      </c>
      <c r="AV14" s="87">
        <f t="shared" si="10"/>
        <v>0</v>
      </c>
      <c r="AW14" s="301">
        <f t="shared" si="78"/>
        <v>0</v>
      </c>
      <c r="AX14" s="92">
        <f t="shared" si="11"/>
        <v>0.01</v>
      </c>
      <c r="AY14" s="99">
        <f t="shared" si="12"/>
        <v>0</v>
      </c>
      <c r="BB14" s="6"/>
      <c r="BC14" s="81" t="s">
        <v>65</v>
      </c>
      <c r="BD14" s="86">
        <f t="shared" si="79"/>
        <v>0</v>
      </c>
      <c r="BE14" s="87">
        <f>'EF peternakan'!$G$14</f>
        <v>1.17</v>
      </c>
      <c r="BF14" s="87">
        <f>'EF peternakan'!$H$14</f>
        <v>45</v>
      </c>
      <c r="BG14" s="92">
        <f t="shared" si="80"/>
        <v>19.21725</v>
      </c>
      <c r="BH14" s="89">
        <f t="shared" si="13"/>
        <v>0.02</v>
      </c>
      <c r="BI14" s="83">
        <f t="shared" si="108"/>
        <v>0</v>
      </c>
      <c r="BJ14" s="88">
        <v>0.02</v>
      </c>
      <c r="BK14" s="85">
        <f t="shared" si="14"/>
        <v>0</v>
      </c>
      <c r="BS14" s="6"/>
      <c r="BT14" s="81" t="s">
        <v>65</v>
      </c>
      <c r="BU14" s="86">
        <f t="shared" si="82"/>
        <v>0</v>
      </c>
      <c r="BV14" s="87">
        <f t="shared" si="15"/>
        <v>0</v>
      </c>
      <c r="BW14" s="301">
        <f t="shared" si="83"/>
        <v>0</v>
      </c>
      <c r="BX14" s="92">
        <f t="shared" si="16"/>
        <v>0.01</v>
      </c>
      <c r="BY14" s="99">
        <f t="shared" si="17"/>
        <v>0</v>
      </c>
      <c r="CB14" s="6"/>
      <c r="CC14" s="81" t="s">
        <v>65</v>
      </c>
      <c r="CD14" s="86">
        <f t="shared" si="84"/>
        <v>33</v>
      </c>
      <c r="CE14" s="87">
        <f>'EF peternakan'!$G$14</f>
        <v>1.17</v>
      </c>
      <c r="CF14" s="87">
        <f>'EF peternakan'!$H$14</f>
        <v>45</v>
      </c>
      <c r="CG14" s="92">
        <f t="shared" si="18"/>
        <v>19.21725</v>
      </c>
      <c r="CH14" s="89">
        <f t="shared" si="19"/>
        <v>0.02</v>
      </c>
      <c r="CI14" s="83">
        <f t="shared" si="20"/>
        <v>12.683385000000001</v>
      </c>
      <c r="CJ14" s="88">
        <v>0.02</v>
      </c>
      <c r="CK14" s="85">
        <f t="shared" si="21"/>
        <v>0.39862067142857149</v>
      </c>
      <c r="CS14" s="6"/>
      <c r="CT14" s="81" t="s">
        <v>65</v>
      </c>
      <c r="CU14" s="86">
        <f>CI14</f>
        <v>12.683385000000001</v>
      </c>
      <c r="CV14" s="87">
        <f t="shared" si="22"/>
        <v>0</v>
      </c>
      <c r="CW14" s="301">
        <f t="shared" si="85"/>
        <v>0</v>
      </c>
      <c r="CX14" s="92">
        <f t="shared" si="23"/>
        <v>0.01</v>
      </c>
      <c r="CY14" s="99">
        <f t="shared" si="24"/>
        <v>0</v>
      </c>
      <c r="DB14" s="6"/>
      <c r="DC14" s="81" t="s">
        <v>65</v>
      </c>
      <c r="DD14" s="86">
        <f t="shared" si="86"/>
        <v>37</v>
      </c>
      <c r="DE14" s="87">
        <f>'EF peternakan'!$G$14</f>
        <v>1.17</v>
      </c>
      <c r="DF14" s="87">
        <f>'EF peternakan'!$H$14</f>
        <v>45</v>
      </c>
      <c r="DG14" s="92">
        <f t="shared" si="25"/>
        <v>19.21725</v>
      </c>
      <c r="DH14" s="89">
        <f t="shared" si="26"/>
        <v>0.02</v>
      </c>
      <c r="DI14" s="83">
        <f t="shared" si="27"/>
        <v>14.220765</v>
      </c>
      <c r="DJ14" s="88">
        <v>0.02</v>
      </c>
      <c r="DK14" s="85">
        <f t="shared" si="28"/>
        <v>0.44693832857142851</v>
      </c>
      <c r="DS14" s="6"/>
      <c r="DT14" s="81" t="s">
        <v>65</v>
      </c>
      <c r="DU14" s="86">
        <f t="shared" si="87"/>
        <v>14.220765</v>
      </c>
      <c r="DV14" s="87">
        <f t="shared" si="29"/>
        <v>0</v>
      </c>
      <c r="DW14" s="301">
        <f t="shared" si="88"/>
        <v>0</v>
      </c>
      <c r="DX14" s="92">
        <f t="shared" si="30"/>
        <v>0.01</v>
      </c>
      <c r="DY14" s="99">
        <f t="shared" si="31"/>
        <v>0</v>
      </c>
      <c r="EB14" s="6"/>
      <c r="EC14" s="81" t="s">
        <v>65</v>
      </c>
      <c r="ED14" s="86">
        <f t="shared" si="89"/>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301">
        <f t="shared" si="90"/>
        <v>0</v>
      </c>
      <c r="EX14" s="92">
        <f t="shared" si="37"/>
        <v>0.01</v>
      </c>
      <c r="EY14" s="99">
        <f t="shared" si="38"/>
        <v>0</v>
      </c>
      <c r="FB14" s="6"/>
      <c r="FC14" s="81" t="s">
        <v>65</v>
      </c>
      <c r="FD14" s="86">
        <f t="shared" si="91"/>
        <v>0</v>
      </c>
      <c r="FE14" s="87">
        <f>'EF peternakan'!$G$14</f>
        <v>1.17</v>
      </c>
      <c r="FF14" s="87">
        <f>'EF peternakan'!$H$14</f>
        <v>45</v>
      </c>
      <c r="FG14" s="92">
        <f t="shared" si="39"/>
        <v>19.21725</v>
      </c>
      <c r="FH14" s="89">
        <f t="shared" si="40"/>
        <v>0.02</v>
      </c>
      <c r="FI14" s="83">
        <f t="shared" si="92"/>
        <v>0</v>
      </c>
      <c r="FJ14" s="307">
        <f>'EF peternakan'!$C$30</f>
        <v>0</v>
      </c>
      <c r="FK14" s="85">
        <f t="shared" si="93"/>
        <v>0</v>
      </c>
      <c r="FS14" s="6"/>
      <c r="FT14" s="81" t="s">
        <v>65</v>
      </c>
      <c r="FU14" s="86">
        <f t="shared" si="94"/>
        <v>0</v>
      </c>
      <c r="FV14" s="87">
        <f t="shared" si="41"/>
        <v>0</v>
      </c>
      <c r="FW14" s="301">
        <f t="shared" si="95"/>
        <v>0</v>
      </c>
      <c r="FX14" s="92">
        <f t="shared" si="42"/>
        <v>0.01</v>
      </c>
      <c r="FY14" s="99">
        <f t="shared" si="96"/>
        <v>0</v>
      </c>
      <c r="GB14" s="6"/>
      <c r="GC14" s="81" t="s">
        <v>65</v>
      </c>
      <c r="GD14" s="86">
        <f t="shared" si="97"/>
        <v>0</v>
      </c>
      <c r="GE14" s="87">
        <f>'EF peternakan'!$G$14</f>
        <v>1.17</v>
      </c>
      <c r="GF14" s="87">
        <f>'EF peternakan'!$H$14</f>
        <v>45</v>
      </c>
      <c r="GG14" s="92">
        <f t="shared" si="43"/>
        <v>19.21725</v>
      </c>
      <c r="GH14" s="89">
        <f t="shared" si="44"/>
        <v>0.02</v>
      </c>
      <c r="GI14" s="83">
        <f t="shared" si="45"/>
        <v>0</v>
      </c>
      <c r="GJ14" s="307">
        <f>'EF peternakan'!$C$30</f>
        <v>0</v>
      </c>
      <c r="GK14" s="85">
        <f t="shared" si="46"/>
        <v>0</v>
      </c>
      <c r="GS14" s="6"/>
      <c r="GT14" s="81" t="s">
        <v>65</v>
      </c>
      <c r="GU14" s="86">
        <f t="shared" si="47"/>
        <v>0</v>
      </c>
      <c r="GV14" s="87">
        <f t="shared" si="48"/>
        <v>0</v>
      </c>
      <c r="GW14" s="301">
        <f t="shared" si="98"/>
        <v>0</v>
      </c>
      <c r="GX14" s="92">
        <f t="shared" si="49"/>
        <v>0.01</v>
      </c>
      <c r="GY14" s="99">
        <f t="shared" si="50"/>
        <v>0</v>
      </c>
      <c r="HB14" s="6"/>
      <c r="HC14" s="81" t="s">
        <v>65</v>
      </c>
      <c r="HD14" s="86">
        <f t="shared" si="99"/>
        <v>0</v>
      </c>
      <c r="HE14" s="87">
        <f>'EF peternakan'!$G$14</f>
        <v>1.17</v>
      </c>
      <c r="HF14" s="87">
        <f>'EF peternakan'!$H$14</f>
        <v>45</v>
      </c>
      <c r="HG14" s="92">
        <f t="shared" si="51"/>
        <v>19.21725</v>
      </c>
      <c r="HH14" s="89">
        <f t="shared" si="52"/>
        <v>0.02</v>
      </c>
      <c r="HI14" s="83">
        <f t="shared" si="53"/>
        <v>0</v>
      </c>
      <c r="HJ14" s="307">
        <f>'EF peternakan'!$C$30</f>
        <v>0</v>
      </c>
      <c r="HK14" s="85">
        <f t="shared" si="54"/>
        <v>0</v>
      </c>
      <c r="HS14" s="6"/>
      <c r="HT14" s="81" t="s">
        <v>65</v>
      </c>
      <c r="HU14" s="86">
        <f t="shared" si="100"/>
        <v>0</v>
      </c>
      <c r="HV14" s="87">
        <f t="shared" si="55"/>
        <v>0</v>
      </c>
      <c r="HW14" s="91">
        <f t="shared" si="101"/>
        <v>0</v>
      </c>
      <c r="HX14" s="92">
        <f t="shared" si="56"/>
        <v>0.01</v>
      </c>
      <c r="HY14" s="99">
        <f t="shared" si="57"/>
        <v>0</v>
      </c>
      <c r="IB14" s="6"/>
      <c r="IC14" s="81" t="s">
        <v>65</v>
      </c>
      <c r="ID14" s="86">
        <f t="shared" si="102"/>
        <v>0</v>
      </c>
      <c r="IE14" s="87">
        <f>'EF peternakan'!$G$14</f>
        <v>1.17</v>
      </c>
      <c r="IF14" s="87">
        <f>'EF peternakan'!$H$14</f>
        <v>45</v>
      </c>
      <c r="IG14" s="92">
        <f t="shared" si="58"/>
        <v>19.21725</v>
      </c>
      <c r="IH14" s="89">
        <f t="shared" si="59"/>
        <v>0.02</v>
      </c>
      <c r="II14" s="83">
        <f t="shared" si="60"/>
        <v>0</v>
      </c>
      <c r="IJ14" s="307">
        <f>'EF peternakan'!$C$30</f>
        <v>0</v>
      </c>
      <c r="IK14" s="85">
        <f t="shared" si="61"/>
        <v>0</v>
      </c>
      <c r="IS14" s="6"/>
      <c r="IT14" s="81" t="s">
        <v>65</v>
      </c>
      <c r="IU14" s="86">
        <f t="shared" si="62"/>
        <v>0</v>
      </c>
      <c r="IV14" s="87">
        <f t="shared" si="63"/>
        <v>0</v>
      </c>
      <c r="IW14" s="301">
        <f t="shared" si="103"/>
        <v>0</v>
      </c>
      <c r="IX14" s="92">
        <f t="shared" si="64"/>
        <v>0.01</v>
      </c>
      <c r="IY14" s="99">
        <f t="shared" si="65"/>
        <v>0</v>
      </c>
      <c r="JB14" s="6"/>
      <c r="JC14" s="81" t="s">
        <v>65</v>
      </c>
      <c r="JD14" s="86">
        <f t="shared" si="104"/>
        <v>0</v>
      </c>
      <c r="JE14" s="87">
        <f>'EF peternakan'!$G$14</f>
        <v>1.17</v>
      </c>
      <c r="JF14" s="87">
        <f>'EF peternakan'!$H$14</f>
        <v>45</v>
      </c>
      <c r="JG14" s="92">
        <f t="shared" si="66"/>
        <v>19.21725</v>
      </c>
      <c r="JH14" s="89">
        <f t="shared" si="67"/>
        <v>0.02</v>
      </c>
      <c r="JI14" s="83">
        <f t="shared" si="68"/>
        <v>0</v>
      </c>
      <c r="JJ14" s="307">
        <f>'EF peternakan'!$C$30</f>
        <v>0</v>
      </c>
      <c r="JK14" s="85">
        <f t="shared" si="69"/>
        <v>0</v>
      </c>
      <c r="JS14" s="6"/>
      <c r="JT14" s="81" t="s">
        <v>65</v>
      </c>
      <c r="JU14" s="86">
        <f t="shared" si="70"/>
        <v>0</v>
      </c>
      <c r="JV14" s="87">
        <f t="shared" si="71"/>
        <v>0</v>
      </c>
      <c r="JW14" s="91">
        <f t="shared" si="105"/>
        <v>0</v>
      </c>
      <c r="JX14" s="92">
        <f t="shared" si="72"/>
        <v>0.01</v>
      </c>
      <c r="JY14" s="99">
        <f t="shared" si="73"/>
        <v>0</v>
      </c>
    </row>
    <row r="15" spans="1:285" x14ac:dyDescent="0.25">
      <c r="B15" s="291"/>
      <c r="C15" s="292" t="s">
        <v>23</v>
      </c>
      <c r="D15" s="86">
        <f t="shared" si="74"/>
        <v>6977</v>
      </c>
      <c r="E15" s="87">
        <f>'EF peternakan'!$G$15</f>
        <v>1.37</v>
      </c>
      <c r="F15" s="294">
        <f>'EF peternakan'!$H$15</f>
        <v>40</v>
      </c>
      <c r="G15" s="92">
        <f t="shared" si="106"/>
        <v>20.002000000000002</v>
      </c>
      <c r="H15" s="89">
        <f t="shared" si="75"/>
        <v>0.02</v>
      </c>
      <c r="I15" s="83">
        <f t="shared" si="107"/>
        <v>2791.0790800000004</v>
      </c>
      <c r="J15" s="88">
        <v>0.02</v>
      </c>
      <c r="K15" s="85">
        <f t="shared" si="0"/>
        <v>87.719628228571437</v>
      </c>
      <c r="S15" s="6"/>
      <c r="T15" s="292" t="s">
        <v>23</v>
      </c>
      <c r="U15" s="86">
        <f t="shared" si="1"/>
        <v>2791.0790800000004</v>
      </c>
      <c r="V15" s="87">
        <f t="shared" si="76"/>
        <v>0</v>
      </c>
      <c r="W15" s="301">
        <f t="shared" si="2"/>
        <v>0</v>
      </c>
      <c r="X15" s="92">
        <f t="shared" si="3"/>
        <v>0.01</v>
      </c>
      <c r="Y15" s="99">
        <f t="shared" si="4"/>
        <v>0</v>
      </c>
      <c r="AB15" s="6"/>
      <c r="AC15" s="292" t="s">
        <v>23</v>
      </c>
      <c r="AD15" s="86">
        <f t="shared" si="77"/>
        <v>7633</v>
      </c>
      <c r="AE15" s="87">
        <f>'EF peternakan'!$G$15</f>
        <v>1.37</v>
      </c>
      <c r="AF15" s="87">
        <f>'EF peternakan'!$H$15</f>
        <v>40</v>
      </c>
      <c r="AG15" s="92">
        <f t="shared" si="5"/>
        <v>20.002000000000002</v>
      </c>
      <c r="AH15" s="89">
        <f t="shared" si="6"/>
        <v>0.02</v>
      </c>
      <c r="AI15" s="83">
        <f t="shared" si="7"/>
        <v>3053.5053200000007</v>
      </c>
      <c r="AJ15" s="88">
        <v>0.02</v>
      </c>
      <c r="AK15" s="85">
        <f t="shared" si="8"/>
        <v>95.967310057142882</v>
      </c>
      <c r="AS15" s="6"/>
      <c r="AT15" s="292" t="s">
        <v>23</v>
      </c>
      <c r="AU15" s="86">
        <f t="shared" si="9"/>
        <v>3053.5053200000007</v>
      </c>
      <c r="AV15" s="87">
        <f t="shared" si="10"/>
        <v>0</v>
      </c>
      <c r="AW15" s="301">
        <f t="shared" si="78"/>
        <v>0</v>
      </c>
      <c r="AX15" s="92">
        <f t="shared" si="11"/>
        <v>0.01</v>
      </c>
      <c r="AY15" s="99">
        <f t="shared" si="12"/>
        <v>0</v>
      </c>
      <c r="BB15" s="6"/>
      <c r="BC15" s="292" t="s">
        <v>23</v>
      </c>
      <c r="BD15" s="86">
        <f t="shared" si="79"/>
        <v>8320</v>
      </c>
      <c r="BE15" s="87">
        <f>'EF peternakan'!$G$15</f>
        <v>1.37</v>
      </c>
      <c r="BF15" s="87">
        <f>'EF peternakan'!$H$15</f>
        <v>40</v>
      </c>
      <c r="BG15" s="92">
        <f t="shared" si="80"/>
        <v>20.002000000000002</v>
      </c>
      <c r="BH15" s="89">
        <f t="shared" si="13"/>
        <v>0.02</v>
      </c>
      <c r="BI15" s="83">
        <f t="shared" si="108"/>
        <v>3328.3328000000001</v>
      </c>
      <c r="BJ15" s="88">
        <v>0.02</v>
      </c>
      <c r="BK15" s="85">
        <f t="shared" si="14"/>
        <v>104.60474514285715</v>
      </c>
      <c r="BS15" s="6"/>
      <c r="BT15" s="292" t="s">
        <v>23</v>
      </c>
      <c r="BU15" s="86">
        <f t="shared" si="82"/>
        <v>3328.3328000000001</v>
      </c>
      <c r="BV15" s="87">
        <f t="shared" si="15"/>
        <v>0</v>
      </c>
      <c r="BW15" s="301">
        <f t="shared" si="83"/>
        <v>0</v>
      </c>
      <c r="BX15" s="92">
        <f t="shared" si="16"/>
        <v>0.01</v>
      </c>
      <c r="BY15" s="99">
        <f t="shared" si="17"/>
        <v>0</v>
      </c>
      <c r="CB15" s="6"/>
      <c r="CC15" s="292" t="s">
        <v>23</v>
      </c>
      <c r="CD15" s="86">
        <f t="shared" si="84"/>
        <v>9953</v>
      </c>
      <c r="CE15" s="87">
        <f>'EF peternakan'!$G$15</f>
        <v>1.37</v>
      </c>
      <c r="CF15" s="87">
        <f>'EF peternakan'!$H$15</f>
        <v>40</v>
      </c>
      <c r="CG15" s="92">
        <f t="shared" si="18"/>
        <v>20.002000000000002</v>
      </c>
      <c r="CH15" s="89">
        <f t="shared" si="19"/>
        <v>0.02</v>
      </c>
      <c r="CI15" s="83">
        <f t="shared" si="20"/>
        <v>3981.5981200000006</v>
      </c>
      <c r="CJ15" s="88">
        <v>0.02</v>
      </c>
      <c r="CK15" s="85">
        <f t="shared" si="21"/>
        <v>125.13594091428573</v>
      </c>
      <c r="CS15" s="6"/>
      <c r="CT15" s="292" t="s">
        <v>23</v>
      </c>
      <c r="CU15" s="86">
        <f t="shared" si="109"/>
        <v>3981.5981200000006</v>
      </c>
      <c r="CV15" s="87">
        <f t="shared" si="22"/>
        <v>0</v>
      </c>
      <c r="CW15" s="301">
        <f t="shared" si="85"/>
        <v>0</v>
      </c>
      <c r="CX15" s="92">
        <f t="shared" si="23"/>
        <v>0.01</v>
      </c>
      <c r="CY15" s="99">
        <f t="shared" si="24"/>
        <v>0</v>
      </c>
      <c r="DB15" s="6"/>
      <c r="DC15" s="292" t="s">
        <v>23</v>
      </c>
      <c r="DD15" s="86">
        <f t="shared" si="86"/>
        <v>10799</v>
      </c>
      <c r="DE15" s="87">
        <f>'EF peternakan'!$G$15</f>
        <v>1.37</v>
      </c>
      <c r="DF15" s="87">
        <f>'EF peternakan'!$H$15</f>
        <v>40</v>
      </c>
      <c r="DG15" s="92">
        <f t="shared" si="25"/>
        <v>20.002000000000002</v>
      </c>
      <c r="DH15" s="89">
        <f t="shared" si="26"/>
        <v>0.02</v>
      </c>
      <c r="DI15" s="83">
        <f t="shared" si="27"/>
        <v>4320.0319600000003</v>
      </c>
      <c r="DJ15" s="88">
        <v>0.02</v>
      </c>
      <c r="DK15" s="85">
        <f t="shared" si="28"/>
        <v>135.77243302857141</v>
      </c>
      <c r="DS15" s="6"/>
      <c r="DT15" s="292" t="s">
        <v>23</v>
      </c>
      <c r="DU15" s="86">
        <f t="shared" si="87"/>
        <v>4320.0319600000003</v>
      </c>
      <c r="DV15" s="87">
        <f t="shared" si="29"/>
        <v>0</v>
      </c>
      <c r="DW15" s="301">
        <f t="shared" si="88"/>
        <v>0</v>
      </c>
      <c r="DX15" s="92">
        <f t="shared" si="30"/>
        <v>0.01</v>
      </c>
      <c r="DY15" s="99">
        <f t="shared" si="31"/>
        <v>0</v>
      </c>
      <c r="EB15" s="6"/>
      <c r="EC15" s="292" t="s">
        <v>23</v>
      </c>
      <c r="ED15" s="86">
        <f t="shared" si="89"/>
        <v>11000</v>
      </c>
      <c r="EE15" s="87">
        <f>'EF peternakan'!$G$15</f>
        <v>1.37</v>
      </c>
      <c r="EF15" s="87">
        <f>'EF peternakan'!$H$15</f>
        <v>40</v>
      </c>
      <c r="EG15" s="92">
        <f t="shared" si="32"/>
        <v>20.002000000000002</v>
      </c>
      <c r="EH15" s="89">
        <f t="shared" si="33"/>
        <v>0.02</v>
      </c>
      <c r="EI15" s="83">
        <f t="shared" si="34"/>
        <v>4400.4400000000005</v>
      </c>
      <c r="EJ15" s="88">
        <v>0.02</v>
      </c>
      <c r="EK15" s="85">
        <f t="shared" si="35"/>
        <v>138.29954285714285</v>
      </c>
      <c r="ES15" s="6"/>
      <c r="ET15" s="292" t="s">
        <v>23</v>
      </c>
      <c r="EU15" s="86">
        <f t="shared" si="110"/>
        <v>4400.4400000000005</v>
      </c>
      <c r="EV15" s="87">
        <f t="shared" si="36"/>
        <v>0</v>
      </c>
      <c r="EW15" s="301">
        <f t="shared" si="90"/>
        <v>0</v>
      </c>
      <c r="EX15" s="92">
        <f t="shared" si="37"/>
        <v>0.01</v>
      </c>
      <c r="EY15" s="99">
        <f t="shared" si="38"/>
        <v>0</v>
      </c>
      <c r="FB15" s="6"/>
      <c r="FC15" s="292" t="s">
        <v>23</v>
      </c>
      <c r="FD15" s="86">
        <f t="shared" si="91"/>
        <v>11639</v>
      </c>
      <c r="FE15" s="87">
        <f>'EF peternakan'!$G$15</f>
        <v>1.37</v>
      </c>
      <c r="FF15" s="87">
        <f>'EF peternakan'!$H$15</f>
        <v>40</v>
      </c>
      <c r="FG15" s="92">
        <f t="shared" si="39"/>
        <v>20.002000000000002</v>
      </c>
      <c r="FH15" s="89">
        <f t="shared" si="40"/>
        <v>0.02</v>
      </c>
      <c r="FI15" s="83">
        <f t="shared" si="92"/>
        <v>4656.0655600000009</v>
      </c>
      <c r="FJ15" s="307">
        <f>'EF peternakan'!$C$30</f>
        <v>0</v>
      </c>
      <c r="FK15" s="85">
        <f t="shared" si="93"/>
        <v>0</v>
      </c>
      <c r="FS15" s="6"/>
      <c r="FT15" s="292" t="s">
        <v>23</v>
      </c>
      <c r="FU15" s="86">
        <f t="shared" si="94"/>
        <v>4656.0655600000009</v>
      </c>
      <c r="FV15" s="87">
        <f t="shared" si="41"/>
        <v>0</v>
      </c>
      <c r="FW15" s="301">
        <f t="shared" si="95"/>
        <v>0</v>
      </c>
      <c r="FX15" s="92">
        <f t="shared" si="42"/>
        <v>0.01</v>
      </c>
      <c r="FY15" s="99">
        <f t="shared" si="96"/>
        <v>0</v>
      </c>
      <c r="GB15" s="6"/>
      <c r="GC15" s="292" t="s">
        <v>23</v>
      </c>
      <c r="GD15" s="86">
        <f t="shared" si="97"/>
        <v>12125</v>
      </c>
      <c r="GE15" s="87">
        <f>'EF peternakan'!$G$15</f>
        <v>1.37</v>
      </c>
      <c r="GF15" s="87">
        <f>'EF peternakan'!$H$15</f>
        <v>40</v>
      </c>
      <c r="GG15" s="92">
        <f t="shared" si="43"/>
        <v>20.002000000000002</v>
      </c>
      <c r="GH15" s="89">
        <f t="shared" si="44"/>
        <v>0.02</v>
      </c>
      <c r="GI15" s="83">
        <f t="shared" si="45"/>
        <v>4850.4850000000006</v>
      </c>
      <c r="GJ15" s="307">
        <f>'EF peternakan'!$C$30</f>
        <v>0</v>
      </c>
      <c r="GK15" s="85">
        <f t="shared" si="46"/>
        <v>0</v>
      </c>
      <c r="GS15" s="6"/>
      <c r="GT15" s="292" t="s">
        <v>23</v>
      </c>
      <c r="GU15" s="86">
        <f t="shared" si="47"/>
        <v>4850.4850000000006</v>
      </c>
      <c r="GV15" s="87">
        <f t="shared" si="48"/>
        <v>0</v>
      </c>
      <c r="GW15" s="301">
        <f t="shared" si="98"/>
        <v>0</v>
      </c>
      <c r="GX15" s="92">
        <f t="shared" si="49"/>
        <v>0.01</v>
      </c>
      <c r="GY15" s="99">
        <f t="shared" si="50"/>
        <v>0</v>
      </c>
      <c r="HB15" s="6"/>
      <c r="HC15" s="292" t="s">
        <v>23</v>
      </c>
      <c r="HD15" s="86">
        <f t="shared" si="99"/>
        <v>12225</v>
      </c>
      <c r="HE15" s="87">
        <f>'EF peternakan'!$G$15</f>
        <v>1.37</v>
      </c>
      <c r="HF15" s="87">
        <f>'EF peternakan'!$H$15</f>
        <v>40</v>
      </c>
      <c r="HG15" s="92">
        <f t="shared" si="51"/>
        <v>20.002000000000002</v>
      </c>
      <c r="HH15" s="89">
        <f t="shared" si="52"/>
        <v>0.02</v>
      </c>
      <c r="HI15" s="83">
        <f t="shared" si="53"/>
        <v>4890.4890000000005</v>
      </c>
      <c r="HJ15" s="307">
        <f>'EF peternakan'!$C$30</f>
        <v>0</v>
      </c>
      <c r="HK15" s="85">
        <f t="shared" si="54"/>
        <v>0</v>
      </c>
      <c r="HS15" s="6"/>
      <c r="HT15" s="292" t="s">
        <v>23</v>
      </c>
      <c r="HU15" s="86">
        <f t="shared" si="100"/>
        <v>4890.4890000000005</v>
      </c>
      <c r="HV15" s="87">
        <f t="shared" si="55"/>
        <v>0</v>
      </c>
      <c r="HW15" s="91">
        <f t="shared" si="101"/>
        <v>0</v>
      </c>
      <c r="HX15" s="92">
        <f t="shared" si="56"/>
        <v>0.01</v>
      </c>
      <c r="HY15" s="99">
        <f t="shared" si="57"/>
        <v>0</v>
      </c>
      <c r="IB15" s="6"/>
      <c r="IC15" s="292" t="s">
        <v>23</v>
      </c>
      <c r="ID15" s="86">
        <f t="shared" si="102"/>
        <v>12424</v>
      </c>
      <c r="IE15" s="87">
        <f>'EF peternakan'!$G$15</f>
        <v>1.37</v>
      </c>
      <c r="IF15" s="87">
        <f>'EF peternakan'!$H$15</f>
        <v>40</v>
      </c>
      <c r="IG15" s="92">
        <f t="shared" si="58"/>
        <v>20.002000000000002</v>
      </c>
      <c r="IH15" s="89">
        <f t="shared" si="59"/>
        <v>0.02</v>
      </c>
      <c r="II15" s="83">
        <f t="shared" si="60"/>
        <v>4970.0969600000008</v>
      </c>
      <c r="IJ15" s="307">
        <f>'EF peternakan'!$C$30</f>
        <v>0</v>
      </c>
      <c r="IK15" s="85">
        <f t="shared" si="61"/>
        <v>0</v>
      </c>
      <c r="IS15" s="6"/>
      <c r="IT15" s="292" t="s">
        <v>23</v>
      </c>
      <c r="IU15" s="86">
        <f t="shared" si="62"/>
        <v>4970.0969600000008</v>
      </c>
      <c r="IV15" s="87">
        <f t="shared" si="63"/>
        <v>0</v>
      </c>
      <c r="IW15" s="301">
        <f t="shared" si="103"/>
        <v>0</v>
      </c>
      <c r="IX15" s="92">
        <f t="shared" si="64"/>
        <v>0.01</v>
      </c>
      <c r="IY15" s="99">
        <f t="shared" si="65"/>
        <v>0</v>
      </c>
      <c r="JB15" s="6"/>
      <c r="JC15" s="292" t="s">
        <v>23</v>
      </c>
      <c r="JD15" s="86">
        <f t="shared" si="104"/>
        <v>0</v>
      </c>
      <c r="JE15" s="87">
        <f>'EF peternakan'!$G$15</f>
        <v>1.37</v>
      </c>
      <c r="JF15" s="87">
        <f>'EF peternakan'!$H$15</f>
        <v>40</v>
      </c>
      <c r="JG15" s="92">
        <f t="shared" si="66"/>
        <v>20.002000000000002</v>
      </c>
      <c r="JH15" s="89">
        <f t="shared" si="67"/>
        <v>0.02</v>
      </c>
      <c r="JI15" s="83">
        <f t="shared" si="68"/>
        <v>0</v>
      </c>
      <c r="JJ15" s="307">
        <f>'EF peternakan'!$C$30</f>
        <v>0</v>
      </c>
      <c r="JK15" s="85">
        <f t="shared" si="69"/>
        <v>0</v>
      </c>
      <c r="JS15" s="6"/>
      <c r="JT15" s="292" t="s">
        <v>23</v>
      </c>
      <c r="JU15" s="86">
        <f t="shared" si="70"/>
        <v>0</v>
      </c>
      <c r="JV15" s="87">
        <f t="shared" si="71"/>
        <v>0</v>
      </c>
      <c r="JW15" s="91">
        <f t="shared" si="105"/>
        <v>0</v>
      </c>
      <c r="JX15" s="92">
        <f t="shared" si="72"/>
        <v>0.01</v>
      </c>
      <c r="JY15" s="99">
        <f t="shared" si="73"/>
        <v>0</v>
      </c>
    </row>
    <row r="16" spans="1:285" x14ac:dyDescent="0.25">
      <c r="B16" s="291"/>
      <c r="C16" s="292" t="s">
        <v>24</v>
      </c>
      <c r="D16" s="86">
        <f t="shared" si="74"/>
        <v>0</v>
      </c>
      <c r="E16" s="87">
        <f>'EF peternakan'!$G$16</f>
        <v>0.46</v>
      </c>
      <c r="F16" s="294">
        <f>'EF peternakan'!$H$16</f>
        <v>550</v>
      </c>
      <c r="G16" s="92">
        <f t="shared" si="106"/>
        <v>92.345000000000027</v>
      </c>
      <c r="H16" s="89">
        <f t="shared" si="75"/>
        <v>0.02</v>
      </c>
      <c r="I16" s="83">
        <f t="shared" si="107"/>
        <v>0</v>
      </c>
      <c r="J16" s="88">
        <v>0.02</v>
      </c>
      <c r="K16" s="85">
        <f t="shared" si="0"/>
        <v>0</v>
      </c>
      <c r="S16" s="6"/>
      <c r="T16" s="292" t="s">
        <v>24</v>
      </c>
      <c r="U16" s="86">
        <f t="shared" si="1"/>
        <v>0</v>
      </c>
      <c r="V16" s="87">
        <f>V31</f>
        <v>0</v>
      </c>
      <c r="W16" s="301">
        <f t="shared" si="2"/>
        <v>0</v>
      </c>
      <c r="X16" s="92">
        <f t="shared" si="3"/>
        <v>0.01</v>
      </c>
      <c r="Y16" s="99">
        <f t="shared" si="4"/>
        <v>0</v>
      </c>
      <c r="AB16" s="6"/>
      <c r="AC16" s="292" t="s">
        <v>24</v>
      </c>
      <c r="AD16" s="86">
        <f t="shared" si="77"/>
        <v>0</v>
      </c>
      <c r="AE16" s="87">
        <f>'EF peternakan'!$G$16</f>
        <v>0.46</v>
      </c>
      <c r="AF16" s="87">
        <f>'EF peternakan'!$H$16</f>
        <v>550</v>
      </c>
      <c r="AG16" s="92">
        <f t="shared" si="5"/>
        <v>92.345000000000027</v>
      </c>
      <c r="AH16" s="89">
        <f t="shared" si="6"/>
        <v>0.02</v>
      </c>
      <c r="AI16" s="83">
        <f t="shared" si="7"/>
        <v>0</v>
      </c>
      <c r="AJ16" s="88">
        <v>0.02</v>
      </c>
      <c r="AK16" s="85">
        <f t="shared" si="8"/>
        <v>0</v>
      </c>
      <c r="AS16" s="6"/>
      <c r="AT16" s="292" t="s">
        <v>24</v>
      </c>
      <c r="AU16" s="86">
        <f>AI16</f>
        <v>0</v>
      </c>
      <c r="AV16" s="87">
        <f t="shared" si="10"/>
        <v>0</v>
      </c>
      <c r="AW16" s="301">
        <f t="shared" si="78"/>
        <v>0</v>
      </c>
      <c r="AX16" s="92">
        <f t="shared" si="11"/>
        <v>0.01</v>
      </c>
      <c r="AY16" s="99">
        <f t="shared" si="12"/>
        <v>0</v>
      </c>
      <c r="BB16" s="6"/>
      <c r="BC16" s="292" t="s">
        <v>24</v>
      </c>
      <c r="BD16" s="86">
        <f t="shared" si="79"/>
        <v>0</v>
      </c>
      <c r="BE16" s="87">
        <f>'EF peternakan'!$G$16</f>
        <v>0.46</v>
      </c>
      <c r="BF16" s="87">
        <f>'EF peternakan'!$H$16</f>
        <v>550</v>
      </c>
      <c r="BG16" s="92">
        <f t="shared" si="80"/>
        <v>92.345000000000027</v>
      </c>
      <c r="BH16" s="89">
        <f t="shared" si="13"/>
        <v>0.02</v>
      </c>
      <c r="BI16" s="83">
        <f t="shared" si="108"/>
        <v>0</v>
      </c>
      <c r="BJ16" s="88">
        <v>0.02</v>
      </c>
      <c r="BK16" s="85">
        <f t="shared" si="14"/>
        <v>0</v>
      </c>
      <c r="BS16" s="6"/>
      <c r="BT16" s="292" t="s">
        <v>24</v>
      </c>
      <c r="BU16" s="86">
        <f>BI16</f>
        <v>0</v>
      </c>
      <c r="BV16" s="87">
        <f t="shared" si="15"/>
        <v>0</v>
      </c>
      <c r="BW16" s="301">
        <f t="shared" si="83"/>
        <v>0</v>
      </c>
      <c r="BX16" s="92">
        <f t="shared" si="16"/>
        <v>0.01</v>
      </c>
      <c r="BY16" s="99">
        <f t="shared" si="17"/>
        <v>0</v>
      </c>
      <c r="CB16" s="6"/>
      <c r="CC16" s="292" t="s">
        <v>24</v>
      </c>
      <c r="CD16" s="86">
        <f t="shared" si="84"/>
        <v>10</v>
      </c>
      <c r="CE16" s="87">
        <f>'EF peternakan'!$G$16</f>
        <v>0.46</v>
      </c>
      <c r="CF16" s="87">
        <f>'EF peternakan'!$H$16</f>
        <v>550</v>
      </c>
      <c r="CG16" s="92">
        <f t="shared" si="18"/>
        <v>92.345000000000027</v>
      </c>
      <c r="CH16" s="89">
        <f t="shared" si="19"/>
        <v>0.02</v>
      </c>
      <c r="CI16" s="83">
        <f>CD16*CG16*CH16</f>
        <v>18.469000000000005</v>
      </c>
      <c r="CJ16" s="88">
        <v>0.02</v>
      </c>
      <c r="CK16" s="85">
        <f t="shared" si="21"/>
        <v>0.58045428571428581</v>
      </c>
      <c r="CS16" s="6"/>
      <c r="CT16" s="292" t="s">
        <v>24</v>
      </c>
      <c r="CU16" s="86">
        <f>CI16</f>
        <v>18.469000000000005</v>
      </c>
      <c r="CV16" s="87">
        <f t="shared" si="22"/>
        <v>0</v>
      </c>
      <c r="CW16" s="301">
        <f t="shared" si="85"/>
        <v>0</v>
      </c>
      <c r="CX16" s="92">
        <f t="shared" si="23"/>
        <v>0.01</v>
      </c>
      <c r="CY16" s="99">
        <f t="shared" si="24"/>
        <v>0</v>
      </c>
      <c r="DB16" s="6"/>
      <c r="DC16" s="292" t="s">
        <v>24</v>
      </c>
      <c r="DD16" s="86">
        <f t="shared" si="86"/>
        <v>60</v>
      </c>
      <c r="DE16" s="87">
        <f>'EF peternakan'!$G$16</f>
        <v>0.46</v>
      </c>
      <c r="DF16" s="87">
        <f>'EF peternakan'!$H$16</f>
        <v>550</v>
      </c>
      <c r="DG16" s="92">
        <f t="shared" si="25"/>
        <v>92.345000000000027</v>
      </c>
      <c r="DH16" s="89">
        <f t="shared" si="26"/>
        <v>0.02</v>
      </c>
      <c r="DI16" s="83">
        <f>DD16*DG16*DH16</f>
        <v>110.81400000000004</v>
      </c>
      <c r="DJ16" s="88">
        <v>0.02</v>
      </c>
      <c r="DK16" s="85">
        <f>DI16*DJ16*(44/28)</f>
        <v>3.4827257142857153</v>
      </c>
      <c r="DS16" s="6"/>
      <c r="DT16" s="292" t="s">
        <v>24</v>
      </c>
      <c r="DU16" s="86">
        <f>DI16</f>
        <v>110.81400000000004</v>
      </c>
      <c r="DV16" s="87">
        <f t="shared" si="29"/>
        <v>0</v>
      </c>
      <c r="DW16" s="301">
        <f t="shared" si="88"/>
        <v>0</v>
      </c>
      <c r="DX16" s="92">
        <f t="shared" si="30"/>
        <v>0.01</v>
      </c>
      <c r="DY16" s="99">
        <f t="shared" si="31"/>
        <v>0</v>
      </c>
      <c r="EB16" s="6"/>
      <c r="EC16" s="292" t="s">
        <v>24</v>
      </c>
      <c r="ED16" s="86">
        <f t="shared" si="89"/>
        <v>0</v>
      </c>
      <c r="EE16" s="87">
        <f>'EF peternakan'!$G$16</f>
        <v>0.46</v>
      </c>
      <c r="EF16" s="87">
        <f>'EF peternakan'!$H$16</f>
        <v>550</v>
      </c>
      <c r="EG16" s="92">
        <f t="shared" si="32"/>
        <v>92.345000000000027</v>
      </c>
      <c r="EH16" s="89">
        <f t="shared" si="33"/>
        <v>0.02</v>
      </c>
      <c r="EI16" s="83">
        <f t="shared" si="34"/>
        <v>0</v>
      </c>
      <c r="EJ16" s="88">
        <v>0.02</v>
      </c>
      <c r="EK16" s="85">
        <f t="shared" si="35"/>
        <v>0</v>
      </c>
      <c r="ES16" s="6"/>
      <c r="ET16" s="292" t="s">
        <v>24</v>
      </c>
      <c r="EU16" s="86">
        <f t="shared" si="110"/>
        <v>0</v>
      </c>
      <c r="EV16" s="87">
        <f t="shared" si="36"/>
        <v>0</v>
      </c>
      <c r="EW16" s="301">
        <f t="shared" si="90"/>
        <v>0</v>
      </c>
      <c r="EX16" s="92">
        <f t="shared" si="37"/>
        <v>0.01</v>
      </c>
      <c r="EY16" s="99">
        <f t="shared" si="38"/>
        <v>0</v>
      </c>
      <c r="FB16" s="6"/>
      <c r="FC16" s="292" t="s">
        <v>24</v>
      </c>
      <c r="FD16" s="86">
        <f t="shared" si="91"/>
        <v>0</v>
      </c>
      <c r="FE16" s="87">
        <f>'EF peternakan'!$G$16</f>
        <v>0.46</v>
      </c>
      <c r="FF16" s="87">
        <f>'EF peternakan'!$H$16</f>
        <v>550</v>
      </c>
      <c r="FG16" s="92">
        <f t="shared" si="39"/>
        <v>92.345000000000027</v>
      </c>
      <c r="FH16" s="89">
        <f t="shared" si="40"/>
        <v>0.02</v>
      </c>
      <c r="FI16" s="83">
        <f t="shared" si="92"/>
        <v>0</v>
      </c>
      <c r="FJ16" s="307">
        <f>'EF peternakan'!$C$30</f>
        <v>0</v>
      </c>
      <c r="FK16" s="85">
        <f t="shared" si="93"/>
        <v>0</v>
      </c>
      <c r="FS16" s="6"/>
      <c r="FT16" s="292" t="s">
        <v>24</v>
      </c>
      <c r="FU16" s="86">
        <f t="shared" si="94"/>
        <v>0</v>
      </c>
      <c r="FV16" s="87">
        <f t="shared" si="41"/>
        <v>0</v>
      </c>
      <c r="FW16" s="301">
        <f t="shared" si="95"/>
        <v>0</v>
      </c>
      <c r="FX16" s="92">
        <f t="shared" si="42"/>
        <v>0.01</v>
      </c>
      <c r="FY16" s="99">
        <f t="shared" si="96"/>
        <v>0</v>
      </c>
      <c r="GB16" s="6"/>
      <c r="GC16" s="292" t="s">
        <v>24</v>
      </c>
      <c r="GD16" s="86">
        <f t="shared" si="97"/>
        <v>0</v>
      </c>
      <c r="GE16" s="87">
        <f>'EF peternakan'!$G$16</f>
        <v>0.46</v>
      </c>
      <c r="GF16" s="87">
        <f>'EF peternakan'!$H$16</f>
        <v>550</v>
      </c>
      <c r="GG16" s="92">
        <f t="shared" si="43"/>
        <v>92.345000000000027</v>
      </c>
      <c r="GH16" s="89">
        <f t="shared" si="44"/>
        <v>0.02</v>
      </c>
      <c r="GI16" s="83">
        <f t="shared" si="45"/>
        <v>0</v>
      </c>
      <c r="GJ16" s="307">
        <f>'EF peternakan'!$C$30</f>
        <v>0</v>
      </c>
      <c r="GK16" s="85">
        <f t="shared" si="46"/>
        <v>0</v>
      </c>
      <c r="GS16" s="6"/>
      <c r="GT16" s="292" t="s">
        <v>24</v>
      </c>
      <c r="GU16" s="86">
        <f t="shared" si="47"/>
        <v>0</v>
      </c>
      <c r="GV16" s="87">
        <f t="shared" si="48"/>
        <v>0</v>
      </c>
      <c r="GW16" s="301">
        <f t="shared" si="98"/>
        <v>0</v>
      </c>
      <c r="GX16" s="92">
        <f t="shared" si="49"/>
        <v>0.01</v>
      </c>
      <c r="GY16" s="99">
        <f t="shared" si="50"/>
        <v>0</v>
      </c>
      <c r="HB16" s="6"/>
      <c r="HC16" s="292" t="s">
        <v>24</v>
      </c>
      <c r="HD16" s="86">
        <f t="shared" si="99"/>
        <v>0</v>
      </c>
      <c r="HE16" s="87">
        <f>'EF peternakan'!$G$16</f>
        <v>0.46</v>
      </c>
      <c r="HF16" s="87">
        <f>'EF peternakan'!$H$16</f>
        <v>550</v>
      </c>
      <c r="HG16" s="92">
        <f t="shared" si="51"/>
        <v>92.345000000000027</v>
      </c>
      <c r="HH16" s="89">
        <f t="shared" si="52"/>
        <v>0.02</v>
      </c>
      <c r="HI16" s="83">
        <f t="shared" si="53"/>
        <v>0</v>
      </c>
      <c r="HJ16" s="307">
        <f>'EF peternakan'!$C$30</f>
        <v>0</v>
      </c>
      <c r="HK16" s="85">
        <f t="shared" si="54"/>
        <v>0</v>
      </c>
      <c r="HS16" s="6"/>
      <c r="HT16" s="292" t="s">
        <v>24</v>
      </c>
      <c r="HU16" s="86">
        <f t="shared" si="100"/>
        <v>0</v>
      </c>
      <c r="HV16" s="87">
        <f t="shared" si="55"/>
        <v>0</v>
      </c>
      <c r="HW16" s="91">
        <f t="shared" si="101"/>
        <v>0</v>
      </c>
      <c r="HX16" s="92">
        <f t="shared" si="56"/>
        <v>0.01</v>
      </c>
      <c r="HY16" s="99">
        <f t="shared" si="57"/>
        <v>0</v>
      </c>
      <c r="IB16" s="6"/>
      <c r="IC16" s="292" t="s">
        <v>24</v>
      </c>
      <c r="ID16" s="86">
        <f t="shared" si="102"/>
        <v>0</v>
      </c>
      <c r="IE16" s="87">
        <f>'EF peternakan'!$G$16</f>
        <v>0.46</v>
      </c>
      <c r="IF16" s="87">
        <f>'EF peternakan'!$H$16</f>
        <v>550</v>
      </c>
      <c r="IG16" s="92">
        <f t="shared" si="58"/>
        <v>92.345000000000027</v>
      </c>
      <c r="IH16" s="89">
        <f t="shared" si="59"/>
        <v>0.02</v>
      </c>
      <c r="II16" s="83">
        <f t="shared" si="60"/>
        <v>0</v>
      </c>
      <c r="IJ16" s="307">
        <f>'EF peternakan'!$C$30</f>
        <v>0</v>
      </c>
      <c r="IK16" s="85">
        <f t="shared" si="61"/>
        <v>0</v>
      </c>
      <c r="IS16" s="6"/>
      <c r="IT16" s="292" t="s">
        <v>24</v>
      </c>
      <c r="IU16" s="86">
        <f t="shared" si="62"/>
        <v>0</v>
      </c>
      <c r="IV16" s="87">
        <f t="shared" si="63"/>
        <v>0</v>
      </c>
      <c r="IW16" s="301">
        <f t="shared" si="103"/>
        <v>0</v>
      </c>
      <c r="IX16" s="92">
        <f t="shared" si="64"/>
        <v>0.01</v>
      </c>
      <c r="IY16" s="99">
        <f t="shared" si="65"/>
        <v>0</v>
      </c>
      <c r="JB16" s="6"/>
      <c r="JC16" s="292" t="s">
        <v>24</v>
      </c>
      <c r="JD16" s="86">
        <f t="shared" si="104"/>
        <v>0</v>
      </c>
      <c r="JE16" s="87">
        <f>'EF peternakan'!$G$16</f>
        <v>0.46</v>
      </c>
      <c r="JF16" s="87">
        <f>'EF peternakan'!$H$16</f>
        <v>550</v>
      </c>
      <c r="JG16" s="92">
        <f t="shared" si="66"/>
        <v>92.345000000000027</v>
      </c>
      <c r="JH16" s="89">
        <f t="shared" si="67"/>
        <v>0.02</v>
      </c>
      <c r="JI16" s="83">
        <f t="shared" si="68"/>
        <v>0</v>
      </c>
      <c r="JJ16" s="307">
        <f>'EF peternakan'!$C$30</f>
        <v>0</v>
      </c>
      <c r="JK16" s="85">
        <f t="shared" si="69"/>
        <v>0</v>
      </c>
      <c r="JS16" s="6"/>
      <c r="JT16" s="292" t="s">
        <v>24</v>
      </c>
      <c r="JU16" s="86">
        <f t="shared" si="70"/>
        <v>0</v>
      </c>
      <c r="JV16" s="87">
        <f t="shared" si="71"/>
        <v>0</v>
      </c>
      <c r="JW16" s="91">
        <f t="shared" si="105"/>
        <v>0</v>
      </c>
      <c r="JX16" s="92">
        <f t="shared" si="72"/>
        <v>0.01</v>
      </c>
      <c r="JY16" s="99">
        <f t="shared" si="73"/>
        <v>0</v>
      </c>
    </row>
    <row r="17" spans="2:286" x14ac:dyDescent="0.25">
      <c r="B17" s="291"/>
      <c r="C17" s="292" t="s">
        <v>72</v>
      </c>
      <c r="D17" s="86">
        <f>C45</f>
        <v>557800</v>
      </c>
      <c r="E17" s="87">
        <f>'EF peternakan'!$G$10</f>
        <v>0.82</v>
      </c>
      <c r="F17" s="294">
        <f>'EF peternakan'!$H$10</f>
        <v>2</v>
      </c>
      <c r="G17" s="9">
        <f t="shared" si="106"/>
        <v>0.59860000000000002</v>
      </c>
      <c r="H17" s="89">
        <f t="shared" si="75"/>
        <v>0.02</v>
      </c>
      <c r="I17" s="83">
        <f t="shared" si="107"/>
        <v>6677.9816000000001</v>
      </c>
      <c r="J17" s="307">
        <f>'EF peternakan'!$C$32</f>
        <v>0.01</v>
      </c>
      <c r="K17" s="85">
        <f t="shared" si="0"/>
        <v>104.93971085714286</v>
      </c>
      <c r="S17" s="6"/>
      <c r="T17" s="292" t="s">
        <v>72</v>
      </c>
      <c r="U17" s="86">
        <f t="shared" si="1"/>
        <v>6677.9816000000001</v>
      </c>
      <c r="V17" s="9"/>
      <c r="W17" s="9"/>
      <c r="X17" s="9"/>
      <c r="Y17" s="97"/>
      <c r="AB17" s="6"/>
      <c r="AC17" s="292" t="s">
        <v>72</v>
      </c>
      <c r="AD17" s="86">
        <f t="shared" si="77"/>
        <v>625168</v>
      </c>
      <c r="AE17" s="87">
        <f>'EF peternakan'!$G$10</f>
        <v>0.82</v>
      </c>
      <c r="AF17" s="87">
        <f>'EF peternakan'!$H$10</f>
        <v>2</v>
      </c>
      <c r="AG17" s="92">
        <f t="shared" si="5"/>
        <v>0.59860000000000002</v>
      </c>
      <c r="AH17" s="89">
        <f t="shared" si="6"/>
        <v>0.02</v>
      </c>
      <c r="AI17" s="83">
        <f t="shared" si="7"/>
        <v>7484.5112959999997</v>
      </c>
      <c r="AJ17" s="307">
        <f>'EF peternakan'!$C$32</f>
        <v>0.01</v>
      </c>
      <c r="AK17" s="85">
        <f t="shared" si="8"/>
        <v>117.61374893714284</v>
      </c>
      <c r="AS17" s="6"/>
      <c r="AT17" s="292" t="s">
        <v>72</v>
      </c>
      <c r="AU17" s="86">
        <f t="shared" ref="AU17:AU20" si="111">AI17</f>
        <v>7484.5112959999997</v>
      </c>
      <c r="AV17" s="9"/>
      <c r="AW17" s="9"/>
      <c r="AX17" s="9"/>
      <c r="AY17" s="97"/>
      <c r="BB17" s="6"/>
      <c r="BC17" s="292" t="s">
        <v>72</v>
      </c>
      <c r="BD17" s="44">
        <f>E45</f>
        <v>626591</v>
      </c>
      <c r="BE17" s="87">
        <f>'EF peternakan'!$G$10</f>
        <v>0.82</v>
      </c>
      <c r="BF17" s="87">
        <f>'EF peternakan'!$H$10</f>
        <v>2</v>
      </c>
      <c r="BG17" s="92">
        <f t="shared" ref="BG17:BG21" si="112">BE17*(BF17/10^3)*365</f>
        <v>0.59860000000000002</v>
      </c>
      <c r="BH17" s="89">
        <f t="shared" ref="BH17:BH21" si="113">BI$26/100</f>
        <v>0.02</v>
      </c>
      <c r="BI17" s="83">
        <f t="shared" si="108"/>
        <v>7501.5474519999998</v>
      </c>
      <c r="BJ17" s="307">
        <f>'EF peternakan'!$C$32</f>
        <v>0.01</v>
      </c>
      <c r="BK17" s="85">
        <f t="shared" si="14"/>
        <v>117.88145996</v>
      </c>
      <c r="BS17" s="6"/>
      <c r="BT17" s="292" t="s">
        <v>72</v>
      </c>
      <c r="BU17" s="86">
        <f t="shared" ref="BU17:BU21" si="114">BI17</f>
        <v>7501.5474519999998</v>
      </c>
      <c r="BV17" s="9"/>
      <c r="BW17" s="9"/>
      <c r="BX17" s="9"/>
      <c r="BY17" s="97"/>
      <c r="CB17" s="6"/>
      <c r="CC17" s="292" t="s">
        <v>72</v>
      </c>
      <c r="CD17" s="86">
        <f>F45</f>
        <v>633398</v>
      </c>
      <c r="CE17" s="87">
        <f>'EF peternakan'!$G$10</f>
        <v>0.82</v>
      </c>
      <c r="CF17" s="87">
        <f>'EF peternakan'!$H$10</f>
        <v>2</v>
      </c>
      <c r="CG17" s="92">
        <f t="shared" si="18"/>
        <v>0.59860000000000002</v>
      </c>
      <c r="CH17" s="89">
        <f t="shared" si="19"/>
        <v>0.02</v>
      </c>
      <c r="CI17" s="83">
        <f t="shared" ref="CI17:CI21" si="115">CD17*CG17*CH17</f>
        <v>7583.0408559999996</v>
      </c>
      <c r="CJ17" s="307">
        <f>'EF peternakan'!$C$32</f>
        <v>0.01</v>
      </c>
      <c r="CK17" s="85">
        <f t="shared" si="21"/>
        <v>119.16207059428571</v>
      </c>
      <c r="CS17" s="6"/>
      <c r="CT17" s="292" t="s">
        <v>72</v>
      </c>
      <c r="CU17" s="86">
        <f t="shared" ref="CU17:CU21" si="116">CI17</f>
        <v>7583.0408559999996</v>
      </c>
      <c r="CV17" s="9"/>
      <c r="CW17" s="9"/>
      <c r="CX17" s="9"/>
      <c r="CY17" s="97"/>
      <c r="DB17" s="6"/>
      <c r="DC17" s="292" t="s">
        <v>72</v>
      </c>
      <c r="DD17" s="44">
        <f>G45</f>
        <v>465533</v>
      </c>
      <c r="DE17" s="87">
        <f>'EF peternakan'!$G$10</f>
        <v>0.82</v>
      </c>
      <c r="DF17" s="87">
        <f>'EF peternakan'!$H$10</f>
        <v>2</v>
      </c>
      <c r="DG17" s="92">
        <f t="shared" si="25"/>
        <v>0.59860000000000002</v>
      </c>
      <c r="DH17" s="89">
        <f t="shared" si="26"/>
        <v>0.02</v>
      </c>
      <c r="DI17" s="83">
        <f>DD17*DG17*DH17</f>
        <v>5573.3610760000001</v>
      </c>
      <c r="DJ17" s="307">
        <f>'EF peternakan'!$C$32</f>
        <v>0.01</v>
      </c>
      <c r="DK17" s="85">
        <f t="shared" ref="DK17:DK21" si="117">DI17*DJ17*(44/28)</f>
        <v>87.581388337142869</v>
      </c>
      <c r="DS17" s="6"/>
      <c r="DT17" s="292" t="s">
        <v>72</v>
      </c>
      <c r="DU17" s="86">
        <f t="shared" ref="DU17:DU21" si="118">DI17</f>
        <v>5573.3610760000001</v>
      </c>
      <c r="DV17" s="9"/>
      <c r="DW17" s="9"/>
      <c r="DX17" s="9"/>
      <c r="DY17" s="97"/>
      <c r="EB17" s="6"/>
      <c r="EC17" s="292" t="s">
        <v>72</v>
      </c>
      <c r="ED17" s="86">
        <f t="shared" si="89"/>
        <v>470495</v>
      </c>
      <c r="EE17" s="87">
        <f>'EF peternakan'!$G$10</f>
        <v>0.82</v>
      </c>
      <c r="EF17" s="87">
        <f>'EF peternakan'!$H$10</f>
        <v>2</v>
      </c>
      <c r="EG17" s="92">
        <f t="shared" si="32"/>
        <v>0.59860000000000002</v>
      </c>
      <c r="EH17" s="89">
        <f t="shared" si="33"/>
        <v>0.02</v>
      </c>
      <c r="EI17" s="83">
        <f t="shared" si="34"/>
        <v>5632.7661400000006</v>
      </c>
      <c r="EJ17" s="307">
        <f>'EF peternakan'!$C$32</f>
        <v>0.01</v>
      </c>
      <c r="EK17" s="85">
        <f t="shared" si="35"/>
        <v>88.514896485714303</v>
      </c>
      <c r="ES17" s="6"/>
      <c r="ET17" s="292" t="s">
        <v>72</v>
      </c>
      <c r="EU17" s="86">
        <f t="shared" si="110"/>
        <v>5632.7661400000006</v>
      </c>
      <c r="EV17" s="9"/>
      <c r="EW17" s="9"/>
      <c r="EX17" s="9"/>
      <c r="EY17" s="97"/>
      <c r="FB17" s="6"/>
      <c r="FC17" s="292" t="s">
        <v>72</v>
      </c>
      <c r="FD17" s="86">
        <f t="shared" si="91"/>
        <v>470745</v>
      </c>
      <c r="FE17" s="87">
        <f>'EF peternakan'!$G$10</f>
        <v>0.82</v>
      </c>
      <c r="FF17" s="87">
        <f>'EF peternakan'!$H$10</f>
        <v>2</v>
      </c>
      <c r="FG17" s="92">
        <f t="shared" si="39"/>
        <v>0.59860000000000002</v>
      </c>
      <c r="FH17" s="89">
        <f t="shared" si="40"/>
        <v>0.02</v>
      </c>
      <c r="FI17" s="83">
        <f t="shared" ref="FI17:FI21" si="119">FD17*FG17*FH17</f>
        <v>5635.7591400000001</v>
      </c>
      <c r="FJ17" s="88">
        <f>'EF peternakan'!$C$32</f>
        <v>0.01</v>
      </c>
      <c r="FK17" s="85">
        <f t="shared" ref="FK17:FK21" si="120">FI17*FJ17*(44/28)</f>
        <v>88.561929342857141</v>
      </c>
      <c r="FS17" s="6"/>
      <c r="FT17" s="292" t="s">
        <v>72</v>
      </c>
      <c r="FU17" s="86">
        <f t="shared" si="94"/>
        <v>5635.7591400000001</v>
      </c>
      <c r="FV17" s="9"/>
      <c r="FW17" s="9"/>
      <c r="FX17" s="9"/>
      <c r="FY17" s="97"/>
      <c r="GB17" s="6"/>
      <c r="GC17" s="292" t="s">
        <v>72</v>
      </c>
      <c r="GD17" s="86">
        <f t="shared" si="97"/>
        <v>471245</v>
      </c>
      <c r="GE17" s="87">
        <f>'EF peternakan'!$G$10</f>
        <v>0.82</v>
      </c>
      <c r="GF17" s="87">
        <f>'EF peternakan'!$H$10</f>
        <v>2</v>
      </c>
      <c r="GG17" s="92">
        <f t="shared" si="43"/>
        <v>0.59860000000000002</v>
      </c>
      <c r="GH17" s="89">
        <f t="shared" si="44"/>
        <v>0.02</v>
      </c>
      <c r="GI17" s="83">
        <f t="shared" ref="GI17:GI21" si="121">GD17*GG17*GH17</f>
        <v>5641.74514</v>
      </c>
      <c r="GJ17" s="88">
        <f>'EF peternakan'!$C$32</f>
        <v>0.01</v>
      </c>
      <c r="GK17" s="85">
        <f t="shared" ref="GK17:GK21" si="122">GI17*GJ17*(44/28)</f>
        <v>88.65599505714286</v>
      </c>
      <c r="GS17" s="6"/>
      <c r="GT17" s="292" t="s">
        <v>72</v>
      </c>
      <c r="GU17" s="86">
        <f t="shared" si="47"/>
        <v>5641.74514</v>
      </c>
      <c r="GV17" s="9"/>
      <c r="GW17" s="9"/>
      <c r="GX17" s="9"/>
      <c r="GY17" s="97"/>
      <c r="HB17" s="6"/>
      <c r="HC17" s="292" t="s">
        <v>72</v>
      </c>
      <c r="HD17" s="86">
        <f t="shared" si="99"/>
        <v>471495</v>
      </c>
      <c r="HE17" s="87">
        <f>'EF peternakan'!$G$10</f>
        <v>0.82</v>
      </c>
      <c r="HF17" s="87">
        <f>'EF peternakan'!$H$10</f>
        <v>2</v>
      </c>
      <c r="HG17" s="92">
        <f t="shared" si="51"/>
        <v>0.59860000000000002</v>
      </c>
      <c r="HH17" s="89">
        <f t="shared" si="52"/>
        <v>0.02</v>
      </c>
      <c r="HI17" s="83">
        <f t="shared" si="53"/>
        <v>5644.7381400000004</v>
      </c>
      <c r="HJ17" s="88">
        <f>'EF peternakan'!$C$32</f>
        <v>0.01</v>
      </c>
      <c r="HK17" s="85">
        <f t="shared" si="54"/>
        <v>88.703027914285727</v>
      </c>
      <c r="HS17" s="6"/>
      <c r="HT17" s="292" t="s">
        <v>72</v>
      </c>
      <c r="HU17" s="86">
        <f t="shared" si="100"/>
        <v>5644.7381400000004</v>
      </c>
      <c r="HV17" s="9"/>
      <c r="HW17" s="9"/>
      <c r="HX17" s="9"/>
      <c r="HY17" s="97"/>
      <c r="IB17" s="6"/>
      <c r="IC17" s="292" t="s">
        <v>72</v>
      </c>
      <c r="ID17" s="86">
        <f t="shared" si="102"/>
        <v>472495</v>
      </c>
      <c r="IE17" s="87">
        <f>'EF peternakan'!$G$10</f>
        <v>0.82</v>
      </c>
      <c r="IF17" s="87">
        <f>'EF peternakan'!$H$10</f>
        <v>2</v>
      </c>
      <c r="IG17" s="92">
        <f t="shared" si="58"/>
        <v>0.59860000000000002</v>
      </c>
      <c r="IH17" s="89">
        <f t="shared" si="59"/>
        <v>0.02</v>
      </c>
      <c r="II17" s="83">
        <f t="shared" si="60"/>
        <v>5656.7101400000001</v>
      </c>
      <c r="IJ17" s="88">
        <f>'EF peternakan'!$C$32</f>
        <v>0.01</v>
      </c>
      <c r="IK17" s="85">
        <f t="shared" si="61"/>
        <v>88.891159342857151</v>
      </c>
      <c r="IS17" s="6"/>
      <c r="IT17" s="292" t="s">
        <v>72</v>
      </c>
      <c r="IU17" s="86">
        <f t="shared" si="62"/>
        <v>5656.7101400000001</v>
      </c>
      <c r="IV17" s="9"/>
      <c r="IW17" s="9"/>
      <c r="IX17" s="9"/>
      <c r="IY17" s="97"/>
      <c r="JB17" s="6"/>
      <c r="JC17" s="292" t="s">
        <v>72</v>
      </c>
      <c r="JD17" s="86">
        <f t="shared" si="104"/>
        <v>0</v>
      </c>
      <c r="JE17" s="87">
        <f>'EF peternakan'!$G$10</f>
        <v>0.82</v>
      </c>
      <c r="JF17" s="87">
        <f>'EF peternakan'!$H$10</f>
        <v>2</v>
      </c>
      <c r="JG17" s="92">
        <f t="shared" si="66"/>
        <v>0.59860000000000002</v>
      </c>
      <c r="JH17" s="89">
        <f t="shared" si="67"/>
        <v>0.02</v>
      </c>
      <c r="JI17" s="83">
        <f t="shared" si="68"/>
        <v>0</v>
      </c>
      <c r="JJ17" s="88">
        <f>'EF peternakan'!$C$32</f>
        <v>0.01</v>
      </c>
      <c r="JK17" s="85">
        <f t="shared" si="69"/>
        <v>0</v>
      </c>
      <c r="JS17" s="6"/>
      <c r="JT17" s="292" t="s">
        <v>72</v>
      </c>
      <c r="JU17" s="86">
        <f t="shared" si="70"/>
        <v>0</v>
      </c>
      <c r="JV17" s="9"/>
      <c r="JW17" s="9"/>
      <c r="JX17" s="9"/>
      <c r="JY17" s="97"/>
    </row>
    <row r="18" spans="2:286" x14ac:dyDescent="0.25">
      <c r="B18" s="291"/>
      <c r="C18" s="292" t="s">
        <v>73</v>
      </c>
      <c r="D18" s="86">
        <f t="shared" ref="D18:D21" si="123">C46</f>
        <v>1821500</v>
      </c>
      <c r="E18" s="87">
        <f>'EF peternakan'!$G$11</f>
        <v>1.1000000000000001</v>
      </c>
      <c r="F18" s="294">
        <f>'EF peternakan'!$H$11</f>
        <v>2</v>
      </c>
      <c r="G18" s="9">
        <f t="shared" si="106"/>
        <v>0.80300000000000005</v>
      </c>
      <c r="H18" s="89">
        <f t="shared" si="75"/>
        <v>0.02</v>
      </c>
      <c r="I18" s="83">
        <f t="shared" si="107"/>
        <v>29253.29</v>
      </c>
      <c r="J18" s="307">
        <f>'EF peternakan'!$C$32</f>
        <v>0.01</v>
      </c>
      <c r="K18" s="85">
        <f t="shared" si="0"/>
        <v>459.69455714285721</v>
      </c>
      <c r="S18" s="6"/>
      <c r="T18" s="292" t="s">
        <v>73</v>
      </c>
      <c r="U18" s="86">
        <f t="shared" si="1"/>
        <v>29253.29</v>
      </c>
      <c r="V18" s="9"/>
      <c r="W18" s="9"/>
      <c r="X18" s="9"/>
      <c r="Y18" s="97"/>
      <c r="AB18" s="6"/>
      <c r="AC18" s="292" t="s">
        <v>73</v>
      </c>
      <c r="AD18" s="86">
        <f t="shared" si="77"/>
        <v>1903693</v>
      </c>
      <c r="AE18" s="87">
        <f>'EF peternakan'!$G$11</f>
        <v>1.1000000000000001</v>
      </c>
      <c r="AF18" s="87">
        <f>'EF peternakan'!$H$11</f>
        <v>2</v>
      </c>
      <c r="AG18" s="92">
        <f t="shared" si="5"/>
        <v>0.80300000000000005</v>
      </c>
      <c r="AH18" s="89">
        <f t="shared" si="6"/>
        <v>0.02</v>
      </c>
      <c r="AI18" s="83">
        <f t="shared" si="7"/>
        <v>30573.309580000001</v>
      </c>
      <c r="AJ18" s="307">
        <f>'EF peternakan'!$C$32</f>
        <v>0.01</v>
      </c>
      <c r="AK18" s="85">
        <f t="shared" si="8"/>
        <v>480.43772197142857</v>
      </c>
      <c r="AS18" s="6"/>
      <c r="AT18" s="292" t="s">
        <v>73</v>
      </c>
      <c r="AU18" s="86">
        <f t="shared" si="111"/>
        <v>30573.309580000001</v>
      </c>
      <c r="AV18" s="9"/>
      <c r="AW18" s="9"/>
      <c r="AX18" s="9"/>
      <c r="AY18" s="97"/>
      <c r="BB18" s="6"/>
      <c r="BC18" s="292" t="s">
        <v>73</v>
      </c>
      <c r="BD18" s="44">
        <f t="shared" ref="BD18:BD20" si="124">E46</f>
        <v>1825000</v>
      </c>
      <c r="BE18" s="87">
        <f>'EF peternakan'!$G$11</f>
        <v>1.1000000000000001</v>
      </c>
      <c r="BF18" s="87">
        <f>'EF peternakan'!$H$11</f>
        <v>2</v>
      </c>
      <c r="BG18" s="92">
        <f t="shared" si="112"/>
        <v>0.80300000000000005</v>
      </c>
      <c r="BH18" s="89">
        <f t="shared" si="113"/>
        <v>0.02</v>
      </c>
      <c r="BI18" s="83">
        <f t="shared" si="108"/>
        <v>29309.5</v>
      </c>
      <c r="BJ18" s="307">
        <f>'EF peternakan'!$C$32</f>
        <v>0.01</v>
      </c>
      <c r="BK18" s="85">
        <f t="shared" si="14"/>
        <v>460.57785714285717</v>
      </c>
      <c r="BS18" s="6"/>
      <c r="BT18" s="292" t="s">
        <v>73</v>
      </c>
      <c r="BU18" s="86">
        <f t="shared" si="114"/>
        <v>29309.5</v>
      </c>
      <c r="BV18" s="9"/>
      <c r="BW18" s="9"/>
      <c r="BX18" s="9"/>
      <c r="BY18" s="97"/>
      <c r="CB18" s="6"/>
      <c r="CC18" s="292" t="s">
        <v>73</v>
      </c>
      <c r="CD18" s="86">
        <f t="shared" ref="CD18:CD20" si="125">F46</f>
        <v>2192083</v>
      </c>
      <c r="CE18" s="87">
        <f>'EF peternakan'!$G$11</f>
        <v>1.1000000000000001</v>
      </c>
      <c r="CF18" s="87">
        <f>'EF peternakan'!$H$11</f>
        <v>2</v>
      </c>
      <c r="CG18" s="92">
        <f t="shared" si="18"/>
        <v>0.80300000000000005</v>
      </c>
      <c r="CH18" s="89">
        <f t="shared" si="19"/>
        <v>0.02</v>
      </c>
      <c r="CI18" s="83">
        <f t="shared" si="115"/>
        <v>35204.852980000003</v>
      </c>
      <c r="CJ18" s="307">
        <f>'EF peternakan'!$C$32</f>
        <v>0.01</v>
      </c>
      <c r="CK18" s="85">
        <f t="shared" si="21"/>
        <v>553.2191182571429</v>
      </c>
      <c r="CS18" s="6"/>
      <c r="CT18" s="292" t="s">
        <v>73</v>
      </c>
      <c r="CU18" s="86">
        <f t="shared" si="116"/>
        <v>35204.852980000003</v>
      </c>
      <c r="CV18" s="9"/>
      <c r="CW18" s="9"/>
      <c r="CX18" s="9"/>
      <c r="CY18" s="97"/>
      <c r="DB18" s="6"/>
      <c r="DC18" s="292" t="s">
        <v>73</v>
      </c>
      <c r="DD18" s="44">
        <f t="shared" ref="DD18:DD21" si="126">G46</f>
        <v>3705919</v>
      </c>
      <c r="DE18" s="87">
        <f>'EF peternakan'!$G$11</f>
        <v>1.1000000000000001</v>
      </c>
      <c r="DF18" s="87">
        <f>'EF peternakan'!$H$11</f>
        <v>2</v>
      </c>
      <c r="DG18" s="92">
        <f t="shared" si="25"/>
        <v>0.80300000000000005</v>
      </c>
      <c r="DH18" s="89">
        <f t="shared" si="26"/>
        <v>0.02</v>
      </c>
      <c r="DI18" s="83">
        <f t="shared" si="27"/>
        <v>59517.059140000012</v>
      </c>
      <c r="DJ18" s="307">
        <f>'EF peternakan'!$C$32</f>
        <v>0.01</v>
      </c>
      <c r="DK18" s="85">
        <f t="shared" si="117"/>
        <v>935.26807220000023</v>
      </c>
      <c r="DS18" s="6"/>
      <c r="DT18" s="292" t="s">
        <v>73</v>
      </c>
      <c r="DU18" s="86">
        <f t="shared" si="118"/>
        <v>59517.059140000012</v>
      </c>
      <c r="DV18" s="9"/>
      <c r="DW18" s="9"/>
      <c r="DX18" s="9"/>
      <c r="DY18" s="97"/>
      <c r="EB18" s="6"/>
      <c r="EC18" s="292" t="s">
        <v>73</v>
      </c>
      <c r="ED18" s="86">
        <f t="shared" si="89"/>
        <v>1648162</v>
      </c>
      <c r="EE18" s="87">
        <f>'EF peternakan'!$G$11</f>
        <v>1.1000000000000001</v>
      </c>
      <c r="EF18" s="87">
        <f>'EF peternakan'!$H$11</f>
        <v>2</v>
      </c>
      <c r="EG18" s="92">
        <f t="shared" si="32"/>
        <v>0.80300000000000005</v>
      </c>
      <c r="EH18" s="89">
        <f t="shared" si="33"/>
        <v>0.02</v>
      </c>
      <c r="EI18" s="83">
        <f>ED18*EG18*EH18</f>
        <v>26469.481720000003</v>
      </c>
      <c r="EJ18" s="307">
        <f>'EF peternakan'!$C$32</f>
        <v>0.01</v>
      </c>
      <c r="EK18" s="85">
        <f>EI18*EJ18*(44/28)</f>
        <v>415.94899845714292</v>
      </c>
      <c r="ES18" s="6"/>
      <c r="ET18" s="292" t="s">
        <v>73</v>
      </c>
      <c r="EU18" s="86">
        <f t="shared" si="110"/>
        <v>26469.481720000003</v>
      </c>
      <c r="EV18" s="9"/>
      <c r="EW18" s="9"/>
      <c r="EX18" s="9"/>
      <c r="EY18" s="97"/>
      <c r="FB18" s="6"/>
      <c r="FC18" s="292" t="s">
        <v>73</v>
      </c>
      <c r="FD18" s="86">
        <f t="shared" si="91"/>
        <v>1748805</v>
      </c>
      <c r="FE18" s="87">
        <f>'EF peternakan'!$G$11</f>
        <v>1.1000000000000001</v>
      </c>
      <c r="FF18" s="87">
        <f>'EF peternakan'!$H$11</f>
        <v>2</v>
      </c>
      <c r="FG18" s="92">
        <f t="shared" si="39"/>
        <v>0.80300000000000005</v>
      </c>
      <c r="FH18" s="89">
        <f t="shared" si="40"/>
        <v>0.02</v>
      </c>
      <c r="FI18" s="83">
        <f>FD18*FG18*FH18</f>
        <v>28085.808300000001</v>
      </c>
      <c r="FJ18" s="88">
        <f>'EF peternakan'!$C$32</f>
        <v>0.01</v>
      </c>
      <c r="FK18" s="85">
        <f>FI18*FJ18*(44/28)</f>
        <v>441.34841614285716</v>
      </c>
      <c r="FS18" s="6"/>
      <c r="FT18" s="292" t="s">
        <v>73</v>
      </c>
      <c r="FU18" s="86">
        <f t="shared" si="94"/>
        <v>28085.808300000001</v>
      </c>
      <c r="FV18" s="9"/>
      <c r="FW18" s="9"/>
      <c r="FX18" s="9"/>
      <c r="FY18" s="97"/>
      <c r="GB18" s="6"/>
      <c r="GC18" s="292" t="s">
        <v>73</v>
      </c>
      <c r="GD18" s="86">
        <f t="shared" si="97"/>
        <v>1859196</v>
      </c>
      <c r="GE18" s="87">
        <f>'EF peternakan'!$G$11</f>
        <v>1.1000000000000001</v>
      </c>
      <c r="GF18" s="87">
        <f>'EF peternakan'!$H$11</f>
        <v>2</v>
      </c>
      <c r="GG18" s="92">
        <f t="shared" si="43"/>
        <v>0.80300000000000005</v>
      </c>
      <c r="GH18" s="89">
        <f t="shared" si="44"/>
        <v>0.02</v>
      </c>
      <c r="GI18" s="83">
        <f t="shared" si="121"/>
        <v>29858.687760000001</v>
      </c>
      <c r="GJ18" s="88">
        <f>'EF peternakan'!$C$32</f>
        <v>0.01</v>
      </c>
      <c r="GK18" s="85">
        <f t="shared" si="122"/>
        <v>469.20795051428576</v>
      </c>
      <c r="GS18" s="6"/>
      <c r="GT18" s="292" t="s">
        <v>73</v>
      </c>
      <c r="GU18" s="86">
        <f t="shared" si="47"/>
        <v>29858.687760000001</v>
      </c>
      <c r="GV18" s="9"/>
      <c r="GW18" s="9"/>
      <c r="GX18" s="9"/>
      <c r="GY18" s="97"/>
      <c r="HB18" s="6"/>
      <c r="HC18" s="292" t="s">
        <v>73</v>
      </c>
      <c r="HD18" s="86">
        <f t="shared" si="99"/>
        <v>1938835</v>
      </c>
      <c r="HE18" s="87">
        <f>'EF peternakan'!$G$11</f>
        <v>1.1000000000000001</v>
      </c>
      <c r="HF18" s="87">
        <f>'EF peternakan'!$H$11</f>
        <v>2</v>
      </c>
      <c r="HG18" s="92">
        <f t="shared" si="51"/>
        <v>0.80300000000000005</v>
      </c>
      <c r="HH18" s="89">
        <f t="shared" si="52"/>
        <v>0.02</v>
      </c>
      <c r="HI18" s="83">
        <f t="shared" si="53"/>
        <v>31137.690100000003</v>
      </c>
      <c r="HJ18" s="88">
        <f>'EF peternakan'!$C$32</f>
        <v>0.01</v>
      </c>
      <c r="HK18" s="85">
        <f t="shared" si="54"/>
        <v>489.30655871428576</v>
      </c>
      <c r="HS18" s="6"/>
      <c r="HT18" s="292" t="s">
        <v>73</v>
      </c>
      <c r="HU18" s="86">
        <f t="shared" si="100"/>
        <v>31137.690100000003</v>
      </c>
      <c r="HV18" s="9"/>
      <c r="HW18" s="9"/>
      <c r="HX18" s="9"/>
      <c r="HY18" s="97"/>
      <c r="IB18" s="6"/>
      <c r="IC18" s="292" t="s">
        <v>73</v>
      </c>
      <c r="ID18" s="86">
        <f t="shared" si="102"/>
        <v>2013722</v>
      </c>
      <c r="IE18" s="87">
        <f>'EF peternakan'!$G$11</f>
        <v>1.1000000000000001</v>
      </c>
      <c r="IF18" s="87">
        <f>'EF peternakan'!$H$11</f>
        <v>2</v>
      </c>
      <c r="IG18" s="92">
        <f t="shared" si="58"/>
        <v>0.80300000000000005</v>
      </c>
      <c r="IH18" s="89">
        <f t="shared" si="59"/>
        <v>0.02</v>
      </c>
      <c r="II18" s="83">
        <f t="shared" si="60"/>
        <v>32340.375320000003</v>
      </c>
      <c r="IJ18" s="88">
        <f>'EF peternakan'!$C$32</f>
        <v>0.01</v>
      </c>
      <c r="IK18" s="85">
        <f t="shared" si="61"/>
        <v>508.20589788571436</v>
      </c>
      <c r="IS18" s="6"/>
      <c r="IT18" s="292" t="s">
        <v>73</v>
      </c>
      <c r="IU18" s="86">
        <f t="shared" si="62"/>
        <v>32340.375320000003</v>
      </c>
      <c r="IV18" s="9"/>
      <c r="IW18" s="9"/>
      <c r="IX18" s="9"/>
      <c r="IY18" s="97"/>
      <c r="JB18" s="6"/>
      <c r="JC18" s="292" t="s">
        <v>73</v>
      </c>
      <c r="JD18" s="86">
        <f t="shared" si="104"/>
        <v>0</v>
      </c>
      <c r="JE18" s="87">
        <f>'EF peternakan'!$G$11</f>
        <v>1.1000000000000001</v>
      </c>
      <c r="JF18" s="87">
        <f>'EF peternakan'!$H$11</f>
        <v>2</v>
      </c>
      <c r="JG18" s="92">
        <f t="shared" si="66"/>
        <v>0.80300000000000005</v>
      </c>
      <c r="JH18" s="89">
        <f t="shared" si="67"/>
        <v>0.02</v>
      </c>
      <c r="JI18" s="83">
        <f t="shared" si="68"/>
        <v>0</v>
      </c>
      <c r="JJ18" s="88">
        <f>'EF peternakan'!$C$32</f>
        <v>0.01</v>
      </c>
      <c r="JK18" s="85">
        <f t="shared" si="69"/>
        <v>0</v>
      </c>
      <c r="JS18" s="6"/>
      <c r="JT18" s="292" t="s">
        <v>73</v>
      </c>
      <c r="JU18" s="86">
        <f t="shared" si="70"/>
        <v>0</v>
      </c>
      <c r="JV18" s="9"/>
      <c r="JW18" s="9"/>
      <c r="JX18" s="9"/>
      <c r="JY18" s="97"/>
    </row>
    <row r="19" spans="2:286" x14ac:dyDescent="0.25">
      <c r="B19" s="291"/>
      <c r="C19" s="292" t="s">
        <v>74</v>
      </c>
      <c r="D19" s="86">
        <f t="shared" si="123"/>
        <v>15000</v>
      </c>
      <c r="E19" s="87">
        <f>'EF peternakan'!$G$10</f>
        <v>0.82</v>
      </c>
      <c r="F19" s="294">
        <f>'EF peternakan'!$H$10</f>
        <v>2</v>
      </c>
      <c r="G19" s="9">
        <f t="shared" si="106"/>
        <v>0.59860000000000002</v>
      </c>
      <c r="H19" s="89">
        <f t="shared" si="75"/>
        <v>0.02</v>
      </c>
      <c r="I19" s="83">
        <f t="shared" si="107"/>
        <v>179.58</v>
      </c>
      <c r="J19" s="307">
        <f>'EF peternakan'!$C$32</f>
        <v>0.01</v>
      </c>
      <c r="K19" s="85">
        <f t="shared" si="0"/>
        <v>2.8219714285714286</v>
      </c>
      <c r="S19" s="6"/>
      <c r="T19" s="292" t="s">
        <v>74</v>
      </c>
      <c r="U19" s="86">
        <f t="shared" si="1"/>
        <v>179.58</v>
      </c>
      <c r="V19" s="9"/>
      <c r="W19" s="9"/>
      <c r="X19" s="9"/>
      <c r="Y19" s="97"/>
      <c r="AB19" s="6"/>
      <c r="AC19" s="292" t="s">
        <v>74</v>
      </c>
      <c r="AD19" s="86">
        <f t="shared" si="77"/>
        <v>29293</v>
      </c>
      <c r="AE19" s="87">
        <f>'EF peternakan'!$G$10</f>
        <v>0.82</v>
      </c>
      <c r="AF19" s="87">
        <f>'EF peternakan'!$H$10</f>
        <v>2</v>
      </c>
      <c r="AG19" s="92">
        <f t="shared" si="5"/>
        <v>0.59860000000000002</v>
      </c>
      <c r="AH19" s="89">
        <f t="shared" si="6"/>
        <v>0.02</v>
      </c>
      <c r="AI19" s="83">
        <f t="shared" si="7"/>
        <v>350.69579600000003</v>
      </c>
      <c r="AJ19" s="307">
        <f>'EF peternakan'!$C$32</f>
        <v>0.01</v>
      </c>
      <c r="AK19" s="85">
        <f t="shared" si="8"/>
        <v>5.5109339371428572</v>
      </c>
      <c r="AS19" s="6"/>
      <c r="AT19" s="292" t="s">
        <v>74</v>
      </c>
      <c r="AU19" s="86">
        <f t="shared" si="111"/>
        <v>350.69579600000003</v>
      </c>
      <c r="AV19" s="9"/>
      <c r="AW19" s="9"/>
      <c r="AX19" s="9"/>
      <c r="AY19" s="97"/>
      <c r="BB19" s="6"/>
      <c r="BC19" s="292" t="s">
        <v>74</v>
      </c>
      <c r="BD19" s="44">
        <f t="shared" si="124"/>
        <v>29293</v>
      </c>
      <c r="BE19" s="87">
        <f>'EF peternakan'!$G$10</f>
        <v>0.82</v>
      </c>
      <c r="BF19" s="87">
        <f>'EF peternakan'!$H$10</f>
        <v>2</v>
      </c>
      <c r="BG19" s="92">
        <f t="shared" si="112"/>
        <v>0.59860000000000002</v>
      </c>
      <c r="BH19" s="89">
        <f t="shared" si="113"/>
        <v>0.02</v>
      </c>
      <c r="BI19" s="83">
        <f t="shared" si="108"/>
        <v>350.69579600000003</v>
      </c>
      <c r="BJ19" s="307">
        <f>'EF peternakan'!$C$32</f>
        <v>0.01</v>
      </c>
      <c r="BK19" s="85">
        <f t="shared" si="14"/>
        <v>5.5109339371428572</v>
      </c>
      <c r="BS19" s="6"/>
      <c r="BT19" s="292" t="s">
        <v>74</v>
      </c>
      <c r="BU19" s="86">
        <f t="shared" si="114"/>
        <v>350.69579600000003</v>
      </c>
      <c r="BV19" s="9"/>
      <c r="BW19" s="9"/>
      <c r="BX19" s="9"/>
      <c r="BY19" s="97"/>
      <c r="CB19" s="6"/>
      <c r="CC19" s="292" t="s">
        <v>74</v>
      </c>
      <c r="CD19" s="86">
        <f t="shared" si="125"/>
        <v>28166</v>
      </c>
      <c r="CE19" s="87">
        <f>'EF peternakan'!$G$10</f>
        <v>0.82</v>
      </c>
      <c r="CF19" s="87">
        <f>'EF peternakan'!$H$10</f>
        <v>2</v>
      </c>
      <c r="CG19" s="92">
        <f t="shared" si="18"/>
        <v>0.59860000000000002</v>
      </c>
      <c r="CH19" s="89">
        <f t="shared" si="19"/>
        <v>0.02</v>
      </c>
      <c r="CI19" s="83">
        <f t="shared" si="115"/>
        <v>337.203352</v>
      </c>
      <c r="CJ19" s="307">
        <f>'EF peternakan'!$C$32</f>
        <v>0.01</v>
      </c>
      <c r="CK19" s="85">
        <f t="shared" si="21"/>
        <v>5.2989098171428575</v>
      </c>
      <c r="CS19" s="6"/>
      <c r="CT19" s="292" t="s">
        <v>74</v>
      </c>
      <c r="CU19" s="86">
        <f t="shared" si="116"/>
        <v>337.203352</v>
      </c>
      <c r="CV19" s="9"/>
      <c r="CW19" s="9"/>
      <c r="CX19" s="9"/>
      <c r="CY19" s="97"/>
      <c r="DB19" s="6"/>
      <c r="DC19" s="292" t="s">
        <v>74</v>
      </c>
      <c r="DD19" s="44">
        <f t="shared" si="126"/>
        <v>40570</v>
      </c>
      <c r="DE19" s="87">
        <f>'EF peternakan'!$G$10</f>
        <v>0.82</v>
      </c>
      <c r="DF19" s="87">
        <f>'EF peternakan'!$H$10</f>
        <v>2</v>
      </c>
      <c r="DG19" s="92">
        <f t="shared" si="25"/>
        <v>0.59860000000000002</v>
      </c>
      <c r="DH19" s="89">
        <f t="shared" si="26"/>
        <v>0.02</v>
      </c>
      <c r="DI19" s="83">
        <f t="shared" si="27"/>
        <v>485.70404000000002</v>
      </c>
      <c r="DJ19" s="307">
        <f>'EF peternakan'!$C$32</f>
        <v>0.01</v>
      </c>
      <c r="DK19" s="85">
        <f t="shared" si="117"/>
        <v>7.6324920571428585</v>
      </c>
      <c r="DS19" s="6"/>
      <c r="DT19" s="292" t="s">
        <v>74</v>
      </c>
      <c r="DU19" s="86">
        <f t="shared" si="118"/>
        <v>485.70404000000002</v>
      </c>
      <c r="DV19" s="9"/>
      <c r="DW19" s="9"/>
      <c r="DX19" s="9"/>
      <c r="DY19" s="97"/>
      <c r="EB19" s="6"/>
      <c r="EC19" s="292" t="s">
        <v>74</v>
      </c>
      <c r="ED19" s="86">
        <f t="shared" si="89"/>
        <v>0</v>
      </c>
      <c r="EE19" s="87">
        <f>'EF peternakan'!$G$10</f>
        <v>0.82</v>
      </c>
      <c r="EF19" s="87">
        <f>'EF peternakan'!$H$10</f>
        <v>2</v>
      </c>
      <c r="EG19" s="92">
        <f t="shared" si="32"/>
        <v>0.59860000000000002</v>
      </c>
      <c r="EH19" s="89">
        <f t="shared" si="33"/>
        <v>0.02</v>
      </c>
      <c r="EI19" s="83">
        <f t="shared" si="34"/>
        <v>0</v>
      </c>
      <c r="EJ19" s="307">
        <f>'EF peternakan'!$C$32</f>
        <v>0.01</v>
      </c>
      <c r="EK19" s="85">
        <f t="shared" si="35"/>
        <v>0</v>
      </c>
      <c r="ES19" s="6"/>
      <c r="ET19" s="292" t="s">
        <v>74</v>
      </c>
      <c r="EU19" s="86">
        <f t="shared" si="110"/>
        <v>0</v>
      </c>
      <c r="EV19" s="9"/>
      <c r="EW19" s="9"/>
      <c r="EX19" s="9"/>
      <c r="EY19" s="97"/>
      <c r="FB19" s="6"/>
      <c r="FC19" s="292" t="s">
        <v>74</v>
      </c>
      <c r="FD19" s="86">
        <f t="shared" si="91"/>
        <v>0</v>
      </c>
      <c r="FE19" s="87">
        <f>'EF peternakan'!$G$10</f>
        <v>0.82</v>
      </c>
      <c r="FF19" s="87">
        <f>'EF peternakan'!$H$10</f>
        <v>2</v>
      </c>
      <c r="FG19" s="92">
        <f t="shared" si="39"/>
        <v>0.59860000000000002</v>
      </c>
      <c r="FH19" s="89">
        <f t="shared" si="40"/>
        <v>0.02</v>
      </c>
      <c r="FI19" s="83">
        <f t="shared" si="119"/>
        <v>0</v>
      </c>
      <c r="FJ19" s="88">
        <f>'EF peternakan'!$C$32</f>
        <v>0.01</v>
      </c>
      <c r="FK19" s="85">
        <f t="shared" si="120"/>
        <v>0</v>
      </c>
      <c r="FS19" s="6"/>
      <c r="FT19" s="292" t="s">
        <v>74</v>
      </c>
      <c r="FU19" s="86">
        <f t="shared" si="94"/>
        <v>0</v>
      </c>
      <c r="FV19" s="9"/>
      <c r="FW19" s="9"/>
      <c r="FX19" s="9"/>
      <c r="FY19" s="97"/>
      <c r="GB19" s="6"/>
      <c r="GC19" s="292" t="s">
        <v>74</v>
      </c>
      <c r="GD19" s="86">
        <f t="shared" si="97"/>
        <v>0</v>
      </c>
      <c r="GE19" s="87">
        <f>'EF peternakan'!$G$10</f>
        <v>0.82</v>
      </c>
      <c r="GF19" s="87">
        <f>'EF peternakan'!$H$10</f>
        <v>2</v>
      </c>
      <c r="GG19" s="92">
        <f t="shared" si="43"/>
        <v>0.59860000000000002</v>
      </c>
      <c r="GH19" s="89">
        <f t="shared" si="44"/>
        <v>0.02</v>
      </c>
      <c r="GI19" s="83">
        <f t="shared" si="121"/>
        <v>0</v>
      </c>
      <c r="GJ19" s="88">
        <f>'EF peternakan'!$C$32</f>
        <v>0.01</v>
      </c>
      <c r="GK19" s="85">
        <f t="shared" si="122"/>
        <v>0</v>
      </c>
      <c r="GS19" s="6"/>
      <c r="GT19" s="292" t="s">
        <v>74</v>
      </c>
      <c r="GU19" s="86">
        <f t="shared" si="47"/>
        <v>0</v>
      </c>
      <c r="GV19" s="9"/>
      <c r="GW19" s="9"/>
      <c r="GX19" s="9"/>
      <c r="GY19" s="97"/>
      <c r="HB19" s="6"/>
      <c r="HC19" s="292" t="s">
        <v>74</v>
      </c>
      <c r="HD19" s="86">
        <f t="shared" si="99"/>
        <v>0</v>
      </c>
      <c r="HE19" s="87">
        <f>'EF peternakan'!$G$10</f>
        <v>0.82</v>
      </c>
      <c r="HF19" s="87">
        <f>'EF peternakan'!$H$10</f>
        <v>2</v>
      </c>
      <c r="HG19" s="92">
        <f t="shared" si="51"/>
        <v>0.59860000000000002</v>
      </c>
      <c r="HH19" s="89">
        <f t="shared" si="52"/>
        <v>0.02</v>
      </c>
      <c r="HI19" s="83">
        <f t="shared" si="53"/>
        <v>0</v>
      </c>
      <c r="HJ19" s="88">
        <f>'EF peternakan'!$C$32</f>
        <v>0.01</v>
      </c>
      <c r="HK19" s="85">
        <f t="shared" si="54"/>
        <v>0</v>
      </c>
      <c r="HS19" s="6"/>
      <c r="HT19" s="292" t="s">
        <v>74</v>
      </c>
      <c r="HU19" s="86">
        <f t="shared" si="100"/>
        <v>0</v>
      </c>
      <c r="HV19" s="9"/>
      <c r="HW19" s="9"/>
      <c r="HX19" s="9"/>
      <c r="HY19" s="97"/>
      <c r="IB19" s="6"/>
      <c r="IC19" s="292" t="s">
        <v>74</v>
      </c>
      <c r="ID19" s="86">
        <f t="shared" si="102"/>
        <v>0</v>
      </c>
      <c r="IE19" s="87">
        <f>'EF peternakan'!$G$10</f>
        <v>0.82</v>
      </c>
      <c r="IF19" s="87">
        <f>'EF peternakan'!$H$10</f>
        <v>2</v>
      </c>
      <c r="IG19" s="92">
        <f t="shared" si="58"/>
        <v>0.59860000000000002</v>
      </c>
      <c r="IH19" s="89">
        <f t="shared" si="59"/>
        <v>0.02</v>
      </c>
      <c r="II19" s="83">
        <f t="shared" si="60"/>
        <v>0</v>
      </c>
      <c r="IJ19" s="88">
        <f>'EF peternakan'!$C$32</f>
        <v>0.01</v>
      </c>
      <c r="IK19" s="85">
        <f t="shared" si="61"/>
        <v>0</v>
      </c>
      <c r="IS19" s="6"/>
      <c r="IT19" s="292" t="s">
        <v>74</v>
      </c>
      <c r="IU19" s="86">
        <f t="shared" si="62"/>
        <v>0</v>
      </c>
      <c r="IV19" s="9"/>
      <c r="IW19" s="9"/>
      <c r="IX19" s="9"/>
      <c r="IY19" s="97"/>
      <c r="JB19" s="6"/>
      <c r="JC19" s="292" t="s">
        <v>74</v>
      </c>
      <c r="JD19" s="86">
        <f t="shared" si="104"/>
        <v>0</v>
      </c>
      <c r="JE19" s="87">
        <f>'EF peternakan'!$G$10</f>
        <v>0.82</v>
      </c>
      <c r="JF19" s="87">
        <f>'EF peternakan'!$H$10</f>
        <v>2</v>
      </c>
      <c r="JG19" s="92">
        <f t="shared" si="66"/>
        <v>0.59860000000000002</v>
      </c>
      <c r="JH19" s="89">
        <f t="shared" si="67"/>
        <v>0.02</v>
      </c>
      <c r="JI19" s="83">
        <f t="shared" si="68"/>
        <v>0</v>
      </c>
      <c r="JJ19" s="88">
        <f>'EF peternakan'!$C$32</f>
        <v>0.01</v>
      </c>
      <c r="JK19" s="85">
        <f t="shared" si="69"/>
        <v>0</v>
      </c>
      <c r="JS19" s="6"/>
      <c r="JT19" s="292" t="s">
        <v>74</v>
      </c>
      <c r="JU19" s="86">
        <f t="shared" si="70"/>
        <v>0</v>
      </c>
      <c r="JV19" s="9"/>
      <c r="JW19" s="9"/>
      <c r="JX19" s="9"/>
      <c r="JY19" s="97"/>
    </row>
    <row r="20" spans="2:286" x14ac:dyDescent="0.25">
      <c r="B20" s="291"/>
      <c r="C20" s="292" t="s">
        <v>75</v>
      </c>
      <c r="D20" s="86">
        <f t="shared" si="123"/>
        <v>11213</v>
      </c>
      <c r="E20" s="87">
        <f>'EF peternakan'!$G$13</f>
        <v>0.83</v>
      </c>
      <c r="F20" s="294">
        <f>'EF peternakan'!$H$13</f>
        <v>2</v>
      </c>
      <c r="G20" s="9">
        <f t="shared" si="106"/>
        <v>0.60589999999999999</v>
      </c>
      <c r="H20" s="89">
        <f t="shared" si="75"/>
        <v>0.02</v>
      </c>
      <c r="I20" s="83">
        <f t="shared" si="107"/>
        <v>135.87913399999999</v>
      </c>
      <c r="J20" s="307">
        <f>'EF peternakan'!$C$32</f>
        <v>0.01</v>
      </c>
      <c r="K20" s="85">
        <f t="shared" si="0"/>
        <v>2.1352435342857143</v>
      </c>
      <c r="S20" s="291"/>
      <c r="T20" s="292" t="s">
        <v>75</v>
      </c>
      <c r="U20" s="86">
        <f t="shared" si="1"/>
        <v>135.87913399999999</v>
      </c>
      <c r="V20" s="9"/>
      <c r="W20" s="9"/>
      <c r="X20" s="9"/>
      <c r="Y20" s="97"/>
      <c r="AB20" s="291"/>
      <c r="AC20" s="292" t="s">
        <v>75</v>
      </c>
      <c r="AD20" s="86">
        <f t="shared" si="77"/>
        <v>16588</v>
      </c>
      <c r="AE20" s="87">
        <f>'EF peternakan'!$G$13</f>
        <v>0.83</v>
      </c>
      <c r="AF20" s="87">
        <f>'EF peternakan'!$H$13</f>
        <v>2</v>
      </c>
      <c r="AG20" s="92">
        <f t="shared" si="5"/>
        <v>0.60589999999999999</v>
      </c>
      <c r="AH20" s="89">
        <f t="shared" si="6"/>
        <v>0.02</v>
      </c>
      <c r="AI20" s="83">
        <f t="shared" si="7"/>
        <v>201.013384</v>
      </c>
      <c r="AJ20" s="307">
        <f>'EF peternakan'!$C$32</f>
        <v>0.01</v>
      </c>
      <c r="AK20" s="85">
        <f t="shared" si="8"/>
        <v>3.1587817485714282</v>
      </c>
      <c r="AS20" s="291"/>
      <c r="AT20" s="292" t="s">
        <v>75</v>
      </c>
      <c r="AU20" s="86">
        <f t="shared" si="111"/>
        <v>201.013384</v>
      </c>
      <c r="AV20" s="9"/>
      <c r="AW20" s="9"/>
      <c r="AX20" s="9"/>
      <c r="AY20" s="97"/>
      <c r="BB20" s="291"/>
      <c r="BC20" s="292" t="s">
        <v>75</v>
      </c>
      <c r="BD20" s="44">
        <f t="shared" si="124"/>
        <v>17199</v>
      </c>
      <c r="BE20" s="87">
        <f>'EF peternakan'!$G$13</f>
        <v>0.83</v>
      </c>
      <c r="BF20" s="87">
        <f>'EF peternakan'!$H$13</f>
        <v>2</v>
      </c>
      <c r="BG20" s="92">
        <f t="shared" si="112"/>
        <v>0.60589999999999999</v>
      </c>
      <c r="BH20" s="89">
        <f t="shared" si="113"/>
        <v>0.02</v>
      </c>
      <c r="BI20" s="83">
        <f t="shared" si="108"/>
        <v>208.41748199999998</v>
      </c>
      <c r="BJ20" s="307">
        <f>'EF peternakan'!$C$32</f>
        <v>0.01</v>
      </c>
      <c r="BK20" s="85">
        <f t="shared" si="14"/>
        <v>3.2751318599999997</v>
      </c>
      <c r="BS20" s="291"/>
      <c r="BT20" s="292" t="s">
        <v>75</v>
      </c>
      <c r="BU20" s="86">
        <f t="shared" si="114"/>
        <v>208.41748199999998</v>
      </c>
      <c r="BV20" s="9"/>
      <c r="BW20" s="9"/>
      <c r="BX20" s="9"/>
      <c r="BY20" s="97"/>
      <c r="CB20" s="291"/>
      <c r="CC20" s="292" t="s">
        <v>75</v>
      </c>
      <c r="CD20" s="86">
        <f t="shared" si="125"/>
        <v>29446</v>
      </c>
      <c r="CE20" s="87">
        <f>'EF peternakan'!$G$13</f>
        <v>0.83</v>
      </c>
      <c r="CF20" s="87">
        <f>'EF peternakan'!$H$13</f>
        <v>2</v>
      </c>
      <c r="CG20" s="92">
        <f t="shared" si="18"/>
        <v>0.60589999999999999</v>
      </c>
      <c r="CH20" s="89">
        <f t="shared" si="19"/>
        <v>0.02</v>
      </c>
      <c r="CI20" s="83">
        <f t="shared" si="115"/>
        <v>356.82662799999997</v>
      </c>
      <c r="CJ20" s="307">
        <f>'EF peternakan'!$C$32</f>
        <v>0.01</v>
      </c>
      <c r="CK20" s="85">
        <f t="shared" si="21"/>
        <v>5.6072755828571417</v>
      </c>
      <c r="CS20" s="291"/>
      <c r="CT20" s="292" t="s">
        <v>75</v>
      </c>
      <c r="CU20" s="86">
        <f t="shared" si="116"/>
        <v>356.82662799999997</v>
      </c>
      <c r="CV20" s="9"/>
      <c r="CW20" s="9"/>
      <c r="CX20" s="9"/>
      <c r="CY20" s="97"/>
      <c r="DB20" s="291"/>
      <c r="DC20" s="292" t="s">
        <v>75</v>
      </c>
      <c r="DD20" s="44">
        <f t="shared" si="126"/>
        <v>21273</v>
      </c>
      <c r="DE20" s="87">
        <f>'EF peternakan'!$G$13</f>
        <v>0.83</v>
      </c>
      <c r="DF20" s="87">
        <f>'EF peternakan'!$H$13</f>
        <v>2</v>
      </c>
      <c r="DG20" s="92">
        <f t="shared" si="25"/>
        <v>0.60589999999999999</v>
      </c>
      <c r="DH20" s="89">
        <f t="shared" si="26"/>
        <v>0.02</v>
      </c>
      <c r="DI20" s="83">
        <f t="shared" si="27"/>
        <v>257.78621400000003</v>
      </c>
      <c r="DJ20" s="307">
        <f>'EF peternakan'!$C$32</f>
        <v>0.01</v>
      </c>
      <c r="DK20" s="85">
        <f t="shared" si="117"/>
        <v>4.05092622</v>
      </c>
      <c r="DS20" s="291"/>
      <c r="DT20" s="292" t="s">
        <v>75</v>
      </c>
      <c r="DU20" s="86">
        <f t="shared" si="118"/>
        <v>257.78621400000003</v>
      </c>
      <c r="DV20" s="9"/>
      <c r="DW20" s="9"/>
      <c r="DX20" s="9"/>
      <c r="DY20" s="97"/>
      <c r="EB20" s="291"/>
      <c r="EC20" s="292" t="s">
        <v>75</v>
      </c>
      <c r="ED20" s="86">
        <f t="shared" si="89"/>
        <v>5343</v>
      </c>
      <c r="EE20" s="87">
        <f>'EF peternakan'!$G$13</f>
        <v>0.83</v>
      </c>
      <c r="EF20" s="87">
        <f>'EF peternakan'!$H$13</f>
        <v>2</v>
      </c>
      <c r="EG20" s="92">
        <f t="shared" si="32"/>
        <v>0.60589999999999999</v>
      </c>
      <c r="EH20" s="89">
        <f t="shared" si="33"/>
        <v>0.02</v>
      </c>
      <c r="EI20" s="83">
        <f t="shared" si="34"/>
        <v>64.746474000000006</v>
      </c>
      <c r="EJ20" s="307">
        <f>'EF peternakan'!$C$32</f>
        <v>0.01</v>
      </c>
      <c r="EK20" s="85">
        <f t="shared" si="35"/>
        <v>1.0174445914285715</v>
      </c>
      <c r="ES20" s="291"/>
      <c r="ET20" s="292" t="s">
        <v>75</v>
      </c>
      <c r="EU20" s="86">
        <f t="shared" si="110"/>
        <v>64.746474000000006</v>
      </c>
      <c r="EV20" s="9"/>
      <c r="EW20" s="9"/>
      <c r="EX20" s="9"/>
      <c r="EY20" s="97"/>
      <c r="FB20" s="291"/>
      <c r="FC20" s="292" t="s">
        <v>75</v>
      </c>
      <c r="FD20" s="86">
        <f t="shared" si="91"/>
        <v>5450</v>
      </c>
      <c r="FE20" s="87">
        <f>'EF peternakan'!$G$13</f>
        <v>0.83</v>
      </c>
      <c r="FF20" s="87">
        <f>'EF peternakan'!$H$13</f>
        <v>2</v>
      </c>
      <c r="FG20" s="92">
        <f t="shared" si="39"/>
        <v>0.60589999999999999</v>
      </c>
      <c r="FH20" s="89">
        <f t="shared" si="40"/>
        <v>0.02</v>
      </c>
      <c r="FI20" s="83">
        <f t="shared" si="119"/>
        <v>66.043099999999995</v>
      </c>
      <c r="FJ20" s="88">
        <f>'EF peternakan'!$C$32</f>
        <v>0.01</v>
      </c>
      <c r="FK20" s="85">
        <f t="shared" si="120"/>
        <v>1.0378201428571427</v>
      </c>
      <c r="FS20" s="291"/>
      <c r="FT20" s="292" t="s">
        <v>75</v>
      </c>
      <c r="FU20" s="86">
        <f t="shared" si="94"/>
        <v>66.043099999999995</v>
      </c>
      <c r="FV20" s="9"/>
      <c r="FW20" s="9"/>
      <c r="FX20" s="9"/>
      <c r="FY20" s="97"/>
      <c r="GB20" s="291"/>
      <c r="GC20" s="292" t="s">
        <v>75</v>
      </c>
      <c r="GD20" s="86">
        <f t="shared" si="97"/>
        <v>5559</v>
      </c>
      <c r="GE20" s="87">
        <f>'EF peternakan'!$G$13</f>
        <v>0.83</v>
      </c>
      <c r="GF20" s="87">
        <f>'EF peternakan'!$H$13</f>
        <v>2</v>
      </c>
      <c r="GG20" s="92">
        <f t="shared" si="43"/>
        <v>0.60589999999999999</v>
      </c>
      <c r="GH20" s="89">
        <f t="shared" si="44"/>
        <v>0.02</v>
      </c>
      <c r="GI20" s="83">
        <f t="shared" si="121"/>
        <v>67.363962000000001</v>
      </c>
      <c r="GJ20" s="88">
        <f>'EF peternakan'!$C$32</f>
        <v>0.01</v>
      </c>
      <c r="GK20" s="85">
        <f t="shared" si="122"/>
        <v>1.0585765457142857</v>
      </c>
      <c r="GS20" s="291"/>
      <c r="GT20" s="292" t="s">
        <v>75</v>
      </c>
      <c r="GU20" s="86">
        <f t="shared" si="47"/>
        <v>67.363962000000001</v>
      </c>
      <c r="GV20" s="9"/>
      <c r="GW20" s="9"/>
      <c r="GX20" s="9"/>
      <c r="GY20" s="97"/>
      <c r="HB20" s="291"/>
      <c r="HC20" s="292" t="s">
        <v>75</v>
      </c>
      <c r="HD20" s="86">
        <f t="shared" si="99"/>
        <v>5670</v>
      </c>
      <c r="HE20" s="87">
        <f>'EF peternakan'!$G$13</f>
        <v>0.83</v>
      </c>
      <c r="HF20" s="87">
        <f>'EF peternakan'!$H$13</f>
        <v>2</v>
      </c>
      <c r="HG20" s="92">
        <f t="shared" si="51"/>
        <v>0.60589999999999999</v>
      </c>
      <c r="HH20" s="89">
        <f t="shared" si="52"/>
        <v>0.02</v>
      </c>
      <c r="HI20" s="83">
        <f t="shared" si="53"/>
        <v>68.709060000000008</v>
      </c>
      <c r="HJ20" s="88">
        <f>'EF peternakan'!$C$32</f>
        <v>0.01</v>
      </c>
      <c r="HK20" s="85">
        <f t="shared" si="54"/>
        <v>1.0797138000000002</v>
      </c>
      <c r="HS20" s="291"/>
      <c r="HT20" s="292" t="s">
        <v>75</v>
      </c>
      <c r="HU20" s="86">
        <f t="shared" si="100"/>
        <v>68.709060000000008</v>
      </c>
      <c r="HV20" s="9"/>
      <c r="HW20" s="9"/>
      <c r="HX20" s="9"/>
      <c r="HY20" s="97"/>
      <c r="IB20" s="291"/>
      <c r="IC20" s="292" t="s">
        <v>75</v>
      </c>
      <c r="ID20" s="86">
        <f t="shared" si="102"/>
        <v>5783</v>
      </c>
      <c r="IE20" s="87">
        <f>'EF peternakan'!$G$13</f>
        <v>0.83</v>
      </c>
      <c r="IF20" s="87">
        <f>'EF peternakan'!$H$13</f>
        <v>2</v>
      </c>
      <c r="IG20" s="92">
        <f t="shared" si="58"/>
        <v>0.60589999999999999</v>
      </c>
      <c r="IH20" s="89">
        <f t="shared" si="59"/>
        <v>0.02</v>
      </c>
      <c r="II20" s="83">
        <f t="shared" si="60"/>
        <v>70.078394000000003</v>
      </c>
      <c r="IJ20" s="88">
        <f>'EF peternakan'!$C$32</f>
        <v>0.01</v>
      </c>
      <c r="IK20" s="85">
        <f t="shared" si="61"/>
        <v>1.1012319057142856</v>
      </c>
      <c r="IS20" s="291"/>
      <c r="IT20" s="292" t="s">
        <v>75</v>
      </c>
      <c r="IU20" s="86">
        <f t="shared" si="62"/>
        <v>70.078394000000003</v>
      </c>
      <c r="IV20" s="9"/>
      <c r="IW20" s="9"/>
      <c r="IX20" s="9"/>
      <c r="IY20" s="97"/>
      <c r="JB20" s="291"/>
      <c r="JC20" s="292" t="s">
        <v>75</v>
      </c>
      <c r="JD20" s="86">
        <f t="shared" si="104"/>
        <v>0</v>
      </c>
      <c r="JE20" s="87">
        <f>'EF peternakan'!$G$13</f>
        <v>0.83</v>
      </c>
      <c r="JF20" s="87">
        <f>'EF peternakan'!$H$13</f>
        <v>2</v>
      </c>
      <c r="JG20" s="92">
        <f t="shared" si="66"/>
        <v>0.60589999999999999</v>
      </c>
      <c r="JH20" s="89">
        <f t="shared" si="67"/>
        <v>0.02</v>
      </c>
      <c r="JI20" s="83">
        <f t="shared" si="68"/>
        <v>0</v>
      </c>
      <c r="JJ20" s="88">
        <f>'EF peternakan'!$C$32</f>
        <v>0.01</v>
      </c>
      <c r="JK20" s="85">
        <f t="shared" si="69"/>
        <v>0</v>
      </c>
      <c r="JS20" s="291"/>
      <c r="JT20" s="292" t="s">
        <v>75</v>
      </c>
      <c r="JU20" s="86">
        <f t="shared" si="70"/>
        <v>0</v>
      </c>
      <c r="JV20" s="9"/>
      <c r="JW20" s="9"/>
      <c r="JX20" s="9"/>
      <c r="JY20" s="97"/>
    </row>
    <row r="21" spans="2:286" x14ac:dyDescent="0.25">
      <c r="B21" s="291"/>
      <c r="C21" s="271" t="s">
        <v>66</v>
      </c>
      <c r="D21" s="86">
        <f t="shared" si="123"/>
        <v>5800</v>
      </c>
      <c r="E21" s="87">
        <f>'EF peternakan'!$G$7</f>
        <v>0.5</v>
      </c>
      <c r="F21" s="294">
        <f>'EF peternakan'!$H$7</f>
        <v>100</v>
      </c>
      <c r="G21" s="9">
        <f t="shared" si="106"/>
        <v>18.25</v>
      </c>
      <c r="H21" s="89">
        <f t="shared" si="75"/>
        <v>0.02</v>
      </c>
      <c r="I21" s="83">
        <f>D21*G21*H21</f>
        <v>2117</v>
      </c>
      <c r="J21" s="88">
        <v>0.02</v>
      </c>
      <c r="K21" s="85">
        <f t="shared" si="0"/>
        <v>66.534285714285716</v>
      </c>
      <c r="S21" s="291"/>
      <c r="T21" s="271" t="s">
        <v>66</v>
      </c>
      <c r="U21" s="86">
        <f t="shared" si="1"/>
        <v>2117</v>
      </c>
      <c r="V21" s="9"/>
      <c r="W21" s="9"/>
      <c r="X21" s="9"/>
      <c r="Y21" s="97"/>
      <c r="AB21" s="291"/>
      <c r="AC21" s="271" t="s">
        <v>66</v>
      </c>
      <c r="AD21" s="86">
        <f>D49</f>
        <v>6591</v>
      </c>
      <c r="AE21" s="87">
        <f>'EF peternakan'!$G$7</f>
        <v>0.5</v>
      </c>
      <c r="AF21" s="87">
        <f>'EF peternakan'!$H$7</f>
        <v>100</v>
      </c>
      <c r="AG21" s="92">
        <f t="shared" si="5"/>
        <v>18.25</v>
      </c>
      <c r="AH21" s="89">
        <f t="shared" si="6"/>
        <v>0.02</v>
      </c>
      <c r="AI21" s="83">
        <f>AD21*AG21*AH21</f>
        <v>2405.7150000000001</v>
      </c>
      <c r="AJ21" s="88">
        <v>0.02</v>
      </c>
      <c r="AK21" s="85">
        <f t="shared" si="8"/>
        <v>75.608185714285725</v>
      </c>
      <c r="AS21" s="291"/>
      <c r="AT21" s="271" t="s">
        <v>66</v>
      </c>
      <c r="AU21" s="86">
        <f>AI21</f>
        <v>2405.7150000000001</v>
      </c>
      <c r="AV21" s="9"/>
      <c r="AW21" s="9"/>
      <c r="AX21" s="9"/>
      <c r="AY21" s="97"/>
      <c r="BB21" s="291"/>
      <c r="BC21" s="271" t="s">
        <v>66</v>
      </c>
      <c r="BD21" s="44">
        <f>E49</f>
        <v>5933</v>
      </c>
      <c r="BE21" s="87">
        <f>'EF peternakan'!$G$7</f>
        <v>0.5</v>
      </c>
      <c r="BF21" s="87">
        <f>'EF peternakan'!$H$7</f>
        <v>100</v>
      </c>
      <c r="BG21" s="92">
        <f t="shared" si="112"/>
        <v>18.25</v>
      </c>
      <c r="BH21" s="89">
        <f t="shared" si="113"/>
        <v>0.02</v>
      </c>
      <c r="BI21" s="83">
        <f t="shared" si="108"/>
        <v>2165.5450000000001</v>
      </c>
      <c r="BJ21" s="88">
        <v>0.02</v>
      </c>
      <c r="BK21" s="85">
        <f t="shared" si="14"/>
        <v>68.059985714285716</v>
      </c>
      <c r="BS21" s="291"/>
      <c r="BT21" s="271" t="s">
        <v>66</v>
      </c>
      <c r="BU21" s="86">
        <f t="shared" si="114"/>
        <v>2165.5450000000001</v>
      </c>
      <c r="BV21" s="9"/>
      <c r="BW21" s="9"/>
      <c r="BX21" s="9"/>
      <c r="BY21" s="97"/>
      <c r="CB21" s="291"/>
      <c r="CC21" s="271" t="s">
        <v>66</v>
      </c>
      <c r="CD21" s="86">
        <f>F49</f>
        <v>6528</v>
      </c>
      <c r="CE21" s="87">
        <f>'EF peternakan'!$G$7</f>
        <v>0.5</v>
      </c>
      <c r="CF21" s="87">
        <f>'EF peternakan'!$H$7</f>
        <v>100</v>
      </c>
      <c r="CG21" s="92">
        <f t="shared" si="18"/>
        <v>18.25</v>
      </c>
      <c r="CH21" s="89">
        <f t="shared" si="19"/>
        <v>0.02</v>
      </c>
      <c r="CI21" s="83">
        <f t="shared" si="115"/>
        <v>2382.7200000000003</v>
      </c>
      <c r="CJ21" s="88">
        <v>0.02</v>
      </c>
      <c r="CK21" s="85">
        <f t="shared" si="21"/>
        <v>74.885485714285721</v>
      </c>
      <c r="CS21" s="291"/>
      <c r="CT21" s="271" t="s">
        <v>66</v>
      </c>
      <c r="CU21" s="86">
        <f t="shared" si="116"/>
        <v>2382.7200000000003</v>
      </c>
      <c r="CV21" s="9"/>
      <c r="CW21" s="9"/>
      <c r="CX21" s="9"/>
      <c r="CY21" s="97"/>
      <c r="DB21" s="291"/>
      <c r="DC21" s="271" t="s">
        <v>66</v>
      </c>
      <c r="DD21" s="44">
        <f t="shared" si="126"/>
        <v>8445</v>
      </c>
      <c r="DE21" s="87">
        <f>'EF peternakan'!$G$7</f>
        <v>0.5</v>
      </c>
      <c r="DF21" s="87">
        <f>'EF peternakan'!$H$7</f>
        <v>100</v>
      </c>
      <c r="DG21" s="92">
        <f t="shared" si="25"/>
        <v>18.25</v>
      </c>
      <c r="DH21" s="89">
        <f t="shared" si="26"/>
        <v>0.02</v>
      </c>
      <c r="DI21" s="83">
        <f t="shared" si="27"/>
        <v>3082.4250000000002</v>
      </c>
      <c r="DJ21" s="88">
        <v>0.02</v>
      </c>
      <c r="DK21" s="85">
        <f t="shared" si="117"/>
        <v>96.876214285714298</v>
      </c>
      <c r="DS21" s="291"/>
      <c r="DT21" s="271" t="s">
        <v>66</v>
      </c>
      <c r="DU21" s="86">
        <f t="shared" si="118"/>
        <v>3082.4250000000002</v>
      </c>
      <c r="DV21" s="9"/>
      <c r="DW21" s="9"/>
      <c r="DX21" s="9"/>
      <c r="DY21" s="97"/>
      <c r="EB21" s="291"/>
      <c r="EC21" s="271" t="s">
        <v>66</v>
      </c>
      <c r="ED21" s="86">
        <f t="shared" si="89"/>
        <v>8906</v>
      </c>
      <c r="EE21" s="87">
        <f>'EF peternakan'!$G$7</f>
        <v>0.5</v>
      </c>
      <c r="EF21" s="87">
        <f>'EF peternakan'!$H$7</f>
        <v>100</v>
      </c>
      <c r="EG21" s="92">
        <f t="shared" si="32"/>
        <v>18.25</v>
      </c>
      <c r="EH21" s="89">
        <f t="shared" si="33"/>
        <v>0.02</v>
      </c>
      <c r="EI21" s="83">
        <f t="shared" si="34"/>
        <v>3250.69</v>
      </c>
      <c r="EJ21" s="88">
        <v>0.02</v>
      </c>
      <c r="EK21" s="85">
        <f t="shared" si="35"/>
        <v>102.16454285714286</v>
      </c>
      <c r="ES21" s="291"/>
      <c r="ET21" s="271" t="s">
        <v>66</v>
      </c>
      <c r="EU21" s="86">
        <f t="shared" si="110"/>
        <v>3250.69</v>
      </c>
      <c r="EV21" s="9"/>
      <c r="EW21" s="9"/>
      <c r="EX21" s="9"/>
      <c r="EY21" s="97"/>
      <c r="FB21" s="291"/>
      <c r="FC21" s="271" t="s">
        <v>66</v>
      </c>
      <c r="FD21" s="86">
        <f t="shared" si="91"/>
        <v>9150</v>
      </c>
      <c r="FE21" s="87">
        <f>'EF peternakan'!$G$7</f>
        <v>0.5</v>
      </c>
      <c r="FF21" s="87">
        <f>'EF peternakan'!$H$7</f>
        <v>100</v>
      </c>
      <c r="FG21" s="92">
        <f t="shared" si="39"/>
        <v>18.25</v>
      </c>
      <c r="FH21" s="89">
        <f t="shared" si="40"/>
        <v>0.02</v>
      </c>
      <c r="FI21" s="83">
        <f t="shared" si="119"/>
        <v>3339.75</v>
      </c>
      <c r="FJ21" s="307">
        <f>'EF peternakan'!$C$30</f>
        <v>0</v>
      </c>
      <c r="FK21" s="85">
        <f t="shared" si="120"/>
        <v>0</v>
      </c>
      <c r="FS21" s="291"/>
      <c r="FT21" s="271" t="s">
        <v>66</v>
      </c>
      <c r="FU21" s="86">
        <f t="shared" si="94"/>
        <v>3339.75</v>
      </c>
      <c r="FV21" s="9"/>
      <c r="FW21" s="9"/>
      <c r="FX21" s="9"/>
      <c r="FY21" s="97"/>
      <c r="GB21" s="291"/>
      <c r="GC21" s="271" t="s">
        <v>66</v>
      </c>
      <c r="GD21" s="86">
        <f t="shared" si="97"/>
        <v>9636</v>
      </c>
      <c r="GE21" s="87">
        <f>'EF peternakan'!$G$7</f>
        <v>0.5</v>
      </c>
      <c r="GF21" s="87">
        <f>'EF peternakan'!$H$7</f>
        <v>100</v>
      </c>
      <c r="GG21" s="92">
        <f t="shared" si="43"/>
        <v>18.25</v>
      </c>
      <c r="GH21" s="89">
        <f t="shared" si="44"/>
        <v>0.02</v>
      </c>
      <c r="GI21" s="83">
        <f t="shared" si="121"/>
        <v>3517.14</v>
      </c>
      <c r="GJ21" s="307">
        <f>'EF peternakan'!$C$30</f>
        <v>0</v>
      </c>
      <c r="GK21" s="85">
        <f t="shared" si="122"/>
        <v>0</v>
      </c>
      <c r="GS21" s="291"/>
      <c r="GT21" s="271" t="s">
        <v>66</v>
      </c>
      <c r="GU21" s="86">
        <f t="shared" si="47"/>
        <v>3517.14</v>
      </c>
      <c r="GV21" s="9"/>
      <c r="GW21" s="9"/>
      <c r="GX21" s="9"/>
      <c r="GY21" s="97"/>
      <c r="HB21" s="291"/>
      <c r="HC21" s="271" t="s">
        <v>66</v>
      </c>
      <c r="HD21" s="86">
        <f t="shared" si="99"/>
        <v>10243</v>
      </c>
      <c r="HE21" s="87">
        <f>'EF peternakan'!$G$7</f>
        <v>0.5</v>
      </c>
      <c r="HF21" s="87">
        <f>'EF peternakan'!$H$7</f>
        <v>100</v>
      </c>
      <c r="HG21" s="92">
        <f t="shared" si="51"/>
        <v>18.25</v>
      </c>
      <c r="HH21" s="89">
        <f t="shared" si="52"/>
        <v>0.02</v>
      </c>
      <c r="HI21" s="83">
        <f t="shared" si="53"/>
        <v>3738.6950000000002</v>
      </c>
      <c r="HJ21" s="307">
        <f>'EF peternakan'!$C$30</f>
        <v>0</v>
      </c>
      <c r="HK21" s="85">
        <f t="shared" si="54"/>
        <v>0</v>
      </c>
      <c r="HS21" s="291"/>
      <c r="HT21" s="271" t="s">
        <v>66</v>
      </c>
      <c r="HU21" s="86">
        <f t="shared" si="100"/>
        <v>3738.6950000000002</v>
      </c>
      <c r="HV21" s="9"/>
      <c r="HW21" s="9"/>
      <c r="HX21" s="9"/>
      <c r="HY21" s="97"/>
      <c r="IB21" s="291"/>
      <c r="IC21" s="271" t="s">
        <v>66</v>
      </c>
      <c r="ID21" s="86">
        <f t="shared" si="102"/>
        <v>10706</v>
      </c>
      <c r="IE21" s="87">
        <f>'EF peternakan'!$G$7</f>
        <v>0.5</v>
      </c>
      <c r="IF21" s="87">
        <f>'EF peternakan'!$H$7</f>
        <v>100</v>
      </c>
      <c r="IG21" s="92">
        <f t="shared" si="58"/>
        <v>18.25</v>
      </c>
      <c r="IH21" s="89">
        <f t="shared" si="59"/>
        <v>0.02</v>
      </c>
      <c r="II21" s="83">
        <f t="shared" si="60"/>
        <v>3907.69</v>
      </c>
      <c r="IJ21" s="307">
        <f>'EF peternakan'!$C$30</f>
        <v>0</v>
      </c>
      <c r="IK21" s="85">
        <f t="shared" si="61"/>
        <v>0</v>
      </c>
      <c r="IS21" s="291"/>
      <c r="IT21" s="271" t="s">
        <v>66</v>
      </c>
      <c r="IU21" s="86">
        <f t="shared" si="62"/>
        <v>3907.69</v>
      </c>
      <c r="IV21" s="9"/>
      <c r="IW21" s="9"/>
      <c r="IX21" s="9"/>
      <c r="IY21" s="97"/>
      <c r="JB21" s="291"/>
      <c r="JC21" s="271" t="s">
        <v>66</v>
      </c>
      <c r="JD21" s="86">
        <f t="shared" si="104"/>
        <v>0</v>
      </c>
      <c r="JE21" s="87">
        <f>'EF peternakan'!$G$7</f>
        <v>0.5</v>
      </c>
      <c r="JF21" s="87">
        <f>'EF peternakan'!$H$7</f>
        <v>100</v>
      </c>
      <c r="JG21" s="92">
        <f t="shared" si="66"/>
        <v>18.25</v>
      </c>
      <c r="JH21" s="89">
        <f t="shared" si="67"/>
        <v>0.02</v>
      </c>
      <c r="JI21" s="83">
        <f t="shared" si="68"/>
        <v>0</v>
      </c>
      <c r="JJ21" s="307">
        <f>'EF peternakan'!$C$30</f>
        <v>0</v>
      </c>
      <c r="JK21" s="85">
        <f t="shared" si="69"/>
        <v>0</v>
      </c>
      <c r="JS21" s="291"/>
      <c r="JT21" s="271" t="s">
        <v>66</v>
      </c>
      <c r="JU21" s="86">
        <f t="shared" si="70"/>
        <v>0</v>
      </c>
      <c r="JV21" s="9"/>
      <c r="JW21" s="9"/>
      <c r="JX21" s="9"/>
      <c r="JY21" s="97"/>
    </row>
    <row r="22" spans="2:286" x14ac:dyDescent="0.25">
      <c r="B22" s="291"/>
      <c r="C22" s="292"/>
      <c r="D22" s="44"/>
      <c r="E22" s="9"/>
      <c r="F22" s="9"/>
      <c r="G22" s="9"/>
      <c r="H22" s="12"/>
      <c r="I22" s="12"/>
      <c r="J22" s="12"/>
      <c r="K22" s="2"/>
      <c r="S22" s="291"/>
      <c r="T22" s="292"/>
      <c r="U22" s="44"/>
      <c r="V22" s="9"/>
      <c r="W22" s="9"/>
      <c r="X22" s="9"/>
      <c r="Y22" s="97"/>
      <c r="AB22" s="291"/>
      <c r="AC22" s="292"/>
      <c r="AD22" s="44"/>
      <c r="AE22" s="9"/>
      <c r="AF22" s="9"/>
      <c r="AG22" s="9"/>
      <c r="AH22" s="12"/>
      <c r="AI22" s="12"/>
      <c r="AJ22" s="12"/>
      <c r="AK22" s="2"/>
      <c r="AS22" s="291"/>
      <c r="AT22" s="81"/>
      <c r="AU22" s="44"/>
      <c r="AV22" s="9"/>
      <c r="AW22" s="9"/>
      <c r="AX22" s="9"/>
      <c r="AY22" s="97"/>
      <c r="BB22" s="291"/>
      <c r="BC22" s="81"/>
      <c r="BD22" s="44"/>
      <c r="BE22" s="9"/>
      <c r="BF22" s="9"/>
      <c r="BG22" s="9"/>
      <c r="BH22" s="12"/>
      <c r="BI22" s="12"/>
      <c r="BJ22" s="12"/>
      <c r="BK22" s="2"/>
      <c r="BS22" s="291"/>
      <c r="BT22" s="81"/>
      <c r="BU22" s="44"/>
      <c r="BV22" s="9"/>
      <c r="BW22" s="9"/>
      <c r="BX22" s="9"/>
      <c r="BY22" s="97"/>
      <c r="CB22" s="291"/>
      <c r="CC22" s="81"/>
      <c r="CD22" s="44"/>
      <c r="CE22" s="9"/>
      <c r="CF22" s="9"/>
      <c r="CG22" s="9"/>
      <c r="CH22" s="12"/>
      <c r="CI22" s="12"/>
      <c r="CJ22" s="12"/>
      <c r="CK22" s="2"/>
      <c r="CS22" s="291"/>
      <c r="CT22" s="81"/>
      <c r="CU22" s="44"/>
      <c r="CV22" s="9"/>
      <c r="CW22" s="9"/>
      <c r="CX22" s="9"/>
      <c r="CY22" s="97"/>
      <c r="DB22" s="291"/>
      <c r="DC22" s="81"/>
      <c r="DD22" s="44"/>
      <c r="DE22" s="9"/>
      <c r="DF22" s="9"/>
      <c r="DG22" s="9"/>
      <c r="DH22" s="12"/>
      <c r="DI22" s="12"/>
      <c r="DJ22" s="12"/>
      <c r="DK22" s="2"/>
      <c r="DS22" s="291"/>
      <c r="DT22" s="81"/>
      <c r="DU22" s="44"/>
      <c r="DV22" s="9"/>
      <c r="DW22" s="9"/>
      <c r="DX22" s="9"/>
      <c r="DY22" s="97"/>
      <c r="EB22" s="291"/>
      <c r="EC22" s="81"/>
      <c r="ED22" s="44"/>
      <c r="EE22" s="9"/>
      <c r="EF22" s="9"/>
      <c r="EG22" s="9"/>
      <c r="EH22" s="12"/>
      <c r="EI22" s="12"/>
      <c r="EJ22" s="12"/>
      <c r="EK22" s="2"/>
      <c r="ES22" s="291"/>
      <c r="ET22" s="81"/>
      <c r="EU22" s="44"/>
      <c r="EV22" s="9"/>
      <c r="EW22" s="9"/>
      <c r="EX22" s="9"/>
      <c r="EY22" s="97"/>
      <c r="FB22" s="291"/>
      <c r="FC22" s="81"/>
      <c r="FD22" s="44"/>
      <c r="FE22" s="9"/>
      <c r="FF22" s="9"/>
      <c r="FG22" s="9"/>
      <c r="FH22" s="12"/>
      <c r="FI22" s="12"/>
      <c r="FJ22" s="12"/>
      <c r="FK22" s="2"/>
      <c r="FS22" s="291"/>
      <c r="FT22" s="81"/>
      <c r="FU22" s="44"/>
      <c r="FV22" s="9"/>
      <c r="FW22" s="9"/>
      <c r="FX22" s="9"/>
      <c r="FY22" s="97"/>
      <c r="GB22" s="291"/>
      <c r="GC22" s="81"/>
      <c r="GD22" s="44"/>
      <c r="GE22" s="9"/>
      <c r="GF22" s="9"/>
      <c r="GG22" s="9"/>
      <c r="GH22" s="12"/>
      <c r="GI22" s="12"/>
      <c r="GJ22" s="12"/>
      <c r="GK22" s="2"/>
      <c r="GS22" s="291"/>
      <c r="GT22" s="81"/>
      <c r="GU22" s="44"/>
      <c r="GV22" s="9"/>
      <c r="GW22" s="9"/>
      <c r="GX22" s="9"/>
      <c r="GY22" s="97"/>
      <c r="HB22" s="291"/>
      <c r="HC22" s="81"/>
      <c r="HD22" s="44"/>
      <c r="HE22" s="9"/>
      <c r="HF22" s="9"/>
      <c r="HG22" s="9"/>
      <c r="HH22" s="12"/>
      <c r="HI22" s="12"/>
      <c r="HJ22" s="12"/>
      <c r="HK22" s="2"/>
      <c r="HS22" s="291"/>
      <c r="HT22" s="81"/>
      <c r="HU22" s="44"/>
      <c r="HV22" s="9"/>
      <c r="HW22" s="9"/>
      <c r="HX22" s="9"/>
      <c r="HY22" s="97"/>
      <c r="IB22" s="291"/>
      <c r="IC22" s="81"/>
      <c r="ID22" s="44"/>
      <c r="IE22" s="9"/>
      <c r="IF22" s="9"/>
      <c r="IG22" s="9"/>
      <c r="IH22" s="12"/>
      <c r="II22" s="12"/>
      <c r="IJ22" s="12"/>
      <c r="IK22" s="2"/>
      <c r="IS22" s="291"/>
      <c r="IT22" s="81"/>
      <c r="IU22" s="44"/>
      <c r="IV22" s="9"/>
      <c r="IW22" s="9"/>
      <c r="IX22" s="9"/>
      <c r="IY22" s="97"/>
      <c r="JB22" s="291"/>
      <c r="JC22" s="81"/>
      <c r="JD22" s="44"/>
      <c r="JE22" s="9"/>
      <c r="JF22" s="9"/>
      <c r="JG22" s="9"/>
      <c r="JH22" s="12"/>
      <c r="JI22" s="12"/>
      <c r="JJ22" s="12"/>
      <c r="JK22" s="2"/>
      <c r="JS22" s="291"/>
      <c r="JT22" s="81"/>
      <c r="JU22" s="44"/>
      <c r="JV22" s="9"/>
      <c r="JW22" s="9"/>
      <c r="JX22" s="9"/>
      <c r="JY22" s="97"/>
    </row>
    <row r="23" spans="2:286" ht="15.75" thickBot="1" x14ac:dyDescent="0.3">
      <c r="B23" s="432" t="s">
        <v>76</v>
      </c>
      <c r="C23" s="433"/>
      <c r="D23" s="296">
        <f>SUM(D11:D21)</f>
        <v>2434104</v>
      </c>
      <c r="E23" s="297"/>
      <c r="F23" s="296">
        <f>SUM(F11:F21)</f>
        <v>1593</v>
      </c>
      <c r="G23" s="296">
        <f>SUM(G11:G21)</f>
        <v>269.95035000000007</v>
      </c>
      <c r="H23" s="298"/>
      <c r="I23" s="299">
        <f>SUM(I11:I21)</f>
        <v>51032.636914000002</v>
      </c>
      <c r="J23" s="298"/>
      <c r="K23" s="300">
        <f>SUM(K11:K21)</f>
        <v>1034.291391477143</v>
      </c>
      <c r="S23" s="432" t="s">
        <v>76</v>
      </c>
      <c r="T23" s="437"/>
      <c r="U23" s="45">
        <f>SUM(U11:U21)</f>
        <v>51032.636914000002</v>
      </c>
      <c r="V23" s="102"/>
      <c r="W23" s="45">
        <f>SUM(W11:W21)</f>
        <v>15309.7910742</v>
      </c>
      <c r="X23" s="102"/>
      <c r="Y23" s="98">
        <f>SUM(Y11:Y22)</f>
        <v>240.58243116600002</v>
      </c>
      <c r="AB23" s="432" t="s">
        <v>76</v>
      </c>
      <c r="AC23" s="433"/>
      <c r="AD23" s="45">
        <f>SUM(AD11:AD21)</f>
        <v>2605740</v>
      </c>
      <c r="AE23" s="50"/>
      <c r="AF23" s="296">
        <f>SUM(AF11:AF21)</f>
        <v>1593</v>
      </c>
      <c r="AG23" s="296">
        <f>SUM(AG11:AG21)</f>
        <v>269.95035000000007</v>
      </c>
      <c r="AH23" s="298"/>
      <c r="AI23" s="299">
        <f>SUM(AI11:AI21)</f>
        <v>54544.476676000006</v>
      </c>
      <c r="AJ23" s="298"/>
      <c r="AK23" s="300">
        <f>SUM(AK11:AK21)</f>
        <v>1107.5337946514287</v>
      </c>
      <c r="AS23" s="432" t="s">
        <v>76</v>
      </c>
      <c r="AT23" s="437"/>
      <c r="AU23" s="45">
        <f>SUM(AU11:AU21)</f>
        <v>54544.476676000006</v>
      </c>
      <c r="AV23" s="102"/>
      <c r="AW23" s="45">
        <f>SUM(AW11:AW21)</f>
        <v>16363.3430028</v>
      </c>
      <c r="AX23" s="102"/>
      <c r="AY23" s="98">
        <f>SUM(AY11:AY22)</f>
        <v>257.13824718685714</v>
      </c>
      <c r="BB23" s="432" t="s">
        <v>76</v>
      </c>
      <c r="BC23" s="433"/>
      <c r="BD23" s="45">
        <f>SUM(BD11:BD21)</f>
        <v>2530219</v>
      </c>
      <c r="BE23" s="50"/>
      <c r="BF23" s="100">
        <f>SUM(BF11:BF21)</f>
        <v>1593</v>
      </c>
      <c r="BG23" s="302">
        <f>SUM(BG11:BG21)</f>
        <v>269.95035000000007</v>
      </c>
      <c r="BH23" s="101"/>
      <c r="BI23" s="52">
        <f>SUM(BI11:BI21)</f>
        <v>54025.015829999997</v>
      </c>
      <c r="BJ23" s="101"/>
      <c r="BK23" s="53">
        <f>SUM(BK11:BK21)</f>
        <v>1110.6836860428573</v>
      </c>
      <c r="BS23" s="432" t="s">
        <v>76</v>
      </c>
      <c r="BT23" s="437"/>
      <c r="BU23" s="45">
        <f>SUM(BU11:BU21)</f>
        <v>54025.015829999997</v>
      </c>
      <c r="BV23" s="102"/>
      <c r="BW23" s="45">
        <f>SUM(BW11:BW21)</f>
        <v>16207.504748999998</v>
      </c>
      <c r="BX23" s="102"/>
      <c r="BY23" s="98">
        <f>SUM(BY11:BY22)</f>
        <v>254.68936034142854</v>
      </c>
      <c r="CB23" s="432" t="s">
        <v>76</v>
      </c>
      <c r="CC23" s="433"/>
      <c r="CD23" s="45">
        <f>SUM(CD11:CD21)</f>
        <v>2917691</v>
      </c>
      <c r="CE23" s="50"/>
      <c r="CF23" s="100">
        <f>SUM(CF11:CF21)</f>
        <v>1593</v>
      </c>
      <c r="CG23" s="302">
        <f>SUM(CG11:CG21)</f>
        <v>269.95035000000007</v>
      </c>
      <c r="CH23" s="101"/>
      <c r="CI23" s="52">
        <f>SUM(CI11:CI21)</f>
        <v>61162.705221000004</v>
      </c>
      <c r="CJ23" s="101"/>
      <c r="CK23" s="53">
        <f>SUM(CK11:CK21)</f>
        <v>1238.9690755514287</v>
      </c>
      <c r="CS23" s="432" t="s">
        <v>76</v>
      </c>
      <c r="CT23" s="437"/>
      <c r="CU23" s="45">
        <f>SUM(CU11:CU21)</f>
        <v>61162.705221000004</v>
      </c>
      <c r="CV23" s="102"/>
      <c r="CW23" s="45">
        <f>SUM(CW11:CW21)</f>
        <v>18348.811566299999</v>
      </c>
      <c r="CX23" s="102"/>
      <c r="CY23" s="98">
        <f>SUM(CY11:CY22)</f>
        <v>288.33846747042855</v>
      </c>
      <c r="DB23" s="432" t="s">
        <v>76</v>
      </c>
      <c r="DC23" s="433"/>
      <c r="DD23" s="45">
        <f>SUM(DD11:DD21)</f>
        <v>4271376</v>
      </c>
      <c r="DE23" s="50"/>
      <c r="DF23" s="100">
        <f>SUM(DF11:DF21)</f>
        <v>1593</v>
      </c>
      <c r="DG23" s="302">
        <f>SUM(DG11:DG21)</f>
        <v>269.95035000000007</v>
      </c>
      <c r="DH23" s="101"/>
      <c r="DI23" s="52">
        <f>SUM(DI11:DI21)</f>
        <v>85066.609095000022</v>
      </c>
      <c r="DJ23" s="101"/>
      <c r="DK23" s="53">
        <f>SUM(DK11:DK21)</f>
        <v>1638.989121314286</v>
      </c>
      <c r="DS23" s="432" t="s">
        <v>76</v>
      </c>
      <c r="DT23" s="437"/>
      <c r="DU23" s="45">
        <f>SUM(DU11:DU21)</f>
        <v>85066.609095000022</v>
      </c>
      <c r="DV23" s="102"/>
      <c r="DW23" s="45">
        <f>SUM(DW11:DW21)</f>
        <v>25519.982728500006</v>
      </c>
      <c r="DX23" s="102"/>
      <c r="DY23" s="98">
        <f>SUM(DY11:DY22)</f>
        <v>401.02830001928584</v>
      </c>
      <c r="EB23" s="432" t="s">
        <v>76</v>
      </c>
      <c r="EC23" s="433"/>
      <c r="ED23" s="45">
        <f>SUM(ED11:ED21)</f>
        <v>2163863</v>
      </c>
      <c r="EE23" s="50"/>
      <c r="EF23" s="100">
        <f>SUM(EF11:EF21)</f>
        <v>1593</v>
      </c>
      <c r="EG23" s="302">
        <f>SUM(EG11:EG21)</f>
        <v>269.95035000000007</v>
      </c>
      <c r="EH23" s="101"/>
      <c r="EI23" s="52">
        <f>SUM(EI11:EI21)</f>
        <v>52289.181534000003</v>
      </c>
      <c r="EJ23" s="101"/>
      <c r="EK23" s="53">
        <f>SUM(EK11:EK21)</f>
        <v>1137.8929372485713</v>
      </c>
      <c r="ES23" s="432" t="s">
        <v>76</v>
      </c>
      <c r="ET23" s="437"/>
      <c r="EU23" s="45">
        <f>SUM(EU11:EU21)</f>
        <v>52289.181534000003</v>
      </c>
      <c r="EV23" s="102"/>
      <c r="EW23" s="45">
        <f>SUM(EW11:EW21)</f>
        <v>15686.7544602</v>
      </c>
      <c r="EX23" s="102"/>
      <c r="EY23" s="98">
        <f>SUM(EY11:EY22)</f>
        <v>246.50614151742857</v>
      </c>
      <c r="FB23" s="432" t="s">
        <v>76</v>
      </c>
      <c r="FC23" s="433"/>
      <c r="FD23" s="45">
        <f>SUM(FD11:FD21)</f>
        <v>2266396.8149754046</v>
      </c>
      <c r="FE23" s="50"/>
      <c r="FF23" s="100">
        <f>SUM(FF11:FF21)</f>
        <v>1593</v>
      </c>
      <c r="FG23" s="302">
        <f>SUM(FG11:FG21)</f>
        <v>269.95035000000007</v>
      </c>
      <c r="FH23" s="101"/>
      <c r="FI23" s="299">
        <f>SUM(FI11:FI21)</f>
        <v>54669.869892238647</v>
      </c>
      <c r="FJ23" s="101"/>
      <c r="FK23" s="300">
        <f>SUM(FK11:FK21)</f>
        <v>530.94816562857147</v>
      </c>
      <c r="FS23" s="432" t="s">
        <v>76</v>
      </c>
      <c r="FT23" s="437"/>
      <c r="FU23" s="45">
        <f>SUM(FU11:FU21)</f>
        <v>54669.869892238647</v>
      </c>
      <c r="FV23" s="102"/>
      <c r="FW23" s="45">
        <f>SUM(FW11:FW21)</f>
        <v>16400.960967671592</v>
      </c>
      <c r="FX23" s="102"/>
      <c r="FY23" s="98">
        <f>SUM(FY11:FY22)</f>
        <v>257.72938663483927</v>
      </c>
      <c r="GB23" s="432" t="s">
        <v>76</v>
      </c>
      <c r="GC23" s="433"/>
      <c r="GD23" s="45">
        <f>SUM(GD11:GD21)</f>
        <v>2379310.8169864626</v>
      </c>
      <c r="GE23" s="50"/>
      <c r="GF23" s="100">
        <f>SUM(GF11:GF21)</f>
        <v>1593</v>
      </c>
      <c r="GG23" s="302">
        <f>SUM(GG11:GG21)</f>
        <v>269.95035000000007</v>
      </c>
      <c r="GH23" s="101"/>
      <c r="GI23" s="52">
        <f>SUM(GI11:GI21)</f>
        <v>57412.794602099922</v>
      </c>
      <c r="GJ23" s="101"/>
      <c r="GK23" s="53">
        <f>SUM(GK11:GK21)</f>
        <v>558.92252211714288</v>
      </c>
      <c r="GS23" s="432" t="s">
        <v>76</v>
      </c>
      <c r="GT23" s="437"/>
      <c r="GU23" s="45">
        <f>SUM(GU11:GU21)</f>
        <v>57412.794602099922</v>
      </c>
      <c r="GV23" s="102"/>
      <c r="GW23" s="45">
        <f>SUM(GW11:GW21)</f>
        <v>17223.838380629975</v>
      </c>
      <c r="GX23" s="102"/>
      <c r="GY23" s="98">
        <f>SUM(GY11:GY22)</f>
        <v>270.66031740989962</v>
      </c>
      <c r="HB23" s="432" t="s">
        <v>76</v>
      </c>
      <c r="HC23" s="433"/>
      <c r="HD23" s="45">
        <f>SUM(HD11:HD21)</f>
        <v>2461089.2824524031</v>
      </c>
      <c r="HE23" s="50"/>
      <c r="HF23" s="100">
        <f>SUM(HF11:HF21)</f>
        <v>1593</v>
      </c>
      <c r="HG23" s="302">
        <f>SUM(HG11:HG21)</f>
        <v>269.95035000000007</v>
      </c>
      <c r="HH23" s="101"/>
      <c r="HI23" s="52">
        <f>SUM(HI11:HI21)</f>
        <v>59636.021461716235</v>
      </c>
      <c r="HJ23" s="101"/>
      <c r="HK23" s="53">
        <f>SUM(HK11:HK21)</f>
        <v>579.08930042857151</v>
      </c>
      <c r="HS23" s="432" t="s">
        <v>76</v>
      </c>
      <c r="HT23" s="437"/>
      <c r="HU23" s="45">
        <f>SUM(HU11:HU21)</f>
        <v>59636.021461716235</v>
      </c>
      <c r="HV23" s="102"/>
      <c r="HW23" s="45">
        <f>SUM(HW11:HW21)</f>
        <v>4004.6975285148687</v>
      </c>
      <c r="HX23" s="102"/>
      <c r="HY23" s="98">
        <f>SUM(HY11:HY22)</f>
        <v>62.930961162376512</v>
      </c>
      <c r="IB23" s="432" t="s">
        <v>76</v>
      </c>
      <c r="IC23" s="433"/>
      <c r="ID23" s="45">
        <f>SUM(ID11:ID21)</f>
        <v>2538814.7479183441</v>
      </c>
      <c r="IE23" s="50"/>
      <c r="IF23" s="100">
        <f>SUM(IF11:IF21)</f>
        <v>1593</v>
      </c>
      <c r="IG23" s="302">
        <f>SUM(IG11:IG21)</f>
        <v>269.95035000000007</v>
      </c>
      <c r="IH23" s="101"/>
      <c r="II23" s="52">
        <f>SUM(II11:II21)</f>
        <v>61775.999997332518</v>
      </c>
      <c r="IJ23" s="101"/>
      <c r="IK23" s="53">
        <f>SUM(IK11:IK21)</f>
        <v>598.1982891342858</v>
      </c>
      <c r="IS23" s="432" t="s">
        <v>76</v>
      </c>
      <c r="IT23" s="437"/>
      <c r="IU23" s="45">
        <f>SUM(IU11:IU21)</f>
        <v>61775.999997332518</v>
      </c>
      <c r="IV23" s="102"/>
      <c r="IW23" s="45">
        <f>SUM(IW11:IW21)</f>
        <v>18532.799999199753</v>
      </c>
      <c r="IX23" s="102"/>
      <c r="IY23" s="98">
        <f>SUM(IY11:IY22)</f>
        <v>291.229714273139</v>
      </c>
      <c r="JB23" s="432" t="s">
        <v>76</v>
      </c>
      <c r="JC23" s="433"/>
      <c r="JD23" s="45">
        <f>SUM(JD11:JD21)</f>
        <v>0</v>
      </c>
      <c r="JE23" s="50"/>
      <c r="JF23" s="100">
        <f>SUM(JF11:JF21)</f>
        <v>1593</v>
      </c>
      <c r="JG23" s="302">
        <f>SUM(JG11:JG21)</f>
        <v>269.95035000000007</v>
      </c>
      <c r="JH23" s="101"/>
      <c r="JI23" s="52">
        <f>SUM(JI11:JI21)</f>
        <v>0</v>
      </c>
      <c r="JJ23" s="101"/>
      <c r="JK23" s="53">
        <f>SUM(JK11:JK21)</f>
        <v>0</v>
      </c>
      <c r="JS23" s="432" t="s">
        <v>76</v>
      </c>
      <c r="JT23" s="437"/>
      <c r="JU23" s="45">
        <f>SUM(JU11:JU21)</f>
        <v>0</v>
      </c>
      <c r="JV23" s="102"/>
      <c r="JW23" s="45">
        <f>SUM(JW11:JW21)</f>
        <v>0</v>
      </c>
      <c r="JX23" s="102"/>
      <c r="JY23" s="98">
        <f>SUM(JY11:JY22)</f>
        <v>0</v>
      </c>
    </row>
    <row r="25" spans="2:286" ht="16.5" customHeight="1" x14ac:dyDescent="0.35">
      <c r="B25" s="40"/>
      <c r="C25" s="33"/>
      <c r="D25" s="33"/>
      <c r="E25" s="200"/>
      <c r="F25" s="200"/>
      <c r="G25" s="200"/>
      <c r="H25" s="200"/>
      <c r="I25" s="436" t="s">
        <v>113</v>
      </c>
      <c r="J25" s="436"/>
      <c r="K25" t="s">
        <v>463</v>
      </c>
      <c r="S25" s="40"/>
      <c r="T25" s="33"/>
      <c r="U25" s="33"/>
      <c r="V25" s="54" t="s">
        <v>134</v>
      </c>
      <c r="W25" s="54" t="s">
        <v>136</v>
      </c>
      <c r="AB25" s="40"/>
      <c r="AC25" s="33"/>
      <c r="AD25" s="33"/>
      <c r="AE25" s="200"/>
      <c r="AF25" s="200"/>
      <c r="AG25" s="200"/>
      <c r="AH25" s="200"/>
      <c r="AI25" s="436" t="s">
        <v>113</v>
      </c>
      <c r="AJ25" s="436"/>
      <c r="AK25" t="s">
        <v>115</v>
      </c>
      <c r="AS25" s="40"/>
      <c r="AT25" s="33"/>
      <c r="AU25" s="33"/>
      <c r="AV25" s="200" t="s">
        <v>134</v>
      </c>
      <c r="AW25" s="200" t="s">
        <v>136</v>
      </c>
      <c r="BB25" s="40"/>
      <c r="BC25" s="33"/>
      <c r="BD25" s="33"/>
      <c r="BE25" s="200"/>
      <c r="BF25" s="200"/>
      <c r="BG25" s="200"/>
      <c r="BH25" s="200"/>
      <c r="BI25" s="436" t="s">
        <v>113</v>
      </c>
      <c r="BJ25" s="436"/>
      <c r="BK25" t="s">
        <v>115</v>
      </c>
      <c r="BS25" s="40"/>
      <c r="BT25" s="33"/>
      <c r="BU25" s="33"/>
      <c r="BV25" s="200" t="s">
        <v>134</v>
      </c>
      <c r="BW25" s="200" t="s">
        <v>136</v>
      </c>
      <c r="CB25" s="40"/>
      <c r="CC25" s="33"/>
      <c r="CD25" s="33"/>
      <c r="CE25" s="200"/>
      <c r="CF25" s="200"/>
      <c r="CG25" s="200"/>
      <c r="CH25" s="200"/>
      <c r="CI25" s="436" t="s">
        <v>113</v>
      </c>
      <c r="CJ25" s="436"/>
      <c r="CK25" t="s">
        <v>115</v>
      </c>
      <c r="CS25" s="40"/>
      <c r="CT25" s="33"/>
      <c r="CU25" s="33"/>
      <c r="CV25" s="200" t="s">
        <v>134</v>
      </c>
      <c r="CW25" s="200" t="s">
        <v>136</v>
      </c>
      <c r="DB25" s="40"/>
      <c r="DC25" s="33"/>
      <c r="DD25" s="33"/>
      <c r="DE25" s="200"/>
      <c r="DF25" s="200"/>
      <c r="DG25" s="200"/>
      <c r="DH25" s="200"/>
      <c r="DI25" s="436" t="s">
        <v>113</v>
      </c>
      <c r="DJ25" s="436"/>
      <c r="DK25" t="s">
        <v>115</v>
      </c>
      <c r="DS25" s="40"/>
      <c r="DT25" s="33"/>
      <c r="DU25" s="33"/>
      <c r="DV25" s="200" t="s">
        <v>134</v>
      </c>
      <c r="DW25" s="200" t="s">
        <v>136</v>
      </c>
      <c r="EB25" s="40"/>
      <c r="EC25" s="33"/>
      <c r="ED25" s="33"/>
      <c r="EE25" s="200"/>
      <c r="EF25" s="200"/>
      <c r="EG25" s="200"/>
      <c r="EH25" s="200"/>
      <c r="EI25" s="436" t="s">
        <v>113</v>
      </c>
      <c r="EJ25" s="436"/>
      <c r="EK25" t="s">
        <v>115</v>
      </c>
      <c r="ES25" s="40"/>
      <c r="ET25" s="33"/>
      <c r="EU25" s="33"/>
      <c r="EV25" s="200" t="s">
        <v>134</v>
      </c>
      <c r="EW25" s="200" t="s">
        <v>136</v>
      </c>
      <c r="FB25" s="40"/>
      <c r="FC25" s="33"/>
      <c r="FD25" s="33"/>
      <c r="FE25" s="200"/>
      <c r="FF25" s="200"/>
      <c r="FG25" s="200"/>
      <c r="FH25" s="200"/>
      <c r="FI25" s="436" t="s">
        <v>113</v>
      </c>
      <c r="FJ25" s="436"/>
      <c r="FK25" t="s">
        <v>115</v>
      </c>
      <c r="FS25" s="40"/>
      <c r="FT25" s="33"/>
      <c r="FU25" s="33"/>
      <c r="FV25" s="200" t="s">
        <v>134</v>
      </c>
      <c r="FW25" s="200" t="s">
        <v>136</v>
      </c>
      <c r="GB25" s="40"/>
      <c r="GC25" s="33"/>
      <c r="GD25" s="33"/>
      <c r="GE25" s="200"/>
      <c r="GF25" s="200"/>
      <c r="GG25" s="200"/>
      <c r="GH25" s="200"/>
      <c r="GI25" s="436" t="s">
        <v>113</v>
      </c>
      <c r="GJ25" s="436"/>
      <c r="GK25" t="s">
        <v>115</v>
      </c>
      <c r="GS25" s="40"/>
      <c r="GT25" s="33"/>
      <c r="GU25" s="33"/>
      <c r="GV25" s="200" t="s">
        <v>134</v>
      </c>
      <c r="GW25" s="200" t="s">
        <v>136</v>
      </c>
      <c r="HB25" s="40"/>
      <c r="HC25" s="33"/>
      <c r="HD25" s="33"/>
      <c r="HE25" s="200"/>
      <c r="HF25" s="200"/>
      <c r="HG25" s="200"/>
      <c r="HH25" s="200"/>
      <c r="HI25" s="436" t="s">
        <v>113</v>
      </c>
      <c r="HJ25" s="436"/>
      <c r="HK25" t="s">
        <v>115</v>
      </c>
      <c r="HS25" s="40"/>
      <c r="HT25" s="33"/>
      <c r="HU25" s="33"/>
      <c r="HV25" s="200" t="s">
        <v>134</v>
      </c>
      <c r="HW25" s="200" t="s">
        <v>136</v>
      </c>
      <c r="IB25" s="40"/>
      <c r="IC25" s="33"/>
      <c r="ID25" s="33"/>
      <c r="IE25" s="200"/>
      <c r="IF25" s="200"/>
      <c r="IG25" s="200"/>
      <c r="IH25" s="200"/>
      <c r="II25" s="436" t="s">
        <v>113</v>
      </c>
      <c r="IJ25" s="436"/>
      <c r="IK25" t="s">
        <v>115</v>
      </c>
      <c r="IS25" s="40"/>
      <c r="IT25" s="33"/>
      <c r="IU25" s="33"/>
      <c r="IV25" s="200" t="s">
        <v>134</v>
      </c>
      <c r="IW25" s="200" t="s">
        <v>136</v>
      </c>
      <c r="JB25" s="40"/>
      <c r="JC25" s="33"/>
      <c r="JD25" s="33"/>
      <c r="JE25" s="200"/>
      <c r="JF25" s="200"/>
      <c r="JG25" s="200"/>
      <c r="JH25" s="200"/>
      <c r="JI25" s="436" t="s">
        <v>113</v>
      </c>
      <c r="JJ25" s="436"/>
      <c r="JK25" t="s">
        <v>115</v>
      </c>
      <c r="JS25" s="40"/>
      <c r="JT25" s="33"/>
      <c r="JU25" s="33"/>
      <c r="JV25" s="200" t="s">
        <v>134</v>
      </c>
      <c r="JW25" s="200" t="s">
        <v>136</v>
      </c>
    </row>
    <row r="26" spans="2:286" ht="15.75" customHeight="1" x14ac:dyDescent="0.25">
      <c r="B26" s="33"/>
      <c r="C26" s="41"/>
      <c r="D26" s="277"/>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7"/>
      <c r="E27" s="200"/>
      <c r="F27" s="82"/>
      <c r="G27" s="200"/>
      <c r="S27" s="33"/>
      <c r="T27" s="41"/>
      <c r="U27" s="33"/>
      <c r="V27" s="308">
        <v>0.3</v>
      </c>
      <c r="W27" s="82" t="s">
        <v>138</v>
      </c>
      <c r="Z27">
        <v>7.4999999999999997E-3</v>
      </c>
      <c r="AB27" s="33"/>
      <c r="AC27" s="41"/>
      <c r="AD27" s="33"/>
      <c r="AE27" s="200"/>
      <c r="AF27" s="82"/>
      <c r="AG27" s="200"/>
      <c r="AS27" s="33"/>
      <c r="AT27" s="41"/>
      <c r="AU27" s="33"/>
      <c r="AV27" s="308">
        <v>0.3</v>
      </c>
      <c r="AW27" s="82" t="s">
        <v>138</v>
      </c>
      <c r="AZ27">
        <v>7.4999999999999997E-3</v>
      </c>
      <c r="BB27" s="33"/>
      <c r="BC27" s="41"/>
      <c r="BD27" s="33"/>
      <c r="BE27" s="200"/>
      <c r="BF27" s="82"/>
      <c r="BG27" s="200"/>
      <c r="BS27" s="33"/>
      <c r="BT27" s="41"/>
      <c r="BU27" s="33"/>
      <c r="BV27" s="308">
        <v>0.3</v>
      </c>
      <c r="BW27" s="82" t="s">
        <v>138</v>
      </c>
      <c r="BZ27">
        <v>7.4999999999999997E-3</v>
      </c>
      <c r="CB27" s="33"/>
      <c r="CC27" s="41"/>
      <c r="CD27" s="33"/>
      <c r="CE27" s="200"/>
      <c r="CF27" s="82"/>
      <c r="CG27" s="200"/>
      <c r="CS27" s="33"/>
      <c r="CT27" s="41"/>
      <c r="CU27" s="33"/>
      <c r="CV27" s="308">
        <v>0.3</v>
      </c>
      <c r="CW27" s="82" t="s">
        <v>138</v>
      </c>
      <c r="CZ27">
        <v>7.4999999999999997E-3</v>
      </c>
      <c r="DB27" s="33"/>
      <c r="DC27" s="41"/>
      <c r="DD27" s="33"/>
      <c r="DE27" s="200"/>
      <c r="DF27" s="82"/>
      <c r="DG27" s="200"/>
      <c r="DS27" s="33"/>
      <c r="DT27" s="41"/>
      <c r="DU27" s="33"/>
      <c r="DV27" s="308">
        <v>0.3</v>
      </c>
      <c r="DW27" s="82" t="s">
        <v>138</v>
      </c>
      <c r="DZ27">
        <v>7.4999999999999997E-3</v>
      </c>
      <c r="EB27" s="33"/>
      <c r="EC27" s="41"/>
      <c r="ED27" s="33"/>
      <c r="EE27" s="200"/>
      <c r="EF27" s="82"/>
      <c r="EG27" s="200"/>
      <c r="ES27" s="33"/>
      <c r="ET27" s="41"/>
      <c r="EU27" s="33"/>
      <c r="EV27" s="308">
        <v>0.3</v>
      </c>
      <c r="EW27" s="82" t="s">
        <v>138</v>
      </c>
      <c r="EZ27">
        <v>7.4999999999999997E-3</v>
      </c>
      <c r="FB27" s="33"/>
      <c r="FC27" s="41"/>
      <c r="FD27" s="33"/>
      <c r="FE27" s="200"/>
      <c r="FF27" s="82"/>
      <c r="FG27" s="200"/>
      <c r="FS27" s="33"/>
      <c r="FT27" s="41"/>
      <c r="FU27" s="33"/>
      <c r="FV27" s="308">
        <v>0.3</v>
      </c>
      <c r="FW27" s="82" t="s">
        <v>138</v>
      </c>
      <c r="FZ27">
        <v>7.4999999999999997E-3</v>
      </c>
      <c r="GB27" s="33"/>
      <c r="GC27" s="41"/>
      <c r="GD27" s="33"/>
      <c r="GE27" s="200"/>
      <c r="GF27" s="82"/>
      <c r="GG27" s="200"/>
      <c r="GS27" s="33"/>
      <c r="GT27" s="41"/>
      <c r="GU27" s="33"/>
      <c r="GV27" s="308">
        <v>0.3</v>
      </c>
      <c r="GW27" s="82" t="s">
        <v>138</v>
      </c>
      <c r="GZ27">
        <v>7.4999999999999997E-3</v>
      </c>
      <c r="HB27" s="33"/>
      <c r="HC27" s="41"/>
      <c r="HD27" s="33"/>
      <c r="HE27" s="200"/>
      <c r="HF27" s="82"/>
      <c r="HG27" s="200"/>
      <c r="HS27" s="33"/>
      <c r="HT27" s="41"/>
      <c r="HU27" s="33"/>
      <c r="HV27" s="308">
        <v>0.3</v>
      </c>
      <c r="HW27" s="82" t="s">
        <v>138</v>
      </c>
      <c r="HZ27">
        <v>7.4999999999999997E-3</v>
      </c>
      <c r="IB27" s="33"/>
      <c r="IC27" s="41"/>
      <c r="ID27" s="33"/>
      <c r="IE27" s="200"/>
      <c r="IF27" s="82"/>
      <c r="IG27" s="200"/>
      <c r="IS27" s="33"/>
      <c r="IT27" s="41"/>
      <c r="IU27" s="33"/>
      <c r="IV27" s="308">
        <v>0.3</v>
      </c>
      <c r="IW27" s="82" t="s">
        <v>138</v>
      </c>
      <c r="IZ27">
        <v>7.4999999999999997E-3</v>
      </c>
      <c r="JB27" s="33"/>
      <c r="JC27" s="41"/>
      <c r="JD27" s="33"/>
      <c r="JE27" s="200"/>
      <c r="JF27" s="82"/>
      <c r="JG27" s="200"/>
      <c r="JS27" s="33"/>
      <c r="JT27" s="41"/>
      <c r="JU27" s="33"/>
      <c r="JV27" s="308">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3"/>
      <c r="S33" s="33"/>
      <c r="T33" s="41"/>
      <c r="U33" s="33"/>
      <c r="X33" s="84"/>
      <c r="AB33" s="33"/>
      <c r="AC33" s="41"/>
      <c r="AD33" s="33"/>
      <c r="AG33" s="203"/>
      <c r="AS33" s="33"/>
      <c r="AT33" s="41"/>
      <c r="AU33" s="33"/>
      <c r="AX33" s="84"/>
      <c r="BB33" s="33"/>
      <c r="BC33" s="41"/>
      <c r="BD33" s="33"/>
      <c r="BG33" s="203"/>
      <c r="BS33" s="33"/>
      <c r="BT33" s="41"/>
      <c r="BU33" s="33"/>
      <c r="BX33" s="84"/>
      <c r="CB33" s="33"/>
      <c r="CC33" s="41"/>
      <c r="CD33" s="33"/>
      <c r="CG33" s="203"/>
      <c r="CS33" s="33"/>
      <c r="CT33" s="41"/>
      <c r="CU33" s="33"/>
      <c r="CX33" s="84"/>
      <c r="DB33" s="33"/>
      <c r="DC33" s="41"/>
      <c r="DD33" s="33"/>
      <c r="DG33" s="203"/>
      <c r="DS33" s="33"/>
      <c r="DT33" s="41"/>
      <c r="DU33" s="33"/>
      <c r="DX33" s="84"/>
      <c r="EB33" s="33"/>
      <c r="EC33" s="41"/>
      <c r="ED33" s="33"/>
      <c r="EG33" s="203"/>
      <c r="ES33" s="33"/>
      <c r="ET33" s="41"/>
      <c r="EU33" s="33"/>
      <c r="EX33" s="84"/>
      <c r="FB33" s="33"/>
      <c r="FC33" s="41"/>
      <c r="FD33" s="33"/>
      <c r="FG33" s="203"/>
      <c r="FS33" s="33"/>
      <c r="FT33" s="41"/>
      <c r="FU33" s="33"/>
      <c r="FX33" s="84"/>
      <c r="GB33" s="33"/>
      <c r="GC33" s="41"/>
      <c r="GD33" s="33"/>
      <c r="GG33" s="203"/>
      <c r="GS33" s="33"/>
      <c r="GT33" s="41"/>
      <c r="GU33" s="33"/>
      <c r="GX33" s="84"/>
      <c r="HB33" s="33"/>
      <c r="HC33" s="41"/>
      <c r="HD33" s="33"/>
      <c r="HG33" s="203"/>
      <c r="HS33" s="33"/>
      <c r="HT33" s="41"/>
      <c r="HU33" s="33"/>
      <c r="HX33" s="84"/>
      <c r="IB33" s="33"/>
      <c r="IC33" s="41"/>
      <c r="ID33" s="33"/>
      <c r="IG33" s="203"/>
      <c r="IS33" s="33"/>
      <c r="IT33" s="41"/>
      <c r="IU33" s="33"/>
      <c r="IX33" s="84"/>
      <c r="JB33" s="33"/>
      <c r="JC33" s="41"/>
      <c r="JD33" s="33"/>
      <c r="JG33" s="203"/>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8"/>
      <c r="C37" s="438" t="str">
        <f>'Peternakan-CH4'!C25:M25</f>
        <v>Data populasi ternak KUTAI TIMUR (ekor)</v>
      </c>
      <c r="D37" s="430"/>
      <c r="E37" s="430"/>
      <c r="F37" s="430"/>
      <c r="G37" s="430"/>
      <c r="H37" s="430"/>
      <c r="I37" s="430"/>
      <c r="J37" s="430"/>
      <c r="K37" s="430"/>
      <c r="L37" s="430"/>
      <c r="M37" s="431"/>
    </row>
    <row r="38" spans="2:284" x14ac:dyDescent="0.25">
      <c r="B38" s="229" t="s">
        <v>12</v>
      </c>
      <c r="C38" s="262">
        <f>'Peternakan-CH4'!C26</f>
        <v>2011</v>
      </c>
      <c r="D38" s="262">
        <f>'Peternakan-CH4'!D26</f>
        <v>2012</v>
      </c>
      <c r="E38" s="262">
        <f>'Peternakan-CH4'!E26</f>
        <v>2013</v>
      </c>
      <c r="F38" s="262">
        <f>'Peternakan-CH4'!F26</f>
        <v>2014</v>
      </c>
      <c r="G38" s="262">
        <f>'Peternakan-CH4'!G26</f>
        <v>2015</v>
      </c>
      <c r="H38" s="262">
        <f>'Peternakan-CH4'!H26</f>
        <v>2016</v>
      </c>
      <c r="I38" s="262">
        <f>'Peternakan-CH4'!I26</f>
        <v>2017</v>
      </c>
      <c r="J38" s="262">
        <f>'Peternakan-CH4'!J26</f>
        <v>2018</v>
      </c>
      <c r="K38" s="262">
        <f>'Peternakan-CH4'!K26</f>
        <v>2019</v>
      </c>
      <c r="L38" s="262">
        <f>'Peternakan-CH4'!L26</f>
        <v>2020</v>
      </c>
      <c r="M38" s="263">
        <v>2021</v>
      </c>
    </row>
    <row r="39" spans="2:284" x14ac:dyDescent="0.25">
      <c r="B39" s="56" t="s">
        <v>64</v>
      </c>
      <c r="C39" s="231">
        <f>'Peternakan-CH4'!C27</f>
        <v>5</v>
      </c>
      <c r="D39" s="231">
        <f>'Peternakan-CH4'!D27</f>
        <v>12</v>
      </c>
      <c r="E39" s="231">
        <f>'Peternakan-CH4'!E27</f>
        <v>24</v>
      </c>
      <c r="F39" s="231">
        <f>'Peternakan-CH4'!F27</f>
        <v>51</v>
      </c>
      <c r="G39" s="231">
        <f>'Peternakan-CH4'!G27</f>
        <v>48</v>
      </c>
      <c r="H39" s="231">
        <f>'Peternakan-CH4'!H27</f>
        <v>62</v>
      </c>
      <c r="I39" s="231">
        <f>'Peternakan-CH4'!I27</f>
        <v>72</v>
      </c>
      <c r="J39" s="231">
        <f>'Peternakan-CH4'!J27</f>
        <v>82</v>
      </c>
      <c r="K39" s="231">
        <f>'Peternakan-CH4'!K27</f>
        <v>92</v>
      </c>
      <c r="L39" s="231">
        <f>'Peternakan-CH4'!L27</f>
        <v>110</v>
      </c>
      <c r="M39" s="227"/>
    </row>
    <row r="40" spans="2:284" x14ac:dyDescent="0.25">
      <c r="B40" s="56" t="s">
        <v>71</v>
      </c>
      <c r="C40" s="231">
        <f>'Peternakan-CH4'!C28</f>
        <v>15022</v>
      </c>
      <c r="D40" s="231">
        <f>'Peternakan-CH4'!D28</f>
        <v>15983</v>
      </c>
      <c r="E40" s="231">
        <f>'Peternakan-CH4'!E28</f>
        <v>17177</v>
      </c>
      <c r="F40" s="231">
        <f>'Peternakan-CH4'!F28</f>
        <v>17406</v>
      </c>
      <c r="G40" s="231">
        <f>'Peternakan-CH4'!G28</f>
        <v>17977</v>
      </c>
      <c r="H40" s="231">
        <f>'Peternakan-CH4'!H28</f>
        <v>19118</v>
      </c>
      <c r="I40" s="231">
        <f>'Peternakan-CH4'!I28</f>
        <v>19665.814975404744</v>
      </c>
      <c r="J40" s="231">
        <f>'Peternakan-CH4'!J28</f>
        <v>20568.816986462403</v>
      </c>
      <c r="K40" s="231">
        <f>'Peternakan-CH4'!K28</f>
        <v>21513.282452403269</v>
      </c>
      <c r="L40" s="231">
        <f>'Peternakan-CH4'!L28</f>
        <v>22457.747918344099</v>
      </c>
      <c r="M40" s="227"/>
    </row>
    <row r="41" spans="2:284" x14ac:dyDescent="0.25">
      <c r="B41" s="56" t="s">
        <v>22</v>
      </c>
      <c r="C41" s="231">
        <f>'Peternakan-CH4'!C29</f>
        <v>787</v>
      </c>
      <c r="D41" s="231">
        <f>'Peternakan-CH4'!D29</f>
        <v>779</v>
      </c>
      <c r="E41" s="231">
        <f>'Peternakan-CH4'!E29</f>
        <v>682</v>
      </c>
      <c r="F41" s="231">
        <f>'Peternakan-CH4'!F29</f>
        <v>617</v>
      </c>
      <c r="G41" s="231">
        <f>'Peternakan-CH4'!G29</f>
        <v>715</v>
      </c>
      <c r="H41" s="231">
        <f>'Peternakan-CH4'!H29</f>
        <v>777</v>
      </c>
      <c r="I41" s="231">
        <f>'Peternakan-CH4'!I29</f>
        <v>870</v>
      </c>
      <c r="J41" s="231">
        <f>'Peternakan-CH4'!J29</f>
        <v>899</v>
      </c>
      <c r="K41" s="231">
        <f>'Peternakan-CH4'!K29</f>
        <v>1016</v>
      </c>
      <c r="L41" s="231">
        <f>'Peternakan-CH4'!L29</f>
        <v>1117</v>
      </c>
      <c r="M41" s="227"/>
    </row>
    <row r="42" spans="2:284" x14ac:dyDescent="0.25">
      <c r="B42" s="56" t="s">
        <v>65</v>
      </c>
      <c r="C42" s="231">
        <f>'Peternakan-CH4'!C30</f>
        <v>0</v>
      </c>
      <c r="D42" s="231">
        <f>'Peternakan-CH4'!D30</f>
        <v>0</v>
      </c>
      <c r="E42" s="231">
        <f>'Peternakan-CH4'!E30</f>
        <v>0</v>
      </c>
      <c r="F42" s="231">
        <f>'Peternakan-CH4'!F30</f>
        <v>33</v>
      </c>
      <c r="G42" s="231">
        <f>'Peternakan-CH4'!G30</f>
        <v>37</v>
      </c>
      <c r="H42" s="231">
        <f>'Peternakan-CH4'!H30</f>
        <v>0</v>
      </c>
      <c r="I42" s="231">
        <f>'Peternakan-CH4'!I30</f>
        <v>0</v>
      </c>
      <c r="J42" s="231">
        <f>'Peternakan-CH4'!J30</f>
        <v>0</v>
      </c>
      <c r="K42" s="231">
        <f>'Peternakan-CH4'!K30</f>
        <v>0</v>
      </c>
      <c r="L42" s="231">
        <f>'Peternakan-CH4'!L30</f>
        <v>0</v>
      </c>
      <c r="M42" s="227"/>
    </row>
    <row r="43" spans="2:284" x14ac:dyDescent="0.25">
      <c r="B43" s="56" t="s">
        <v>23</v>
      </c>
      <c r="C43" s="231">
        <f>'Peternakan-CH4'!C31</f>
        <v>6977</v>
      </c>
      <c r="D43" s="231">
        <f>'Peternakan-CH4'!D31</f>
        <v>7633</v>
      </c>
      <c r="E43" s="231">
        <f>'Peternakan-CH4'!E31</f>
        <v>8320</v>
      </c>
      <c r="F43" s="231">
        <f>'Peternakan-CH4'!F31</f>
        <v>9953</v>
      </c>
      <c r="G43" s="231">
        <f>'Peternakan-CH4'!G31</f>
        <v>10799</v>
      </c>
      <c r="H43" s="231">
        <f>'Peternakan-CH4'!H31</f>
        <v>11000</v>
      </c>
      <c r="I43" s="231">
        <f>'Peternakan-CH4'!I31</f>
        <v>11639</v>
      </c>
      <c r="J43" s="231">
        <f>'Peternakan-CH4'!J31</f>
        <v>12125</v>
      </c>
      <c r="K43" s="231">
        <f>'Peternakan-CH4'!K31</f>
        <v>12225</v>
      </c>
      <c r="L43" s="231">
        <f>'Peternakan-CH4'!L31</f>
        <v>12424</v>
      </c>
      <c r="M43" s="227"/>
    </row>
    <row r="44" spans="2:284" x14ac:dyDescent="0.25">
      <c r="B44" s="56" t="s">
        <v>24</v>
      </c>
      <c r="C44" s="231">
        <f>'Peternakan-CH4'!C32</f>
        <v>0</v>
      </c>
      <c r="D44" s="231">
        <f>'Peternakan-CH4'!D32</f>
        <v>0</v>
      </c>
      <c r="E44" s="231">
        <f>'Peternakan-CH4'!E32</f>
        <v>0</v>
      </c>
      <c r="F44" s="231">
        <f>'Peternakan-CH4'!F32</f>
        <v>10</v>
      </c>
      <c r="G44" s="231">
        <f>'Peternakan-CH4'!G32</f>
        <v>60</v>
      </c>
      <c r="H44" s="231">
        <f>'Peternakan-CH4'!H32</f>
        <v>0</v>
      </c>
      <c r="I44" s="231">
        <f>'Peternakan-CH4'!I32</f>
        <v>0</v>
      </c>
      <c r="J44" s="231">
        <f>'Peternakan-CH4'!J32</f>
        <v>0</v>
      </c>
      <c r="K44" s="231">
        <f>'Peternakan-CH4'!K32</f>
        <v>0</v>
      </c>
      <c r="L44" s="231">
        <f>'Peternakan-CH4'!L32</f>
        <v>0</v>
      </c>
      <c r="M44" s="227"/>
    </row>
    <row r="45" spans="2:284" x14ac:dyDescent="0.25">
      <c r="B45" s="56" t="s">
        <v>72</v>
      </c>
      <c r="C45" s="231">
        <f>'Peternakan-CH4'!C33</f>
        <v>557800</v>
      </c>
      <c r="D45" s="231">
        <f>'Peternakan-CH4'!D33</f>
        <v>625168</v>
      </c>
      <c r="E45" s="231">
        <f>'Peternakan-CH4'!E33</f>
        <v>626591</v>
      </c>
      <c r="F45" s="231">
        <f>'Peternakan-CH4'!F33</f>
        <v>633398</v>
      </c>
      <c r="G45" s="231">
        <f>'Peternakan-CH4'!G33</f>
        <v>465533</v>
      </c>
      <c r="H45" s="231">
        <f>'Peternakan-CH4'!H33</f>
        <v>470495</v>
      </c>
      <c r="I45" s="231">
        <f>'Peternakan-CH4'!I33</f>
        <v>470745</v>
      </c>
      <c r="J45" s="231">
        <f>'Peternakan-CH4'!J33</f>
        <v>471245</v>
      </c>
      <c r="K45" s="231">
        <f>'Peternakan-CH4'!K33</f>
        <v>471495</v>
      </c>
      <c r="L45" s="231">
        <f>'Peternakan-CH4'!L33</f>
        <v>472495</v>
      </c>
      <c r="M45" s="227"/>
    </row>
    <row r="46" spans="2:284" x14ac:dyDescent="0.25">
      <c r="B46" s="56" t="s">
        <v>73</v>
      </c>
      <c r="C46" s="231">
        <f>'Peternakan-CH4'!C34</f>
        <v>1821500</v>
      </c>
      <c r="D46" s="231">
        <f>'Peternakan-CH4'!D34</f>
        <v>1903693</v>
      </c>
      <c r="E46" s="231">
        <f>'Peternakan-CH4'!E34</f>
        <v>1825000</v>
      </c>
      <c r="F46" s="231">
        <f>'Peternakan-CH4'!F34</f>
        <v>2192083</v>
      </c>
      <c r="G46" s="231">
        <f>'Peternakan-CH4'!G34</f>
        <v>3705919</v>
      </c>
      <c r="H46" s="231">
        <f>'Peternakan-CH4'!H34</f>
        <v>1648162</v>
      </c>
      <c r="I46" s="231">
        <f>'Peternakan-CH4'!I34</f>
        <v>1748805</v>
      </c>
      <c r="J46" s="231">
        <f>'Peternakan-CH4'!J34</f>
        <v>1859196</v>
      </c>
      <c r="K46" s="231">
        <f>'Peternakan-CH4'!K34</f>
        <v>1938835</v>
      </c>
      <c r="L46" s="231">
        <f>'Peternakan-CH4'!L34</f>
        <v>2013722</v>
      </c>
      <c r="M46" s="227"/>
    </row>
    <row r="47" spans="2:284" x14ac:dyDescent="0.25">
      <c r="B47" s="56" t="s">
        <v>74</v>
      </c>
      <c r="C47" s="231">
        <f>'Peternakan-CH4'!C35</f>
        <v>15000</v>
      </c>
      <c r="D47" s="231">
        <f>'Peternakan-CH4'!D35</f>
        <v>29293</v>
      </c>
      <c r="E47" s="231">
        <f>'Peternakan-CH4'!E35</f>
        <v>29293</v>
      </c>
      <c r="F47" s="231">
        <f>'Peternakan-CH4'!F35</f>
        <v>28166</v>
      </c>
      <c r="G47" s="231">
        <f>'Peternakan-CH4'!G35</f>
        <v>40570</v>
      </c>
      <c r="H47" s="231">
        <f>'Peternakan-CH4'!H35</f>
        <v>0</v>
      </c>
      <c r="I47" s="231">
        <f>'Peternakan-CH4'!I35</f>
        <v>0</v>
      </c>
      <c r="J47" s="231">
        <f>'Peternakan-CH4'!J35</f>
        <v>0</v>
      </c>
      <c r="K47" s="231">
        <f>'Peternakan-CH4'!K35</f>
        <v>0</v>
      </c>
      <c r="L47" s="231">
        <f>'Peternakan-CH4'!L35</f>
        <v>0</v>
      </c>
      <c r="M47" s="290"/>
    </row>
    <row r="48" spans="2:284" x14ac:dyDescent="0.25">
      <c r="B48" s="56" t="s">
        <v>75</v>
      </c>
      <c r="C48" s="231">
        <f>'Peternakan-CH4'!C36</f>
        <v>11213</v>
      </c>
      <c r="D48" s="231">
        <f>'Peternakan-CH4'!D36</f>
        <v>16588</v>
      </c>
      <c r="E48" s="231">
        <f>'Peternakan-CH4'!E36</f>
        <v>17199</v>
      </c>
      <c r="F48" s="231">
        <f>'Peternakan-CH4'!F36</f>
        <v>29446</v>
      </c>
      <c r="G48" s="231">
        <f>'Peternakan-CH4'!G36</f>
        <v>21273</v>
      </c>
      <c r="H48" s="231">
        <f>'Peternakan-CH4'!H36</f>
        <v>5343</v>
      </c>
      <c r="I48" s="231">
        <f>'Peternakan-CH4'!I36</f>
        <v>5450</v>
      </c>
      <c r="J48" s="231">
        <f>'Peternakan-CH4'!J36</f>
        <v>5559</v>
      </c>
      <c r="K48" s="231">
        <f>'Peternakan-CH4'!K36</f>
        <v>5670</v>
      </c>
      <c r="L48" s="231">
        <f>'Peternakan-CH4'!L36</f>
        <v>5783</v>
      </c>
      <c r="M48" s="290"/>
    </row>
    <row r="49" spans="2:12" x14ac:dyDescent="0.25">
      <c r="B49" s="272" t="s">
        <v>66</v>
      </c>
      <c r="C49" s="234">
        <f>'Peternakan-CH4'!C37</f>
        <v>5800</v>
      </c>
      <c r="D49" s="234">
        <f>'Peternakan-CH4'!D37</f>
        <v>6591</v>
      </c>
      <c r="E49" s="234">
        <f>'Peternakan-CH4'!E37</f>
        <v>5933</v>
      </c>
      <c r="F49" s="234">
        <f>'Peternakan-CH4'!F37</f>
        <v>6528</v>
      </c>
      <c r="G49" s="234">
        <f>'Peternakan-CH4'!G37</f>
        <v>8445</v>
      </c>
      <c r="H49" s="234">
        <f>'Peternakan-CH4'!H37</f>
        <v>8906</v>
      </c>
      <c r="I49" s="234">
        <f>'Peternakan-CH4'!I37</f>
        <v>9150</v>
      </c>
      <c r="J49" s="234">
        <f>'Peternakan-CH4'!J37</f>
        <v>9636</v>
      </c>
      <c r="K49" s="234">
        <f>'Peternakan-CH4'!K37</f>
        <v>10243</v>
      </c>
      <c r="L49" s="234">
        <f>'Peternakan-CH4'!L37</f>
        <v>10706</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G6" sqref="G6:G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5" t="s">
        <v>181</v>
      </c>
      <c r="D3" s="446"/>
      <c r="E3" s="446"/>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7" t="s">
        <v>174</v>
      </c>
      <c r="D4" s="448"/>
      <c r="E4" s="448"/>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2" t="s">
        <v>171</v>
      </c>
      <c r="C5" s="453" t="s">
        <v>43</v>
      </c>
      <c r="D5" s="454" t="s">
        <v>175</v>
      </c>
      <c r="E5" s="455"/>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2"/>
      <c r="C6" s="452"/>
      <c r="D6" s="456" t="s">
        <v>176</v>
      </c>
      <c r="E6" s="188" t="s">
        <v>152</v>
      </c>
      <c r="F6" s="113" t="s">
        <v>153</v>
      </c>
      <c r="G6" s="460">
        <v>0.46</v>
      </c>
      <c r="H6" s="112"/>
      <c r="I6" s="449" t="s">
        <v>200</v>
      </c>
      <c r="K6" s="133">
        <v>3</v>
      </c>
      <c r="L6" s="133" t="s">
        <v>217</v>
      </c>
      <c r="M6" s="134">
        <v>273.60000000000002</v>
      </c>
      <c r="N6" s="135">
        <f>M6/M10</f>
        <v>1.3525055863402704</v>
      </c>
      <c r="P6" s="137">
        <v>3</v>
      </c>
      <c r="Q6" s="137" t="s">
        <v>218</v>
      </c>
      <c r="R6" s="138">
        <v>235.2</v>
      </c>
      <c r="S6" s="139">
        <v>1</v>
      </c>
    </row>
    <row r="7" spans="2:19" ht="16.5" customHeight="1" x14ac:dyDescent="0.25">
      <c r="B7" s="452"/>
      <c r="C7" s="452"/>
      <c r="D7" s="457"/>
      <c r="E7" s="114" t="s">
        <v>154</v>
      </c>
      <c r="F7" s="113" t="s">
        <v>155</v>
      </c>
      <c r="G7" s="450"/>
      <c r="H7" s="112"/>
      <c r="I7" s="450"/>
      <c r="K7" s="133">
        <v>4</v>
      </c>
      <c r="L7" s="133" t="s">
        <v>219</v>
      </c>
      <c r="M7" s="134">
        <v>244.16499999999999</v>
      </c>
      <c r="N7" s="135">
        <f>M7/M10</f>
        <v>1.2069975383361553</v>
      </c>
      <c r="P7" s="133">
        <v>4</v>
      </c>
      <c r="Q7" s="133" t="s">
        <v>220</v>
      </c>
      <c r="R7" s="134">
        <v>152.56</v>
      </c>
      <c r="S7" s="135">
        <f>R7/R6</f>
        <v>0.64863945578231297</v>
      </c>
    </row>
    <row r="8" spans="2:19" x14ac:dyDescent="0.25">
      <c r="B8" s="452"/>
      <c r="C8" s="458" t="s">
        <v>44</v>
      </c>
      <c r="D8" s="456" t="s">
        <v>177</v>
      </c>
      <c r="E8" s="457"/>
      <c r="F8" s="113" t="s">
        <v>156</v>
      </c>
      <c r="G8" s="449">
        <v>0.49</v>
      </c>
      <c r="H8" s="112"/>
      <c r="I8" s="449" t="s">
        <v>201</v>
      </c>
      <c r="K8" s="133">
        <v>5</v>
      </c>
      <c r="L8" s="133" t="s">
        <v>221</v>
      </c>
      <c r="M8" s="134">
        <v>223.2</v>
      </c>
      <c r="N8" s="135">
        <f>M8/M10</f>
        <v>1.1033598204354835</v>
      </c>
      <c r="P8" s="133">
        <v>5</v>
      </c>
      <c r="Q8" s="133" t="s">
        <v>222</v>
      </c>
      <c r="R8" s="140">
        <v>144.22</v>
      </c>
      <c r="S8" s="135">
        <f>R8/R6</f>
        <v>0.61318027210884352</v>
      </c>
    </row>
    <row r="9" spans="2:19" x14ac:dyDescent="0.25">
      <c r="B9" s="452"/>
      <c r="C9" s="459"/>
      <c r="D9" s="456" t="s">
        <v>178</v>
      </c>
      <c r="E9" s="457"/>
      <c r="F9" s="113" t="s">
        <v>157</v>
      </c>
      <c r="G9" s="451"/>
      <c r="H9" s="112"/>
      <c r="I9" s="451"/>
      <c r="K9" s="133">
        <v>6</v>
      </c>
      <c r="L9" s="133" t="s">
        <v>223</v>
      </c>
      <c r="M9" s="134">
        <v>204.64</v>
      </c>
      <c r="N9" s="135">
        <f>M9/M10</f>
        <v>1.0116109034673717</v>
      </c>
      <c r="P9" s="133">
        <v>6</v>
      </c>
      <c r="Q9" s="133" t="s">
        <v>224</v>
      </c>
      <c r="R9" s="134">
        <v>141.12</v>
      </c>
      <c r="S9" s="135">
        <f>R9/R6</f>
        <v>0.60000000000000009</v>
      </c>
    </row>
    <row r="10" spans="2:19" x14ac:dyDescent="0.25">
      <c r="B10" s="452"/>
      <c r="C10" s="458" t="s">
        <v>173</v>
      </c>
      <c r="D10" s="456" t="s">
        <v>179</v>
      </c>
      <c r="E10" s="457"/>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2"/>
      <c r="C11" s="458"/>
      <c r="D11" s="456" t="s">
        <v>180</v>
      </c>
      <c r="E11" s="457"/>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62" t="s">
        <v>172</v>
      </c>
      <c r="C12" s="115" t="s">
        <v>160</v>
      </c>
      <c r="D12" s="461"/>
      <c r="E12" s="461"/>
      <c r="F12" s="56"/>
      <c r="G12" s="112"/>
      <c r="H12" s="116">
        <v>1.1200000000000001</v>
      </c>
      <c r="I12" s="112" t="s">
        <v>185</v>
      </c>
      <c r="K12" s="133">
        <v>9</v>
      </c>
      <c r="L12" s="133" t="s">
        <v>229</v>
      </c>
      <c r="M12" s="134">
        <v>186.655</v>
      </c>
      <c r="N12" s="135">
        <f>M12/M10</f>
        <v>0.92270442331265767</v>
      </c>
    </row>
    <row r="13" spans="2:19" x14ac:dyDescent="0.25">
      <c r="B13" s="462"/>
      <c r="C13" s="198" t="s">
        <v>354</v>
      </c>
      <c r="D13" s="461"/>
      <c r="E13" s="461"/>
      <c r="F13" s="56"/>
      <c r="G13" s="112"/>
      <c r="H13" s="116">
        <v>0.28999999999999998</v>
      </c>
      <c r="I13" s="112" t="s">
        <v>186</v>
      </c>
      <c r="K13" s="133">
        <v>10</v>
      </c>
      <c r="L13" s="133" t="s">
        <v>230</v>
      </c>
      <c r="M13" s="134">
        <v>157.77000000000001</v>
      </c>
      <c r="N13" s="135">
        <f>M13/M10</f>
        <v>0.77991522791266243</v>
      </c>
    </row>
    <row r="14" spans="2:19" x14ac:dyDescent="0.25">
      <c r="B14" s="462"/>
      <c r="C14" s="115" t="s">
        <v>161</v>
      </c>
      <c r="D14" s="461"/>
      <c r="E14" s="461"/>
      <c r="F14" s="56"/>
      <c r="G14" s="112"/>
      <c r="H14" s="116">
        <v>1.02</v>
      </c>
      <c r="I14" s="112" t="s">
        <v>187</v>
      </c>
      <c r="K14" s="133">
        <v>11</v>
      </c>
      <c r="L14" s="133" t="s">
        <v>231</v>
      </c>
      <c r="M14" s="134">
        <v>153.5</v>
      </c>
      <c r="N14" s="135">
        <f>M14/M10</f>
        <v>0.75880704496795126</v>
      </c>
    </row>
    <row r="15" spans="2:19" x14ac:dyDescent="0.25">
      <c r="B15" s="462"/>
      <c r="C15" s="117" t="s">
        <v>162</v>
      </c>
      <c r="D15" s="463"/>
      <c r="E15" s="463"/>
      <c r="F15" s="56"/>
      <c r="G15" s="112"/>
      <c r="H15" s="118">
        <v>1.02</v>
      </c>
      <c r="I15" s="118" t="s">
        <v>188</v>
      </c>
      <c r="K15" s="133">
        <v>12</v>
      </c>
      <c r="L15" s="133" t="s">
        <v>232</v>
      </c>
      <c r="M15" s="134">
        <v>147.54</v>
      </c>
      <c r="N15" s="135">
        <f>M15/M10</f>
        <v>0.72934456947603599</v>
      </c>
    </row>
    <row r="16" spans="2:19" x14ac:dyDescent="0.25">
      <c r="B16" s="462"/>
      <c r="C16" s="117" t="s">
        <v>163</v>
      </c>
      <c r="D16" s="461"/>
      <c r="E16" s="461"/>
      <c r="F16" s="56"/>
      <c r="G16" s="112"/>
      <c r="H16" s="118">
        <v>0.84</v>
      </c>
      <c r="I16" s="118" t="s">
        <v>189</v>
      </c>
      <c r="K16" s="133">
        <v>13</v>
      </c>
      <c r="L16" s="133" t="s">
        <v>233</v>
      </c>
      <c r="M16" s="134">
        <v>146.18671875000001</v>
      </c>
      <c r="N16" s="135">
        <f>M16/M10</f>
        <v>0.72265480174754726</v>
      </c>
    </row>
    <row r="17" spans="2:26" x14ac:dyDescent="0.25">
      <c r="B17" s="462"/>
      <c r="C17" s="117" t="s">
        <v>164</v>
      </c>
      <c r="D17" s="461"/>
      <c r="E17" s="461"/>
      <c r="F17" s="56"/>
      <c r="G17" s="56"/>
      <c r="H17" s="112">
        <v>2.39</v>
      </c>
      <c r="I17" s="112" t="s">
        <v>190</v>
      </c>
      <c r="K17" s="133">
        <v>14</v>
      </c>
      <c r="L17" s="133" t="s">
        <v>234</v>
      </c>
      <c r="M17" s="142">
        <v>145.63885714285715</v>
      </c>
      <c r="N17" s="135">
        <f>M17/M10</f>
        <v>0.71994652000704262</v>
      </c>
      <c r="Y17" s="187"/>
      <c r="Z17" s="187"/>
    </row>
    <row r="18" spans="2:26" x14ac:dyDescent="0.25">
      <c r="B18" s="462"/>
      <c r="C18" s="117" t="s">
        <v>165</v>
      </c>
      <c r="D18" s="461"/>
      <c r="E18" s="461"/>
      <c r="F18" s="56"/>
      <c r="G18" s="56"/>
      <c r="H18" s="116" t="s">
        <v>83</v>
      </c>
      <c r="I18" s="116" t="s">
        <v>83</v>
      </c>
      <c r="K18" s="133">
        <v>15</v>
      </c>
      <c r="L18" s="133" t="s">
        <v>235</v>
      </c>
      <c r="M18" s="134">
        <v>145.53861111111109</v>
      </c>
      <c r="N18" s="135">
        <f>M18/M10</f>
        <v>0.71945096694437816</v>
      </c>
      <c r="Y18" s="187"/>
      <c r="Z18" s="187"/>
    </row>
    <row r="19" spans="2:26" x14ac:dyDescent="0.25">
      <c r="B19" s="462"/>
      <c r="C19" s="117" t="s">
        <v>166</v>
      </c>
      <c r="D19" s="461"/>
      <c r="E19" s="461"/>
      <c r="F19" s="56"/>
      <c r="G19" s="56"/>
      <c r="H19" s="112" t="s">
        <v>167</v>
      </c>
      <c r="I19" s="112" t="s">
        <v>167</v>
      </c>
      <c r="K19" s="133">
        <v>16</v>
      </c>
      <c r="L19" s="133" t="s">
        <v>236</v>
      </c>
      <c r="M19" s="134">
        <v>127</v>
      </c>
      <c r="N19" s="135">
        <f>M19/M10</f>
        <v>0.62780778313309327</v>
      </c>
      <c r="Y19" s="187"/>
      <c r="Z19" s="187"/>
    </row>
    <row r="20" spans="2:26" x14ac:dyDescent="0.25">
      <c r="B20" s="462"/>
      <c r="C20" s="117" t="s">
        <v>168</v>
      </c>
      <c r="D20" s="461"/>
      <c r="E20" s="461"/>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8"/>
      <c r="L30" s="218"/>
      <c r="M30" s="219"/>
      <c r="N30" s="220"/>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65" t="s">
        <v>256</v>
      </c>
      <c r="C36" s="464" t="s">
        <v>257</v>
      </c>
      <c r="D36" s="464"/>
      <c r="E36" s="464" t="s">
        <v>259</v>
      </c>
      <c r="F36" s="464"/>
      <c r="K36" s="133">
        <v>33</v>
      </c>
      <c r="L36" s="133" t="s">
        <v>251</v>
      </c>
      <c r="M36" s="145">
        <v>323.44704032083536</v>
      </c>
      <c r="N36" s="135">
        <f t="shared" si="0"/>
        <v>1.5989178688565659</v>
      </c>
    </row>
    <row r="37" spans="2:14" ht="15" customHeight="1" x14ac:dyDescent="0.25">
      <c r="B37" s="465"/>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66" t="s">
        <v>263</v>
      </c>
      <c r="D38" s="467">
        <v>1.4</v>
      </c>
      <c r="E38" s="112">
        <v>1</v>
      </c>
      <c r="F38" s="112" t="s">
        <v>264</v>
      </c>
      <c r="K38" s="133">
        <v>35</v>
      </c>
      <c r="L38" s="133" t="s">
        <v>253</v>
      </c>
      <c r="M38" s="145">
        <v>270.79611936186569</v>
      </c>
      <c r="N38" s="135">
        <f t="shared" si="0"/>
        <v>1.3386449714773025</v>
      </c>
    </row>
    <row r="39" spans="2:14" ht="15" customHeight="1" x14ac:dyDescent="0.25">
      <c r="B39" s="149" t="s">
        <v>260</v>
      </c>
      <c r="C39" s="466"/>
      <c r="D39" s="467"/>
      <c r="E39" s="112">
        <v>0.68</v>
      </c>
      <c r="F39" s="112" t="s">
        <v>265</v>
      </c>
      <c r="K39" s="133">
        <v>36</v>
      </c>
      <c r="L39" s="133" t="s">
        <v>254</v>
      </c>
      <c r="M39" s="145">
        <v>271.88698926542628</v>
      </c>
      <c r="N39" s="135">
        <f t="shared" si="0"/>
        <v>1.344037543255578</v>
      </c>
    </row>
    <row r="40" spans="2:14" ht="15" customHeight="1" x14ac:dyDescent="0.25">
      <c r="B40" s="149" t="s">
        <v>262</v>
      </c>
      <c r="C40" s="466"/>
      <c r="D40" s="467"/>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55" zoomScale="70" zoomScaleNormal="70"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68" t="s">
        <v>27</v>
      </c>
      <c r="E5" s="469"/>
      <c r="F5" s="468" t="s">
        <v>29</v>
      </c>
      <c r="G5" s="470"/>
      <c r="H5" s="172"/>
      <c r="I5" s="468" t="s">
        <v>29</v>
      </c>
      <c r="J5" s="469"/>
      <c r="K5" s="80" t="s">
        <v>27</v>
      </c>
    </row>
    <row r="6" spans="2:11" s="20" customFormat="1" ht="90.75" customHeight="1" x14ac:dyDescent="0.25">
      <c r="B6" s="471" t="s">
        <v>396</v>
      </c>
      <c r="C6" s="435" t="s">
        <v>192</v>
      </c>
      <c r="D6" s="24" t="s">
        <v>28</v>
      </c>
      <c r="E6" s="25" t="s">
        <v>398</v>
      </c>
      <c r="F6" s="24" t="s">
        <v>30</v>
      </c>
      <c r="G6" s="24" t="s">
        <v>31</v>
      </c>
      <c r="H6" s="24" t="s">
        <v>350</v>
      </c>
      <c r="I6" s="24" t="s">
        <v>352</v>
      </c>
      <c r="J6" s="25" t="s">
        <v>32</v>
      </c>
      <c r="K6" s="21" t="s">
        <v>33</v>
      </c>
    </row>
    <row r="7" spans="2:11" x14ac:dyDescent="0.25">
      <c r="B7" s="471"/>
      <c r="C7" s="435"/>
      <c r="D7" s="11" t="s">
        <v>34</v>
      </c>
      <c r="E7" s="8"/>
      <c r="F7" s="11" t="s">
        <v>399</v>
      </c>
      <c r="G7" s="11"/>
      <c r="H7" s="8"/>
      <c r="I7" s="11"/>
      <c r="J7" s="8" t="s">
        <v>401</v>
      </c>
      <c r="K7" s="1" t="s">
        <v>10</v>
      </c>
    </row>
    <row r="8" spans="2:11" s="19" customFormat="1" ht="28.5" customHeight="1" x14ac:dyDescent="0.25">
      <c r="B8" s="471"/>
      <c r="C8" s="435"/>
      <c r="D8" s="26"/>
      <c r="E8" s="27"/>
      <c r="F8" s="26"/>
      <c r="G8" s="26"/>
      <c r="H8" s="26"/>
      <c r="I8" s="26"/>
      <c r="J8" s="27" t="s">
        <v>41</v>
      </c>
      <c r="K8" s="28" t="s">
        <v>40</v>
      </c>
    </row>
    <row r="9" spans="2:11" ht="15.75" thickBot="1" x14ac:dyDescent="0.3">
      <c r="B9" s="472"/>
      <c r="C9" s="473"/>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5">
        <v>2011</v>
      </c>
      <c r="C11" s="6"/>
      <c r="D11" s="261">
        <f>'Direct N2O'!B36*60%</f>
        <v>2891.4</v>
      </c>
      <c r="E11" s="221">
        <v>1.3</v>
      </c>
      <c r="F11" s="88">
        <v>160.9</v>
      </c>
      <c r="G11" s="267">
        <v>1</v>
      </c>
      <c r="H11" s="43">
        <f>'EF&amp;SF lahan sawah'!$H$13</f>
        <v>0.28999999999999998</v>
      </c>
      <c r="I11" s="89">
        <f>'EF&amp;SF lahan sawah'!$N$22</f>
        <v>0.56746289219990131</v>
      </c>
      <c r="J11" s="151">
        <f>F11*G11*H11*I11*$I$28</f>
        <v>30.629886766402873</v>
      </c>
      <c r="K11" s="42">
        <f>D11*E11*J11*10^-6</f>
        <v>0.11513223097529045</v>
      </c>
    </row>
    <row r="12" spans="2:11" x14ac:dyDescent="0.25">
      <c r="B12" s="405">
        <v>2012</v>
      </c>
      <c r="C12" s="6"/>
      <c r="D12" s="261">
        <f>'Direct N2O'!B37*60%</f>
        <v>3041.4</v>
      </c>
      <c r="E12" s="221">
        <v>1.3</v>
      </c>
      <c r="F12" s="88">
        <v>160.9</v>
      </c>
      <c r="G12" s="267">
        <v>1</v>
      </c>
      <c r="H12" s="43">
        <f>'EF&amp;SF lahan sawah'!$H$13</f>
        <v>0.28999999999999998</v>
      </c>
      <c r="I12" s="89">
        <f>'EF&amp;SF lahan sawah'!$N$22</f>
        <v>0.56746289219990131</v>
      </c>
      <c r="J12" s="151">
        <f t="shared" ref="J12:J21" si="0">F12*G12*H12*I12*$I$28</f>
        <v>30.629886766402873</v>
      </c>
      <c r="K12" s="42">
        <f t="shared" ref="K12:K21" si="1">D12*E12*J12*10^-6</f>
        <v>0.12110505889473901</v>
      </c>
    </row>
    <row r="13" spans="2:11" x14ac:dyDescent="0.25">
      <c r="B13" s="405">
        <v>2013</v>
      </c>
      <c r="C13" s="6"/>
      <c r="D13" s="261">
        <f>'Direct N2O'!B38*60%</f>
        <v>3043.2</v>
      </c>
      <c r="E13" s="221">
        <v>1.3</v>
      </c>
      <c r="F13" s="88">
        <v>160.9</v>
      </c>
      <c r="G13" s="267">
        <v>1</v>
      </c>
      <c r="H13" s="43">
        <f>'EF&amp;SF lahan sawah'!$H$13</f>
        <v>0.28999999999999998</v>
      </c>
      <c r="I13" s="89">
        <f>'EF&amp;SF lahan sawah'!$N$22</f>
        <v>0.56746289219990131</v>
      </c>
      <c r="J13" s="151">
        <f t="shared" si="0"/>
        <v>30.629886766402873</v>
      </c>
      <c r="K13" s="42">
        <f t="shared" si="1"/>
        <v>0.12117673282977239</v>
      </c>
    </row>
    <row r="14" spans="2:11" x14ac:dyDescent="0.25">
      <c r="B14" s="405">
        <v>2014</v>
      </c>
      <c r="C14" s="6"/>
      <c r="D14" s="261">
        <f>'Direct N2O'!B39*60%</f>
        <v>3642.6</v>
      </c>
      <c r="E14" s="221">
        <v>1.3</v>
      </c>
      <c r="F14" s="88">
        <v>160.9</v>
      </c>
      <c r="G14" s="267">
        <v>1</v>
      </c>
      <c r="H14" s="43">
        <f>'EF&amp;SF lahan sawah'!$H$13</f>
        <v>0.28999999999999998</v>
      </c>
      <c r="I14" s="89">
        <f>'EF&amp;SF lahan sawah'!$N$22</f>
        <v>0.56746289219990131</v>
      </c>
      <c r="J14" s="151">
        <f t="shared" si="0"/>
        <v>30.629886766402873</v>
      </c>
      <c r="K14" s="42">
        <f t="shared" si="1"/>
        <v>0.14504415319588884</v>
      </c>
    </row>
    <row r="15" spans="2:11" x14ac:dyDescent="0.25">
      <c r="B15" s="405">
        <v>2015</v>
      </c>
      <c r="C15" s="6"/>
      <c r="D15" s="261">
        <f>'Direct N2O'!B40*60%</f>
        <v>3343.2</v>
      </c>
      <c r="E15" s="221">
        <v>1.3</v>
      </c>
      <c r="F15" s="88">
        <v>160.9</v>
      </c>
      <c r="G15" s="267">
        <v>1</v>
      </c>
      <c r="H15" s="43">
        <f>'EF&amp;SF lahan sawah'!$H$13</f>
        <v>0.28999999999999998</v>
      </c>
      <c r="I15" s="89">
        <f>'EF&amp;SF lahan sawah'!$N$22</f>
        <v>0.56746289219990131</v>
      </c>
      <c r="J15" s="151">
        <f t="shared" si="0"/>
        <v>30.629886766402873</v>
      </c>
      <c r="K15" s="42">
        <f t="shared" si="1"/>
        <v>0.13312238866866949</v>
      </c>
    </row>
    <row r="16" spans="2:11" x14ac:dyDescent="0.25">
      <c r="B16" s="405">
        <v>2016</v>
      </c>
      <c r="C16" s="6"/>
      <c r="D16" s="261">
        <f>'Direct N2O'!B41*60%</f>
        <v>1806.6</v>
      </c>
      <c r="E16" s="221">
        <v>1.3</v>
      </c>
      <c r="F16" s="88">
        <v>160.9</v>
      </c>
      <c r="G16" s="267">
        <v>1</v>
      </c>
      <c r="H16" s="43">
        <f>'EF&amp;SF lahan sawah'!$H$13</f>
        <v>0.28999999999999998</v>
      </c>
      <c r="I16" s="89">
        <f>'EF&amp;SF lahan sawah'!$N$22</f>
        <v>0.56746289219990131</v>
      </c>
      <c r="J16" s="151">
        <f t="shared" si="0"/>
        <v>30.629886766402873</v>
      </c>
      <c r="K16" s="42">
        <f t="shared" si="1"/>
        <v>7.1936739461838456E-2</v>
      </c>
    </row>
    <row r="17" spans="2:11" x14ac:dyDescent="0.25">
      <c r="B17" s="405">
        <v>2017</v>
      </c>
      <c r="C17" s="6"/>
      <c r="D17" s="411">
        <f>'Direct N2O'!B42*80%</f>
        <v>5071.2000000000007</v>
      </c>
      <c r="E17" s="221">
        <v>1.3</v>
      </c>
      <c r="F17" s="88">
        <v>160.9</v>
      </c>
      <c r="G17" s="412">
        <v>0.46</v>
      </c>
      <c r="H17" s="43">
        <f>'EF&amp;SF lahan sawah'!$H$13</f>
        <v>0.28999999999999998</v>
      </c>
      <c r="I17" s="89">
        <f>'EF&amp;SF lahan sawah'!$N$22</f>
        <v>0.56746289219990131</v>
      </c>
      <c r="J17" s="151">
        <f t="shared" si="0"/>
        <v>14.089747912545324</v>
      </c>
      <c r="K17" s="42">
        <f t="shared" si="1"/>
        <v>9.2887508498329815E-2</v>
      </c>
    </row>
    <row r="18" spans="2:11" x14ac:dyDescent="0.25">
      <c r="B18" s="405">
        <v>2018</v>
      </c>
      <c r="C18" s="6"/>
      <c r="D18" s="411">
        <f>'Direct N2O'!B43*80%</f>
        <v>5260.8</v>
      </c>
      <c r="E18" s="221">
        <v>1.3</v>
      </c>
      <c r="F18" s="88">
        <v>160.9</v>
      </c>
      <c r="G18" s="412">
        <v>0.46</v>
      </c>
      <c r="H18" s="43">
        <f>'EF&amp;SF lahan sawah'!$H$13</f>
        <v>0.28999999999999998</v>
      </c>
      <c r="I18" s="89">
        <f>'EF&amp;SF lahan sawah'!$N$22</f>
        <v>0.56746289219990131</v>
      </c>
      <c r="J18" s="151">
        <f t="shared" si="0"/>
        <v>14.089747912545324</v>
      </c>
      <c r="K18" s="42">
        <f t="shared" si="1"/>
        <v>9.636034956381398E-2</v>
      </c>
    </row>
    <row r="19" spans="2:11" x14ac:dyDescent="0.25">
      <c r="B19" s="405">
        <v>2019</v>
      </c>
      <c r="C19" s="6"/>
      <c r="D19" s="411">
        <f>'Direct N2O'!B44*80%</f>
        <v>5802.4000000000005</v>
      </c>
      <c r="E19" s="221">
        <v>1.3</v>
      </c>
      <c r="F19" s="88">
        <v>160.9</v>
      </c>
      <c r="G19" s="412">
        <v>0.46</v>
      </c>
      <c r="H19" s="43">
        <f>'EF&amp;SF lahan sawah'!$H$13</f>
        <v>0.28999999999999998</v>
      </c>
      <c r="I19" s="89">
        <f>'EF&amp;SF lahan sawah'!$N$22</f>
        <v>0.56746289219990131</v>
      </c>
      <c r="J19" s="151">
        <f t="shared" si="0"/>
        <v>14.089747912545324</v>
      </c>
      <c r="K19" s="42">
        <f t="shared" si="1"/>
        <v>0.10628065927407888</v>
      </c>
    </row>
    <row r="20" spans="2:11" x14ac:dyDescent="0.25">
      <c r="B20" s="405">
        <v>2020</v>
      </c>
      <c r="C20" s="6"/>
      <c r="D20" s="411">
        <f>'Direct N2O'!B45*80%</f>
        <v>6096</v>
      </c>
      <c r="E20" s="221">
        <v>1.3</v>
      </c>
      <c r="F20" s="88">
        <v>160.9</v>
      </c>
      <c r="G20" s="412">
        <v>0.46</v>
      </c>
      <c r="H20" s="43">
        <f>'EF&amp;SF lahan sawah'!$H$13</f>
        <v>0.28999999999999998</v>
      </c>
      <c r="I20" s="89">
        <f>'EF&amp;SF lahan sawah'!$N$22</f>
        <v>0.56746289219990131</v>
      </c>
      <c r="J20" s="151">
        <f t="shared" si="0"/>
        <v>14.089747912545324</v>
      </c>
      <c r="K20" s="42">
        <f t="shared" si="1"/>
        <v>0.11165843425733919</v>
      </c>
    </row>
    <row r="21" spans="2:11" x14ac:dyDescent="0.25">
      <c r="B21" s="405">
        <v>2021</v>
      </c>
      <c r="C21" s="6"/>
      <c r="D21" s="201"/>
      <c r="E21" s="221">
        <v>1.3</v>
      </c>
      <c r="F21" s="88">
        <v>160.9</v>
      </c>
      <c r="G21" s="412">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2">
        <f>SUM(D11:D21)</f>
        <v>39998.799999999996</v>
      </c>
      <c r="E22" s="127"/>
      <c r="F22" s="126"/>
      <c r="G22" s="266"/>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4">
        <f>(1+F29*0.14)^0.59</f>
        <v>1.1567882857903236</v>
      </c>
    </row>
    <row r="29" spans="2:11" x14ac:dyDescent="0.25">
      <c r="B29" t="s">
        <v>202</v>
      </c>
      <c r="F29">
        <v>2</v>
      </c>
      <c r="G29" t="s">
        <v>203</v>
      </c>
      <c r="H29" t="s">
        <v>458</v>
      </c>
      <c r="I29" s="265">
        <f>F11*G11*I28*F31*F32</f>
        <v>30.629886766402873</v>
      </c>
    </row>
    <row r="30" spans="2:11" x14ac:dyDescent="0.25">
      <c r="B30" t="s">
        <v>204</v>
      </c>
      <c r="F30">
        <f>'EF&amp;SF lahan sawah'!E40</f>
        <v>1.9</v>
      </c>
      <c r="H30" t="s">
        <v>459</v>
      </c>
      <c r="I30" s="264">
        <f>I29*F28*F27*10^-6</f>
        <v>3185.5082237058987</v>
      </c>
      <c r="J30" t="s">
        <v>363</v>
      </c>
    </row>
    <row r="31" spans="2:11" x14ac:dyDescent="0.25">
      <c r="B31" t="s">
        <v>205</v>
      </c>
      <c r="F31">
        <f>'EF&amp;SF lahan sawah'!H13</f>
        <v>0.28999999999999998</v>
      </c>
      <c r="I31" s="265">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68" t="s">
        <v>27</v>
      </c>
      <c r="E37" s="469"/>
      <c r="F37" s="468" t="s">
        <v>29</v>
      </c>
      <c r="G37" s="470"/>
      <c r="H37" s="259"/>
      <c r="I37" s="468" t="s">
        <v>29</v>
      </c>
      <c r="J37" s="469"/>
      <c r="K37" s="260" t="s">
        <v>27</v>
      </c>
    </row>
    <row r="38" spans="2:11" ht="75" x14ac:dyDescent="0.25">
      <c r="B38" s="471" t="s">
        <v>396</v>
      </c>
      <c r="C38" s="435" t="s">
        <v>192</v>
      </c>
      <c r="D38" s="24" t="s">
        <v>28</v>
      </c>
      <c r="E38" s="25" t="s">
        <v>398</v>
      </c>
      <c r="F38" s="24" t="s">
        <v>30</v>
      </c>
      <c r="G38" s="24" t="s">
        <v>31</v>
      </c>
      <c r="H38" s="24" t="s">
        <v>350</v>
      </c>
      <c r="I38" s="24" t="s">
        <v>352</v>
      </c>
      <c r="J38" s="25" t="s">
        <v>32</v>
      </c>
      <c r="K38" s="21" t="s">
        <v>33</v>
      </c>
    </row>
    <row r="39" spans="2:11" x14ac:dyDescent="0.25">
      <c r="B39" s="471"/>
      <c r="C39" s="435"/>
      <c r="D39" s="11" t="s">
        <v>34</v>
      </c>
      <c r="E39" s="8"/>
      <c r="F39" s="11" t="s">
        <v>399</v>
      </c>
      <c r="G39" s="11"/>
      <c r="H39" s="8"/>
      <c r="I39" s="11"/>
      <c r="J39" s="8" t="s">
        <v>401</v>
      </c>
      <c r="K39" s="1" t="s">
        <v>10</v>
      </c>
    </row>
    <row r="40" spans="2:11" ht="30" x14ac:dyDescent="0.25">
      <c r="B40" s="471"/>
      <c r="C40" s="435"/>
      <c r="D40" s="26"/>
      <c r="E40" s="27"/>
      <c r="F40" s="26"/>
      <c r="G40" s="26"/>
      <c r="H40" s="26"/>
      <c r="I40" s="26"/>
      <c r="J40" s="27" t="s">
        <v>41</v>
      </c>
      <c r="K40" s="28" t="s">
        <v>40</v>
      </c>
    </row>
    <row r="41" spans="2:11" ht="15.75" thickBot="1" x14ac:dyDescent="0.3">
      <c r="B41" s="472"/>
      <c r="C41" s="473"/>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9">
        <f>B11</f>
        <v>2011</v>
      </c>
      <c r="C43" s="6"/>
      <c r="D43" s="261">
        <f>'Direct N2O'!B36*30%</f>
        <v>1445.7</v>
      </c>
      <c r="E43" s="221">
        <v>1.3</v>
      </c>
      <c r="F43" s="88">
        <v>160.9</v>
      </c>
      <c r="G43" s="267">
        <v>1</v>
      </c>
      <c r="H43" s="43">
        <f>'EF&amp;SF lahan sawah'!$H$13</f>
        <v>0.28999999999999998</v>
      </c>
      <c r="I43" s="89">
        <f>'EF&amp;SF lahan sawah'!$N$27</f>
        <v>1.1568871577513371</v>
      </c>
      <c r="J43" s="151">
        <f>F43*G43*H43*I43*$I$28</f>
        <v>62.445180346605362</v>
      </c>
      <c r="K43" s="42">
        <f>D43*E43*J43*10^-6</f>
        <v>0.1173600963952136</v>
      </c>
    </row>
    <row r="44" spans="2:11" x14ac:dyDescent="0.25">
      <c r="B44" s="309">
        <f t="shared" ref="B44:B53" si="2">B12</f>
        <v>2012</v>
      </c>
      <c r="C44" s="6"/>
      <c r="D44" s="261">
        <f>'Direct N2O'!B37*30%</f>
        <v>1520.7</v>
      </c>
      <c r="E44" s="221">
        <v>1.3</v>
      </c>
      <c r="F44" s="88">
        <v>160.9</v>
      </c>
      <c r="G44" s="267">
        <v>1</v>
      </c>
      <c r="H44" s="43">
        <f>'EF&amp;SF lahan sawah'!$H$13</f>
        <v>0.28999999999999998</v>
      </c>
      <c r="I44" s="89">
        <f>'EF&amp;SF lahan sawah'!$N$27</f>
        <v>1.1568871577513371</v>
      </c>
      <c r="J44" s="151">
        <f t="shared" ref="J44:J53" si="3">F44*G44*H44*I44*$I$28</f>
        <v>62.445180346605362</v>
      </c>
      <c r="K44" s="42">
        <f t="shared" ref="K44:K53" si="4">D44*E44*J44*10^-6</f>
        <v>0.1234485014790076</v>
      </c>
    </row>
    <row r="45" spans="2:11" x14ac:dyDescent="0.25">
      <c r="B45" s="309">
        <f t="shared" si="2"/>
        <v>2013</v>
      </c>
      <c r="C45" s="6"/>
      <c r="D45" s="261">
        <f>'Direct N2O'!B38*30%</f>
        <v>1521.6</v>
      </c>
      <c r="E45" s="221">
        <v>1.3</v>
      </c>
      <c r="F45" s="88">
        <v>160.9</v>
      </c>
      <c r="G45" s="267">
        <v>1</v>
      </c>
      <c r="H45" s="43">
        <f>'EF&amp;SF lahan sawah'!$H$13</f>
        <v>0.28999999999999998</v>
      </c>
      <c r="I45" s="89">
        <f>'EF&amp;SF lahan sawah'!$N$27</f>
        <v>1.1568871577513371</v>
      </c>
      <c r="J45" s="151">
        <f t="shared" si="3"/>
        <v>62.445180346605362</v>
      </c>
      <c r="K45" s="42">
        <f t="shared" si="4"/>
        <v>0.12352156234001313</v>
      </c>
    </row>
    <row r="46" spans="2:11" x14ac:dyDescent="0.25">
      <c r="B46" s="309">
        <f t="shared" si="2"/>
        <v>2014</v>
      </c>
      <c r="C46" s="6"/>
      <c r="D46" s="261">
        <f>'Direct N2O'!B39*30%</f>
        <v>1821.3</v>
      </c>
      <c r="E46" s="221">
        <v>1.3</v>
      </c>
      <c r="F46" s="88">
        <v>160.9</v>
      </c>
      <c r="G46" s="267">
        <v>1</v>
      </c>
      <c r="H46" s="43">
        <f>'EF&amp;SF lahan sawah'!$H$13</f>
        <v>0.28999999999999998</v>
      </c>
      <c r="I46" s="89">
        <f>'EF&amp;SF lahan sawah'!$N$27</f>
        <v>1.1568871577513371</v>
      </c>
      <c r="J46" s="151">
        <f t="shared" si="3"/>
        <v>62.445180346605362</v>
      </c>
      <c r="K46" s="42">
        <f t="shared" si="4"/>
        <v>0.14785082905485405</v>
      </c>
    </row>
    <row r="47" spans="2:11" x14ac:dyDescent="0.25">
      <c r="B47" s="309">
        <f t="shared" si="2"/>
        <v>2015</v>
      </c>
      <c r="C47" s="6"/>
      <c r="D47" s="261">
        <f>'Direct N2O'!B40*30%</f>
        <v>1671.6</v>
      </c>
      <c r="E47" s="221">
        <v>1.3</v>
      </c>
      <c r="F47" s="88">
        <v>160.9</v>
      </c>
      <c r="G47" s="267">
        <v>1</v>
      </c>
      <c r="H47" s="43">
        <f>'EF&amp;SF lahan sawah'!$H$13</f>
        <v>0.28999999999999998</v>
      </c>
      <c r="I47" s="89">
        <f>'EF&amp;SF lahan sawah'!$N$27</f>
        <v>1.1568871577513371</v>
      </c>
      <c r="J47" s="151">
        <f t="shared" si="3"/>
        <v>62.445180346605362</v>
      </c>
      <c r="K47" s="42">
        <f t="shared" si="4"/>
        <v>0.13569837250760117</v>
      </c>
    </row>
    <row r="48" spans="2:11" x14ac:dyDescent="0.25">
      <c r="B48" s="309">
        <f t="shared" si="2"/>
        <v>2016</v>
      </c>
      <c r="C48" s="6"/>
      <c r="D48" s="261">
        <f>'Direct N2O'!B41*30%</f>
        <v>903.3</v>
      </c>
      <c r="E48" s="221">
        <v>1.3</v>
      </c>
      <c r="F48" s="88">
        <v>160.9</v>
      </c>
      <c r="G48" s="267">
        <v>1</v>
      </c>
      <c r="H48" s="43">
        <f>'EF&amp;SF lahan sawah'!$H$13</f>
        <v>0.28999999999999998</v>
      </c>
      <c r="I48" s="89">
        <f>'EF&amp;SF lahan sawah'!$N$27</f>
        <v>1.1568871577513371</v>
      </c>
      <c r="J48" s="151">
        <f t="shared" si="3"/>
        <v>62.445180346605362</v>
      </c>
      <c r="K48" s="42">
        <f t="shared" si="4"/>
        <v>7.3328750829215208E-2</v>
      </c>
    </row>
    <row r="49" spans="2:11" x14ac:dyDescent="0.25">
      <c r="B49" s="309">
        <f t="shared" si="2"/>
        <v>2017</v>
      </c>
      <c r="C49" s="6"/>
      <c r="D49" s="411">
        <f>'Direct N2O'!B42*15%</f>
        <v>950.84999999999991</v>
      </c>
      <c r="E49" s="221">
        <v>1.3</v>
      </c>
      <c r="F49" s="88">
        <v>160.9</v>
      </c>
      <c r="G49" s="412">
        <v>0.46</v>
      </c>
      <c r="H49" s="43">
        <f>'EF&amp;SF lahan sawah'!$H$13</f>
        <v>0.28999999999999998</v>
      </c>
      <c r="I49" s="89">
        <f>'EF&amp;SF lahan sawah'!$N$27</f>
        <v>1.1568871577513371</v>
      </c>
      <c r="J49" s="151">
        <f t="shared" si="3"/>
        <v>28.724782959438468</v>
      </c>
      <c r="K49" s="42">
        <f t="shared" si="4"/>
        <v>3.550684784007669E-2</v>
      </c>
    </row>
    <row r="50" spans="2:11" x14ac:dyDescent="0.25">
      <c r="B50" s="309">
        <f t="shared" si="2"/>
        <v>2018</v>
      </c>
      <c r="C50" s="6"/>
      <c r="D50" s="411">
        <f>'Direct N2O'!B43*15%</f>
        <v>986.4</v>
      </c>
      <c r="E50" s="221">
        <v>1.3</v>
      </c>
      <c r="F50" s="88">
        <v>160.9</v>
      </c>
      <c r="G50" s="412">
        <v>0.46</v>
      </c>
      <c r="H50" s="43">
        <f>'EF&amp;SF lahan sawah'!$H$13</f>
        <v>0.28999999999999998</v>
      </c>
      <c r="I50" s="89">
        <f>'EF&amp;SF lahan sawah'!$N$27</f>
        <v>1.1568871577513371</v>
      </c>
      <c r="J50" s="151">
        <f t="shared" si="3"/>
        <v>28.724782959438468</v>
      </c>
      <c r="K50" s="42">
        <f t="shared" si="4"/>
        <v>3.6834363684547129E-2</v>
      </c>
    </row>
    <row r="51" spans="2:11" x14ac:dyDescent="0.25">
      <c r="B51" s="309">
        <f t="shared" si="2"/>
        <v>2019</v>
      </c>
      <c r="C51" s="6"/>
      <c r="D51" s="411">
        <f>'Direct N2O'!B44*15%</f>
        <v>1087.95</v>
      </c>
      <c r="E51" s="221">
        <v>1.3</v>
      </c>
      <c r="F51" s="88">
        <v>160.9</v>
      </c>
      <c r="G51" s="412">
        <v>0.46</v>
      </c>
      <c r="H51" s="43">
        <f>'EF&amp;SF lahan sawah'!$H$13</f>
        <v>0.28999999999999998</v>
      </c>
      <c r="I51" s="89">
        <f>'EF&amp;SF lahan sawah'!$N$27</f>
        <v>1.1568871577513371</v>
      </c>
      <c r="J51" s="151">
        <f t="shared" si="3"/>
        <v>28.724782959438468</v>
      </c>
      <c r="K51" s="42">
        <f t="shared" si="4"/>
        <v>4.0626465906937401E-2</v>
      </c>
    </row>
    <row r="52" spans="2:11" x14ac:dyDescent="0.25">
      <c r="B52" s="309">
        <f t="shared" si="2"/>
        <v>2020</v>
      </c>
      <c r="C52" s="6"/>
      <c r="D52" s="411">
        <f>'Direct N2O'!B45*15%</f>
        <v>1143</v>
      </c>
      <c r="E52" s="221">
        <v>1.3</v>
      </c>
      <c r="F52" s="88">
        <v>160.9</v>
      </c>
      <c r="G52" s="412">
        <v>0.46</v>
      </c>
      <c r="H52" s="43">
        <f>'EF&amp;SF lahan sawah'!$H$13</f>
        <v>0.28999999999999998</v>
      </c>
      <c r="I52" s="89">
        <f>'EF&amp;SF lahan sawah'!$N$27</f>
        <v>1.1568871577513371</v>
      </c>
      <c r="J52" s="151">
        <f t="shared" si="3"/>
        <v>28.724782959438468</v>
      </c>
      <c r="K52" s="42">
        <f t="shared" si="4"/>
        <v>4.2682154999429622E-2</v>
      </c>
    </row>
    <row r="53" spans="2:11" x14ac:dyDescent="0.25">
      <c r="B53" s="309">
        <f t="shared" si="2"/>
        <v>2021</v>
      </c>
      <c r="C53" s="6"/>
      <c r="D53" s="201"/>
      <c r="E53" s="221">
        <v>1.3</v>
      </c>
      <c r="F53" s="88">
        <v>160.9</v>
      </c>
      <c r="G53" s="412">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2">
        <f>SUM(D43:D53)</f>
        <v>13052.4</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8"/>
      <c r="F56" s="13"/>
      <c r="G56" s="13"/>
      <c r="H56" s="258"/>
      <c r="I56" s="13"/>
      <c r="J56" s="258"/>
      <c r="K56" s="53"/>
    </row>
    <row r="61" spans="2:11" ht="15.75" thickBot="1" x14ac:dyDescent="0.3"/>
    <row r="62" spans="2:11" x14ac:dyDescent="0.25">
      <c r="B62" s="128" t="s">
        <v>3</v>
      </c>
      <c r="C62" s="22" t="s">
        <v>26</v>
      </c>
      <c r="D62" s="468" t="s">
        <v>27</v>
      </c>
      <c r="E62" s="469"/>
      <c r="F62" s="468" t="s">
        <v>29</v>
      </c>
      <c r="G62" s="470"/>
      <c r="H62" s="259"/>
      <c r="I62" s="468" t="s">
        <v>29</v>
      </c>
      <c r="J62" s="469"/>
      <c r="K62" s="260" t="s">
        <v>27</v>
      </c>
    </row>
    <row r="63" spans="2:11" ht="75" x14ac:dyDescent="0.25">
      <c r="B63" s="471" t="s">
        <v>396</v>
      </c>
      <c r="C63" s="435" t="s">
        <v>192</v>
      </c>
      <c r="D63" s="24" t="s">
        <v>28</v>
      </c>
      <c r="E63" s="25" t="s">
        <v>398</v>
      </c>
      <c r="F63" s="24" t="s">
        <v>30</v>
      </c>
      <c r="G63" s="24" t="s">
        <v>31</v>
      </c>
      <c r="H63" s="24" t="s">
        <v>350</v>
      </c>
      <c r="I63" s="24" t="s">
        <v>352</v>
      </c>
      <c r="J63" s="25" t="s">
        <v>32</v>
      </c>
      <c r="K63" s="21" t="s">
        <v>33</v>
      </c>
    </row>
    <row r="64" spans="2:11" x14ac:dyDescent="0.25">
      <c r="B64" s="471"/>
      <c r="C64" s="435"/>
      <c r="D64" s="11" t="s">
        <v>34</v>
      </c>
      <c r="E64" s="8"/>
      <c r="F64" s="11" t="s">
        <v>399</v>
      </c>
      <c r="G64" s="11"/>
      <c r="H64" s="8"/>
      <c r="I64" s="11"/>
      <c r="J64" s="8" t="s">
        <v>401</v>
      </c>
      <c r="K64" s="1" t="s">
        <v>10</v>
      </c>
    </row>
    <row r="65" spans="2:11" ht="30" x14ac:dyDescent="0.25">
      <c r="B65" s="471"/>
      <c r="C65" s="435"/>
      <c r="D65" s="26"/>
      <c r="E65" s="27"/>
      <c r="F65" s="26"/>
      <c r="G65" s="26"/>
      <c r="H65" s="26"/>
      <c r="I65" s="26"/>
      <c r="J65" s="27" t="s">
        <v>41</v>
      </c>
      <c r="K65" s="28" t="s">
        <v>40</v>
      </c>
    </row>
    <row r="66" spans="2:11" ht="15.75" thickBot="1" x14ac:dyDescent="0.3">
      <c r="B66" s="472"/>
      <c r="C66" s="473"/>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9">
        <f>B11</f>
        <v>2011</v>
      </c>
      <c r="C68" s="6"/>
      <c r="D68" s="261">
        <f>'Direct N2O'!B36*10%</f>
        <v>481.90000000000003</v>
      </c>
      <c r="E68" s="221">
        <v>1.3</v>
      </c>
      <c r="F68" s="88">
        <v>160.9</v>
      </c>
      <c r="G68" s="202">
        <v>1</v>
      </c>
      <c r="H68" s="43">
        <f>'EF&amp;SF lahan sawah'!$H$13</f>
        <v>0.28999999999999998</v>
      </c>
      <c r="I68" s="89">
        <f>'EF&amp;SF lahan sawah'!$N$38</f>
        <v>1.3386449714773025</v>
      </c>
      <c r="J68" s="151">
        <f>F68*G68*H68*I68*$I$28</f>
        <v>72.255903355739306</v>
      </c>
      <c r="K68" s="42">
        <f>D68*E68*J68*10^-6</f>
        <v>4.5266155775270003E-2</v>
      </c>
    </row>
    <row r="69" spans="2:11" x14ac:dyDescent="0.25">
      <c r="B69" s="309">
        <f t="shared" ref="B69:B78" si="5">B12</f>
        <v>2012</v>
      </c>
      <c r="C69" s="6"/>
      <c r="D69" s="261">
        <f>'Direct N2O'!B37*10%</f>
        <v>506.90000000000003</v>
      </c>
      <c r="E69" s="221">
        <v>1.3</v>
      </c>
      <c r="F69" s="88">
        <v>160.9</v>
      </c>
      <c r="G69" s="202">
        <v>1</v>
      </c>
      <c r="H69" s="43">
        <f>'EF&amp;SF lahan sawah'!$H$13</f>
        <v>0.28999999999999998</v>
      </c>
      <c r="I69" s="89">
        <f>'EF&amp;SF lahan sawah'!$N$38</f>
        <v>1.3386449714773025</v>
      </c>
      <c r="J69" s="151">
        <f t="shared" ref="J69:J78" si="6">F69*G69*H69*I69*$I$28</f>
        <v>72.255903355739306</v>
      </c>
      <c r="K69" s="42">
        <f t="shared" ref="K69:K78" si="7">D69*E69*J69*10^-6</f>
        <v>4.761447263433153E-2</v>
      </c>
    </row>
    <row r="70" spans="2:11" x14ac:dyDescent="0.25">
      <c r="B70" s="309">
        <f t="shared" si="5"/>
        <v>2013</v>
      </c>
      <c r="C70" s="6"/>
      <c r="D70" s="261">
        <f>'Direct N2O'!B38*10%</f>
        <v>507.20000000000005</v>
      </c>
      <c r="E70" s="221">
        <v>1.3</v>
      </c>
      <c r="F70" s="88">
        <v>160.9</v>
      </c>
      <c r="G70" s="202">
        <v>1</v>
      </c>
      <c r="H70" s="43">
        <f>'EF&amp;SF lahan sawah'!$H$13</f>
        <v>0.28999999999999998</v>
      </c>
      <c r="I70" s="89">
        <f>'EF&amp;SF lahan sawah'!$N$38</f>
        <v>1.3386449714773025</v>
      </c>
      <c r="J70" s="151">
        <f t="shared" si="6"/>
        <v>72.255903355739306</v>
      </c>
      <c r="K70" s="42">
        <f t="shared" si="7"/>
        <v>4.764265243664028E-2</v>
      </c>
    </row>
    <row r="71" spans="2:11" x14ac:dyDescent="0.25">
      <c r="B71" s="309">
        <f t="shared" si="5"/>
        <v>2014</v>
      </c>
      <c r="C71" s="6"/>
      <c r="D71" s="261">
        <f>'Direct N2O'!B39*10%</f>
        <v>607.1</v>
      </c>
      <c r="E71" s="221">
        <v>1.3</v>
      </c>
      <c r="F71" s="88">
        <v>160.9</v>
      </c>
      <c r="G71" s="202">
        <v>1</v>
      </c>
      <c r="H71" s="43">
        <f>'EF&amp;SF lahan sawah'!$H$13</f>
        <v>0.28999999999999998</v>
      </c>
      <c r="I71" s="89">
        <f>'EF&amp;SF lahan sawah'!$N$38</f>
        <v>1.3386449714773025</v>
      </c>
      <c r="J71" s="151">
        <f t="shared" si="6"/>
        <v>72.255903355739306</v>
      </c>
      <c r="K71" s="42">
        <f t="shared" si="7"/>
        <v>5.7026526605450129E-2</v>
      </c>
    </row>
    <row r="72" spans="2:11" x14ac:dyDescent="0.25">
      <c r="B72" s="309">
        <f t="shared" si="5"/>
        <v>2015</v>
      </c>
      <c r="C72" s="6"/>
      <c r="D72" s="261">
        <f>'Direct N2O'!B40*10%</f>
        <v>557.20000000000005</v>
      </c>
      <c r="E72" s="221">
        <v>1.3</v>
      </c>
      <c r="F72" s="88">
        <v>160.9</v>
      </c>
      <c r="G72" s="202">
        <v>1</v>
      </c>
      <c r="H72" s="43">
        <f>'EF&amp;SF lahan sawah'!$H$13</f>
        <v>0.28999999999999998</v>
      </c>
      <c r="I72" s="89">
        <f>'EF&amp;SF lahan sawah'!$N$38</f>
        <v>1.3386449714773025</v>
      </c>
      <c r="J72" s="151">
        <f t="shared" si="6"/>
        <v>72.255903355739306</v>
      </c>
      <c r="K72" s="42">
        <f t="shared" si="7"/>
        <v>5.2339286154763333E-2</v>
      </c>
    </row>
    <row r="73" spans="2:11" x14ac:dyDescent="0.25">
      <c r="B73" s="309">
        <f t="shared" si="5"/>
        <v>2016</v>
      </c>
      <c r="C73" s="6"/>
      <c r="D73" s="261">
        <f>'Direct N2O'!B41*10%</f>
        <v>301.10000000000002</v>
      </c>
      <c r="E73" s="221">
        <v>1.3</v>
      </c>
      <c r="F73" s="88">
        <v>160.9</v>
      </c>
      <c r="G73" s="202">
        <v>1</v>
      </c>
      <c r="H73" s="43">
        <f>'EF&amp;SF lahan sawah'!$H$13</f>
        <v>0.28999999999999998</v>
      </c>
      <c r="I73" s="89">
        <f>'EF&amp;SF lahan sawah'!$N$38</f>
        <v>1.3386449714773025</v>
      </c>
      <c r="J73" s="151">
        <f t="shared" si="6"/>
        <v>72.255903355739306</v>
      </c>
      <c r="K73" s="42">
        <f t="shared" si="7"/>
        <v>2.828312825053704E-2</v>
      </c>
    </row>
    <row r="74" spans="2:11" x14ac:dyDescent="0.25">
      <c r="B74" s="309">
        <f t="shared" si="5"/>
        <v>2017</v>
      </c>
      <c r="C74" s="6"/>
      <c r="D74" s="411">
        <f>'Direct N2O'!B42*5%</f>
        <v>316.95000000000005</v>
      </c>
      <c r="E74" s="221">
        <v>1.3</v>
      </c>
      <c r="F74" s="88">
        <v>160.9</v>
      </c>
      <c r="G74" s="413">
        <v>0.46</v>
      </c>
      <c r="H74" s="43">
        <f>'EF&amp;SF lahan sawah'!$H$13</f>
        <v>0.28999999999999998</v>
      </c>
      <c r="I74" s="89">
        <f>'EF&amp;SF lahan sawah'!$N$38</f>
        <v>1.3386449714773025</v>
      </c>
      <c r="J74" s="151">
        <f t="shared" si="6"/>
        <v>33.237715543640078</v>
      </c>
      <c r="K74" s="42">
        <f t="shared" si="7"/>
        <v>1.3695102124023742E-2</v>
      </c>
    </row>
    <row r="75" spans="2:11" x14ac:dyDescent="0.25">
      <c r="B75" s="309">
        <f t="shared" si="5"/>
        <v>2018</v>
      </c>
      <c r="C75" s="6"/>
      <c r="D75" s="411">
        <f>'Direct N2O'!B43*5%</f>
        <v>328.8</v>
      </c>
      <c r="E75" s="221">
        <v>1.3</v>
      </c>
      <c r="F75" s="88">
        <v>160.9</v>
      </c>
      <c r="G75" s="413">
        <v>0.46</v>
      </c>
      <c r="H75" s="43">
        <f>'EF&amp;SF lahan sawah'!$H$13</f>
        <v>0.28999999999999998</v>
      </c>
      <c r="I75" s="89">
        <f>'EF&amp;SF lahan sawah'!$N$38</f>
        <v>1.3386449714773025</v>
      </c>
      <c r="J75" s="151">
        <f t="shared" si="6"/>
        <v>33.237715543640078</v>
      </c>
      <c r="K75" s="42">
        <f t="shared" si="7"/>
        <v>1.4207129131973516E-2</v>
      </c>
    </row>
    <row r="76" spans="2:11" x14ac:dyDescent="0.25">
      <c r="B76" s="309">
        <f t="shared" si="5"/>
        <v>2019</v>
      </c>
      <c r="C76" s="6"/>
      <c r="D76" s="411">
        <f>'Direct N2O'!B44*5%</f>
        <v>362.65000000000003</v>
      </c>
      <c r="E76" s="221">
        <v>1.3</v>
      </c>
      <c r="F76" s="88">
        <v>160.9</v>
      </c>
      <c r="G76" s="413">
        <v>0.46</v>
      </c>
      <c r="H76" s="43">
        <f>'EF&amp;SF lahan sawah'!$H$13</f>
        <v>0.28999999999999998</v>
      </c>
      <c r="I76" s="89">
        <f>'EF&amp;SF lahan sawah'!$N$38</f>
        <v>1.3386449714773025</v>
      </c>
      <c r="J76" s="151">
        <f t="shared" si="6"/>
        <v>33.237715543640078</v>
      </c>
      <c r="K76" s="42">
        <f t="shared" si="7"/>
        <v>1.5669754804471397E-2</v>
      </c>
    </row>
    <row r="77" spans="2:11" x14ac:dyDescent="0.25">
      <c r="B77" s="309">
        <f t="shared" si="5"/>
        <v>2020</v>
      </c>
      <c r="C77" s="6"/>
      <c r="D77" s="411">
        <f>'Direct N2O'!B45*5%</f>
        <v>381</v>
      </c>
      <c r="E77" s="221">
        <v>1.3</v>
      </c>
      <c r="F77" s="88">
        <v>160.9</v>
      </c>
      <c r="G77" s="413">
        <v>0.46</v>
      </c>
      <c r="H77" s="43">
        <f>'EF&amp;SF lahan sawah'!$H$13</f>
        <v>0.28999999999999998</v>
      </c>
      <c r="I77" s="89">
        <f>'EF&amp;SF lahan sawah'!$N$38</f>
        <v>1.3386449714773025</v>
      </c>
      <c r="J77" s="151">
        <f t="shared" si="6"/>
        <v>33.237715543640078</v>
      </c>
      <c r="K77" s="42">
        <f t="shared" si="7"/>
        <v>1.6462640508764934E-2</v>
      </c>
    </row>
    <row r="78" spans="2:11" x14ac:dyDescent="0.25">
      <c r="B78" s="309">
        <f t="shared" si="5"/>
        <v>2021</v>
      </c>
      <c r="C78" s="6"/>
      <c r="D78" s="411"/>
      <c r="E78" s="221">
        <v>1.3</v>
      </c>
      <c r="F78" s="88">
        <v>160.9</v>
      </c>
      <c r="G78" s="413">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2">
        <f>SUM(D68:D78)</f>
        <v>4350.8000000000011</v>
      </c>
      <c r="E79" s="127"/>
      <c r="F79" s="126"/>
      <c r="G79" s="268"/>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8"/>
      <c r="F81" s="13"/>
      <c r="G81" s="13"/>
      <c r="H81" s="258"/>
      <c r="I81" s="13"/>
      <c r="J81" s="258"/>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7" t="s">
        <v>347</v>
      </c>
      <c r="H18" s="216"/>
      <c r="I18" s="216"/>
      <c r="J18" s="216"/>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74" t="s">
        <v>288</v>
      </c>
      <c r="D5" s="475"/>
      <c r="E5" s="475"/>
      <c r="F5" s="475"/>
      <c r="G5" s="476"/>
    </row>
    <row r="6" spans="2:7" ht="45" x14ac:dyDescent="0.25">
      <c r="B6" s="471" t="s">
        <v>396</v>
      </c>
      <c r="C6" s="23" t="s">
        <v>280</v>
      </c>
      <c r="D6" s="161" t="s">
        <v>54</v>
      </c>
      <c r="E6" s="165" t="s">
        <v>289</v>
      </c>
      <c r="F6" s="24" t="s">
        <v>54</v>
      </c>
      <c r="G6" s="158" t="s">
        <v>31</v>
      </c>
    </row>
    <row r="7" spans="2:7" ht="17.25" x14ac:dyDescent="0.25">
      <c r="B7" s="471"/>
      <c r="C7" s="23" t="s">
        <v>281</v>
      </c>
      <c r="D7" s="162" t="s">
        <v>290</v>
      </c>
      <c r="E7" s="24" t="s">
        <v>281</v>
      </c>
      <c r="F7" s="11" t="s">
        <v>291</v>
      </c>
      <c r="G7" s="94"/>
    </row>
    <row r="8" spans="2:7" x14ac:dyDescent="0.25">
      <c r="B8" s="471"/>
      <c r="C8" s="154"/>
      <c r="D8" s="163" t="s">
        <v>282</v>
      </c>
      <c r="E8" s="166"/>
      <c r="F8" s="26" t="s">
        <v>292</v>
      </c>
      <c r="G8" s="93"/>
    </row>
    <row r="9" spans="2:7" ht="18.75" thickBot="1" x14ac:dyDescent="0.4">
      <c r="B9" s="472"/>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3">
        <f>SUM(G11:G11)</f>
        <v>0</v>
      </c>
    </row>
    <row r="17" spans="2:9" ht="30" x14ac:dyDescent="0.25">
      <c r="B17" s="207" t="s">
        <v>293</v>
      </c>
      <c r="C17" s="208">
        <v>300000</v>
      </c>
      <c r="D17" s="209" t="s">
        <v>197</v>
      </c>
    </row>
    <row r="18" spans="2:9" ht="45" x14ac:dyDescent="0.25">
      <c r="B18" s="207" t="s">
        <v>294</v>
      </c>
      <c r="C18" s="208">
        <v>25000</v>
      </c>
      <c r="D18" s="209" t="s">
        <v>197</v>
      </c>
    </row>
    <row r="19" spans="2:9" ht="45" x14ac:dyDescent="0.25">
      <c r="B19" s="207" t="s">
        <v>295</v>
      </c>
      <c r="C19" s="253">
        <v>1</v>
      </c>
      <c r="D19" s="209" t="s">
        <v>297</v>
      </c>
    </row>
    <row r="20" spans="2:9" ht="45" x14ac:dyDescent="0.25">
      <c r="B20" s="207" t="s">
        <v>296</v>
      </c>
      <c r="C20" s="253">
        <v>2</v>
      </c>
      <c r="D20" s="209" t="s">
        <v>297</v>
      </c>
    </row>
    <row r="21" spans="2:9" x14ac:dyDescent="0.25">
      <c r="B21" s="207" t="s">
        <v>298</v>
      </c>
      <c r="C21" s="253">
        <v>0.13</v>
      </c>
      <c r="D21" s="209"/>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zoomScale="85" zoomScaleNormal="85" workbookViewId="0">
      <selection activeCell="C20" sqref="C20"/>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70" t="s">
        <v>56</v>
      </c>
      <c r="D5" s="470"/>
      <c r="E5" s="477"/>
    </row>
    <row r="6" spans="2:5" ht="45" x14ac:dyDescent="0.25">
      <c r="B6" s="478" t="s">
        <v>396</v>
      </c>
      <c r="C6" s="174" t="s">
        <v>46</v>
      </c>
      <c r="D6" s="174" t="s">
        <v>48</v>
      </c>
      <c r="E6" s="174" t="s">
        <v>50</v>
      </c>
    </row>
    <row r="7" spans="2:5" x14ac:dyDescent="0.25">
      <c r="B7" s="479"/>
      <c r="C7" s="30" t="s">
        <v>47</v>
      </c>
      <c r="D7" s="30" t="s">
        <v>49</v>
      </c>
      <c r="E7" s="30" t="s">
        <v>51</v>
      </c>
    </row>
    <row r="8" spans="2:5" x14ac:dyDescent="0.25">
      <c r="B8" s="479"/>
      <c r="C8" s="31"/>
      <c r="D8" s="31"/>
      <c r="E8" s="30" t="s">
        <v>52</v>
      </c>
    </row>
    <row r="9" spans="2:5" ht="15.75" thickBot="1" x14ac:dyDescent="0.3">
      <c r="B9" s="480"/>
      <c r="C9" s="14" t="s">
        <v>53</v>
      </c>
      <c r="D9" s="14" t="s">
        <v>54</v>
      </c>
      <c r="E9" s="14" t="s">
        <v>55</v>
      </c>
    </row>
    <row r="10" spans="2:5" x14ac:dyDescent="0.25">
      <c r="B10" s="3"/>
      <c r="C10" s="3"/>
      <c r="D10" s="3"/>
      <c r="E10" s="3"/>
    </row>
    <row r="11" spans="2:5" x14ac:dyDescent="0.25">
      <c r="B11" s="309">
        <f>'Lahan sawah'!B11</f>
        <v>2011</v>
      </c>
      <c r="C11" s="261">
        <f>'Direct N2O'!T36*10^-3</f>
        <v>88466.797000000006</v>
      </c>
      <c r="D11" s="225">
        <v>0.2</v>
      </c>
      <c r="E11" s="226">
        <f>C11*D11</f>
        <v>17693.359400000001</v>
      </c>
    </row>
    <row r="12" spans="2:5" x14ac:dyDescent="0.25">
      <c r="B12" s="309">
        <f>'Lahan sawah'!B12</f>
        <v>2012</v>
      </c>
      <c r="C12" s="261">
        <f>'Direct N2O'!T37*10^-3</f>
        <v>100366.47100000001</v>
      </c>
      <c r="D12" s="225">
        <v>0.2</v>
      </c>
      <c r="E12" s="226">
        <f t="shared" ref="E12:E21" si="0">C12*D12</f>
        <v>20073.294200000004</v>
      </c>
    </row>
    <row r="13" spans="2:5" x14ac:dyDescent="0.25">
      <c r="B13" s="309">
        <f>'Lahan sawah'!B13</f>
        <v>2013</v>
      </c>
      <c r="C13" s="261">
        <f>'Direct N2O'!T38*10^-3</f>
        <v>117159.91800000001</v>
      </c>
      <c r="D13" s="225">
        <v>0.2</v>
      </c>
      <c r="E13" s="226">
        <f t="shared" si="0"/>
        <v>23431.983600000003</v>
      </c>
    </row>
    <row r="14" spans="2:5" x14ac:dyDescent="0.25">
      <c r="B14" s="309">
        <f>'Lahan sawah'!B14</f>
        <v>2014</v>
      </c>
      <c r="C14" s="261">
        <f>'Direct N2O'!T39*10^-3</f>
        <v>131785.217</v>
      </c>
      <c r="D14" s="225">
        <v>0.2</v>
      </c>
      <c r="E14" s="226">
        <f t="shared" si="0"/>
        <v>26357.043400000002</v>
      </c>
    </row>
    <row r="15" spans="2:5" x14ac:dyDescent="0.25">
      <c r="B15" s="309">
        <f>'Lahan sawah'!B15</f>
        <v>2015</v>
      </c>
      <c r="C15" s="261">
        <f>'Direct N2O'!T40*10^-3</f>
        <v>138160.44200000001</v>
      </c>
      <c r="D15" s="225">
        <v>0.2</v>
      </c>
      <c r="E15" s="226">
        <f t="shared" si="0"/>
        <v>27632.088400000004</v>
      </c>
    </row>
    <row r="16" spans="2:5" x14ac:dyDescent="0.25">
      <c r="B16" s="309">
        <f>'Lahan sawah'!B16</f>
        <v>2016</v>
      </c>
      <c r="C16" s="261">
        <f>'Direct N2O'!T41*10^-3</f>
        <v>828.02499999999998</v>
      </c>
      <c r="D16" s="225">
        <v>0.2</v>
      </c>
      <c r="E16" s="226">
        <f t="shared" si="0"/>
        <v>165.60500000000002</v>
      </c>
    </row>
    <row r="17" spans="2:13" x14ac:dyDescent="0.25">
      <c r="B17" s="309">
        <f>'Lahan sawah'!B17</f>
        <v>2017</v>
      </c>
      <c r="C17" s="411">
        <f>'Direct N2O'!T42*10^-3</f>
        <v>1267.8</v>
      </c>
      <c r="D17" s="225">
        <v>0.2</v>
      </c>
      <c r="E17" s="226">
        <f t="shared" si="0"/>
        <v>253.56</v>
      </c>
    </row>
    <row r="18" spans="2:13" x14ac:dyDescent="0.25">
      <c r="B18" s="309">
        <f>'Lahan sawah'!B18</f>
        <v>2018</v>
      </c>
      <c r="C18" s="411">
        <f>'Direct N2O'!T43*10^-3</f>
        <v>1315.2</v>
      </c>
      <c r="D18" s="225">
        <v>0.2</v>
      </c>
      <c r="E18" s="177">
        <f t="shared" si="0"/>
        <v>263.04000000000002</v>
      </c>
    </row>
    <row r="19" spans="2:13" x14ac:dyDescent="0.25">
      <c r="B19" s="309">
        <f>'Lahan sawah'!B19</f>
        <v>2019</v>
      </c>
      <c r="C19" s="411">
        <f>'Direct N2O'!T44*10^-3</f>
        <v>1450.6000000000001</v>
      </c>
      <c r="D19" s="225">
        <v>0.2</v>
      </c>
      <c r="E19" s="177">
        <f t="shared" si="0"/>
        <v>290.12000000000006</v>
      </c>
    </row>
    <row r="20" spans="2:13" x14ac:dyDescent="0.25">
      <c r="B20" s="309">
        <f>'Lahan sawah'!B20</f>
        <v>2020</v>
      </c>
      <c r="C20" s="411">
        <f>'Direct N2O'!T45*10^-3</f>
        <v>1524</v>
      </c>
      <c r="D20" s="225">
        <v>0.2</v>
      </c>
      <c r="E20" s="177">
        <f t="shared" si="0"/>
        <v>304.8</v>
      </c>
    </row>
    <row r="21" spans="2:13" x14ac:dyDescent="0.25">
      <c r="B21" s="309">
        <f>'Lahan sawah'!B21</f>
        <v>2021</v>
      </c>
      <c r="C21" s="224"/>
      <c r="D21" s="225">
        <v>0.2</v>
      </c>
      <c r="E21" s="177">
        <f t="shared" si="0"/>
        <v>0</v>
      </c>
    </row>
    <row r="22" spans="2:13" ht="15.75" thickBot="1" x14ac:dyDescent="0.3">
      <c r="B22" s="29" t="s">
        <v>397</v>
      </c>
      <c r="C22" s="29"/>
      <c r="D22" s="29"/>
      <c r="E22" s="29"/>
    </row>
    <row r="23" spans="2:13" ht="16.5" thickTop="1" thickBot="1" x14ac:dyDescent="0.3">
      <c r="B23" s="4" t="s">
        <v>25</v>
      </c>
      <c r="C23" s="4"/>
      <c r="D23" s="4"/>
      <c r="E23" s="214">
        <f>SUM(E11:E13)</f>
        <v>61198.637200000012</v>
      </c>
      <c r="G23" s="223"/>
      <c r="H23" s="223"/>
      <c r="I23" s="223"/>
      <c r="J23" s="223"/>
    </row>
    <row r="26" spans="2:13" x14ac:dyDescent="0.25">
      <c r="B26" t="s">
        <v>300</v>
      </c>
      <c r="E26" t="s">
        <v>303</v>
      </c>
      <c r="G26" t="s">
        <v>305</v>
      </c>
    </row>
    <row r="27" spans="2:13" x14ac:dyDescent="0.25">
      <c r="B27" s="19" t="s">
        <v>301</v>
      </c>
      <c r="C27" s="173">
        <v>225000</v>
      </c>
      <c r="D27" t="s">
        <v>197</v>
      </c>
      <c r="E27" s="306">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8" t="s">
        <v>477</v>
      </c>
      <c r="L32" s="238" t="s">
        <v>478</v>
      </c>
      <c r="M32" s="238" t="s">
        <v>479</v>
      </c>
    </row>
    <row r="33" spans="5:13" x14ac:dyDescent="0.25">
      <c r="E33" s="310">
        <f>M33</f>
        <v>713.16502638710608</v>
      </c>
      <c r="G33" s="175"/>
      <c r="I33" t="s">
        <v>480</v>
      </c>
      <c r="J33" s="215">
        <f>10000/(9*7.79)</f>
        <v>142.6330052774212</v>
      </c>
      <c r="K33">
        <v>0.6</v>
      </c>
      <c r="L33">
        <v>2.5</v>
      </c>
      <c r="M33" s="215">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A25" zoomScale="85" zoomScaleNormal="85" workbookViewId="0">
      <selection activeCell="M36" sqref="M36:M40"/>
    </sheetView>
  </sheetViews>
  <sheetFormatPr defaultColWidth="11.42578125" defaultRowHeight="12.75" x14ac:dyDescent="0.25"/>
  <cols>
    <col min="1" max="1" width="16.7109375" style="311" customWidth="1"/>
    <col min="2" max="2" width="14.5703125" style="312" customWidth="1"/>
    <col min="3" max="3" width="16.7109375" style="312" customWidth="1"/>
    <col min="4" max="4" width="18.85546875" style="313" bestFit="1" customWidth="1"/>
    <col min="5" max="5" width="7.85546875" style="312" bestFit="1" customWidth="1"/>
    <col min="6" max="6" width="14.5703125" style="312" bestFit="1" customWidth="1"/>
    <col min="7" max="7" width="20.28515625" style="312" customWidth="1"/>
    <col min="8" max="8" width="11.42578125" style="312"/>
    <col min="9" max="9" width="11.5703125" style="312" bestFit="1" customWidth="1"/>
    <col min="10" max="10" width="16.140625" style="312" customWidth="1"/>
    <col min="11" max="12" width="11.42578125" style="312"/>
    <col min="13" max="13" width="12.85546875" style="312" customWidth="1"/>
    <col min="14" max="14" width="11.5703125" style="312" customWidth="1"/>
    <col min="15" max="15" width="11.5703125" style="312" bestFit="1" customWidth="1"/>
    <col min="16" max="16" width="15.140625" style="312" customWidth="1"/>
    <col min="17" max="17" width="12.28515625" style="312" bestFit="1" customWidth="1"/>
    <col min="18" max="18" width="11.5703125" style="312" bestFit="1" customWidth="1"/>
    <col min="19" max="22" width="11.42578125" style="312"/>
    <col min="23" max="23" width="13.5703125" style="312" customWidth="1"/>
    <col min="24" max="24" width="11.42578125" style="312"/>
    <col min="25" max="25" width="16.42578125" style="312" customWidth="1"/>
    <col min="26" max="26" width="14.140625" style="312" customWidth="1"/>
    <col min="27" max="27" width="15.5703125" style="312" customWidth="1"/>
    <col min="28" max="29" width="11.42578125" style="312"/>
    <col min="30" max="30" width="13.5703125" style="312" bestFit="1" customWidth="1"/>
    <col min="31" max="31" width="12.5703125" style="312" customWidth="1"/>
    <col min="32" max="32" width="11.42578125" style="312"/>
    <col min="33" max="33" width="14.85546875" style="312" bestFit="1" customWidth="1"/>
    <col min="34" max="34" width="13.85546875" style="312" customWidth="1"/>
    <col min="35" max="35" width="16.28515625" style="312" customWidth="1"/>
    <col min="36" max="40" width="11.42578125" style="312"/>
    <col min="41" max="41" width="17.28515625" style="312" customWidth="1"/>
    <col min="42" max="42" width="16.140625" style="312" customWidth="1"/>
    <col min="43" max="43" width="15.140625" style="312" customWidth="1"/>
    <col min="44" max="48" width="11.42578125" style="312"/>
    <col min="49" max="49" width="17.140625" style="312" customWidth="1"/>
    <col min="50" max="50" width="13.85546875" style="312" customWidth="1"/>
    <col min="51" max="51" width="16.5703125" style="312" customWidth="1"/>
    <col min="52" max="56" width="11.42578125" style="312"/>
    <col min="57" max="57" width="14.85546875" style="312" customWidth="1"/>
    <col min="58" max="58" width="15" style="312" customWidth="1"/>
    <col min="59" max="59" width="16.42578125" style="312" customWidth="1"/>
    <col min="60" max="64" width="11.42578125" style="312"/>
    <col min="65" max="65" width="14.42578125" style="312" customWidth="1"/>
    <col min="66" max="66" width="13.140625" style="312" customWidth="1"/>
    <col min="67" max="67" width="17.140625" style="312" customWidth="1"/>
    <col min="68" max="68" width="12" style="312" bestFit="1" customWidth="1"/>
    <col min="69" max="72" width="11.42578125" style="312"/>
    <col min="73" max="73" width="17.7109375" style="312" customWidth="1"/>
    <col min="74" max="74" width="15" style="312" customWidth="1"/>
    <col min="75" max="75" width="16.7109375" style="312" customWidth="1"/>
    <col min="76" max="78" width="11.42578125" style="312"/>
    <col min="79" max="79" width="15.7109375" style="312" customWidth="1"/>
    <col min="80" max="80" width="11.42578125" style="312"/>
    <col min="81" max="82" width="15.7109375" style="312" customWidth="1"/>
    <col min="83" max="83" width="16" style="312" customWidth="1"/>
    <col min="84" max="254" width="11.42578125" style="312"/>
    <col min="255" max="257" width="16.7109375" style="312" customWidth="1"/>
    <col min="258" max="258" width="17.42578125" style="312" bestFit="1" customWidth="1"/>
    <col min="259" max="261" width="16.7109375" style="312" customWidth="1"/>
    <col min="262" max="510" width="11.42578125" style="312"/>
    <col min="511" max="513" width="16.7109375" style="312" customWidth="1"/>
    <col min="514" max="514" width="17.42578125" style="312" bestFit="1" customWidth="1"/>
    <col min="515" max="517" width="16.7109375" style="312" customWidth="1"/>
    <col min="518" max="766" width="11.42578125" style="312"/>
    <col min="767" max="769" width="16.7109375" style="312" customWidth="1"/>
    <col min="770" max="770" width="17.42578125" style="312" bestFit="1" customWidth="1"/>
    <col min="771" max="773" width="16.7109375" style="312" customWidth="1"/>
    <col min="774" max="1022" width="11.42578125" style="312"/>
    <col min="1023" max="1025" width="16.7109375" style="312" customWidth="1"/>
    <col min="1026" max="1026" width="17.42578125" style="312" bestFit="1" customWidth="1"/>
    <col min="1027" max="1029" width="16.7109375" style="312" customWidth="1"/>
    <col min="1030" max="1278" width="11.42578125" style="312"/>
    <col min="1279" max="1281" width="16.7109375" style="312" customWidth="1"/>
    <col min="1282" max="1282" width="17.42578125" style="312" bestFit="1" customWidth="1"/>
    <col min="1283" max="1285" width="16.7109375" style="312" customWidth="1"/>
    <col min="1286" max="1534" width="11.42578125" style="312"/>
    <col min="1535" max="1537" width="16.7109375" style="312" customWidth="1"/>
    <col min="1538" max="1538" width="17.42578125" style="312" bestFit="1" customWidth="1"/>
    <col min="1539" max="1541" width="16.7109375" style="312" customWidth="1"/>
    <col min="1542" max="1790" width="11.42578125" style="312"/>
    <col min="1791" max="1793" width="16.7109375" style="312" customWidth="1"/>
    <col min="1794" max="1794" width="17.42578125" style="312" bestFit="1" customWidth="1"/>
    <col min="1795" max="1797" width="16.7109375" style="312" customWidth="1"/>
    <col min="1798" max="2046" width="11.42578125" style="312"/>
    <col min="2047" max="2049" width="16.7109375" style="312" customWidth="1"/>
    <col min="2050" max="2050" width="17.42578125" style="312" bestFit="1" customWidth="1"/>
    <col min="2051" max="2053" width="16.7109375" style="312" customWidth="1"/>
    <col min="2054" max="2302" width="11.42578125" style="312"/>
    <col min="2303" max="2305" width="16.7109375" style="312" customWidth="1"/>
    <col min="2306" max="2306" width="17.42578125" style="312" bestFit="1" customWidth="1"/>
    <col min="2307" max="2309" width="16.7109375" style="312" customWidth="1"/>
    <col min="2310" max="2558" width="11.42578125" style="312"/>
    <col min="2559" max="2561" width="16.7109375" style="312" customWidth="1"/>
    <col min="2562" max="2562" width="17.42578125" style="312" bestFit="1" customWidth="1"/>
    <col min="2563" max="2565" width="16.7109375" style="312" customWidth="1"/>
    <col min="2566" max="2814" width="11.42578125" style="312"/>
    <col min="2815" max="2817" width="16.7109375" style="312" customWidth="1"/>
    <col min="2818" max="2818" width="17.42578125" style="312" bestFit="1" customWidth="1"/>
    <col min="2819" max="2821" width="16.7109375" style="312" customWidth="1"/>
    <col min="2822" max="3070" width="11.42578125" style="312"/>
    <col min="3071" max="3073" width="16.7109375" style="312" customWidth="1"/>
    <col min="3074" max="3074" width="17.42578125" style="312" bestFit="1" customWidth="1"/>
    <col min="3075" max="3077" width="16.7109375" style="312" customWidth="1"/>
    <col min="3078" max="3326" width="11.42578125" style="312"/>
    <col min="3327" max="3329" width="16.7109375" style="312" customWidth="1"/>
    <col min="3330" max="3330" width="17.42578125" style="312" bestFit="1" customWidth="1"/>
    <col min="3331" max="3333" width="16.7109375" style="312" customWidth="1"/>
    <col min="3334" max="3582" width="11.42578125" style="312"/>
    <col min="3583" max="3585" width="16.7109375" style="312" customWidth="1"/>
    <col min="3586" max="3586" width="17.42578125" style="312" bestFit="1" customWidth="1"/>
    <col min="3587" max="3589" width="16.7109375" style="312" customWidth="1"/>
    <col min="3590" max="3838" width="11.42578125" style="312"/>
    <col min="3839" max="3841" width="16.7109375" style="312" customWidth="1"/>
    <col min="3842" max="3842" width="17.42578125" style="312" bestFit="1" customWidth="1"/>
    <col min="3843" max="3845" width="16.7109375" style="312" customWidth="1"/>
    <col min="3846" max="4094" width="11.42578125" style="312"/>
    <col min="4095" max="4097" width="16.7109375" style="312" customWidth="1"/>
    <col min="4098" max="4098" width="17.42578125" style="312" bestFit="1" customWidth="1"/>
    <col min="4099" max="4101" width="16.7109375" style="312" customWidth="1"/>
    <col min="4102" max="4350" width="11.42578125" style="312"/>
    <col min="4351" max="4353" width="16.7109375" style="312" customWidth="1"/>
    <col min="4354" max="4354" width="17.42578125" style="312" bestFit="1" customWidth="1"/>
    <col min="4355" max="4357" width="16.7109375" style="312" customWidth="1"/>
    <col min="4358" max="4606" width="11.42578125" style="312"/>
    <col min="4607" max="4609" width="16.7109375" style="312" customWidth="1"/>
    <col min="4610" max="4610" width="17.42578125" style="312" bestFit="1" customWidth="1"/>
    <col min="4611" max="4613" width="16.7109375" style="312" customWidth="1"/>
    <col min="4614" max="4862" width="11.42578125" style="312"/>
    <col min="4863" max="4865" width="16.7109375" style="312" customWidth="1"/>
    <col min="4866" max="4866" width="17.42578125" style="312" bestFit="1" customWidth="1"/>
    <col min="4867" max="4869" width="16.7109375" style="312" customWidth="1"/>
    <col min="4870" max="5118" width="11.42578125" style="312"/>
    <col min="5119" max="5121" width="16.7109375" style="312" customWidth="1"/>
    <col min="5122" max="5122" width="17.42578125" style="312" bestFit="1" customWidth="1"/>
    <col min="5123" max="5125" width="16.7109375" style="312" customWidth="1"/>
    <col min="5126" max="5374" width="11.42578125" style="312"/>
    <col min="5375" max="5377" width="16.7109375" style="312" customWidth="1"/>
    <col min="5378" max="5378" width="17.42578125" style="312" bestFit="1" customWidth="1"/>
    <col min="5379" max="5381" width="16.7109375" style="312" customWidth="1"/>
    <col min="5382" max="5630" width="11.42578125" style="312"/>
    <col min="5631" max="5633" width="16.7109375" style="312" customWidth="1"/>
    <col min="5634" max="5634" width="17.42578125" style="312" bestFit="1" customWidth="1"/>
    <col min="5635" max="5637" width="16.7109375" style="312" customWidth="1"/>
    <col min="5638" max="5886" width="11.42578125" style="312"/>
    <col min="5887" max="5889" width="16.7109375" style="312" customWidth="1"/>
    <col min="5890" max="5890" width="17.42578125" style="312" bestFit="1" customWidth="1"/>
    <col min="5891" max="5893" width="16.7109375" style="312" customWidth="1"/>
    <col min="5894" max="6142" width="11.42578125" style="312"/>
    <col min="6143" max="6145" width="16.7109375" style="312" customWidth="1"/>
    <col min="6146" max="6146" width="17.42578125" style="312" bestFit="1" customWidth="1"/>
    <col min="6147" max="6149" width="16.7109375" style="312" customWidth="1"/>
    <col min="6150" max="6398" width="11.42578125" style="312"/>
    <col min="6399" max="6401" width="16.7109375" style="312" customWidth="1"/>
    <col min="6402" max="6402" width="17.42578125" style="312" bestFit="1" customWidth="1"/>
    <col min="6403" max="6405" width="16.7109375" style="312" customWidth="1"/>
    <col min="6406" max="6654" width="11.42578125" style="312"/>
    <col min="6655" max="6657" width="16.7109375" style="312" customWidth="1"/>
    <col min="6658" max="6658" width="17.42578125" style="312" bestFit="1" customWidth="1"/>
    <col min="6659" max="6661" width="16.7109375" style="312" customWidth="1"/>
    <col min="6662" max="6910" width="11.42578125" style="312"/>
    <col min="6911" max="6913" width="16.7109375" style="312" customWidth="1"/>
    <col min="6914" max="6914" width="17.42578125" style="312" bestFit="1" customWidth="1"/>
    <col min="6915" max="6917" width="16.7109375" style="312" customWidth="1"/>
    <col min="6918" max="7166" width="11.42578125" style="312"/>
    <col min="7167" max="7169" width="16.7109375" style="312" customWidth="1"/>
    <col min="7170" max="7170" width="17.42578125" style="312" bestFit="1" customWidth="1"/>
    <col min="7171" max="7173" width="16.7109375" style="312" customWidth="1"/>
    <col min="7174" max="7422" width="11.42578125" style="312"/>
    <col min="7423" max="7425" width="16.7109375" style="312" customWidth="1"/>
    <col min="7426" max="7426" width="17.42578125" style="312" bestFit="1" customWidth="1"/>
    <col min="7427" max="7429" width="16.7109375" style="312" customWidth="1"/>
    <col min="7430" max="7678" width="11.42578125" style="312"/>
    <col min="7679" max="7681" width="16.7109375" style="312" customWidth="1"/>
    <col min="7682" max="7682" width="17.42578125" style="312" bestFit="1" customWidth="1"/>
    <col min="7683" max="7685" width="16.7109375" style="312" customWidth="1"/>
    <col min="7686" max="7934" width="11.42578125" style="312"/>
    <col min="7935" max="7937" width="16.7109375" style="312" customWidth="1"/>
    <col min="7938" max="7938" width="17.42578125" style="312" bestFit="1" customWidth="1"/>
    <col min="7939" max="7941" width="16.7109375" style="312" customWidth="1"/>
    <col min="7942" max="8190" width="11.42578125" style="312"/>
    <col min="8191" max="8193" width="16.7109375" style="312" customWidth="1"/>
    <col min="8194" max="8194" width="17.42578125" style="312" bestFit="1" customWidth="1"/>
    <col min="8195" max="8197" width="16.7109375" style="312" customWidth="1"/>
    <col min="8198" max="8446" width="11.42578125" style="312"/>
    <col min="8447" max="8449" width="16.7109375" style="312" customWidth="1"/>
    <col min="8450" max="8450" width="17.42578125" style="312" bestFit="1" customWidth="1"/>
    <col min="8451" max="8453" width="16.7109375" style="312" customWidth="1"/>
    <col min="8454" max="8702" width="11.42578125" style="312"/>
    <col min="8703" max="8705" width="16.7109375" style="312" customWidth="1"/>
    <col min="8706" max="8706" width="17.42578125" style="312" bestFit="1" customWidth="1"/>
    <col min="8707" max="8709" width="16.7109375" style="312" customWidth="1"/>
    <col min="8710" max="8958" width="11.42578125" style="312"/>
    <col min="8959" max="8961" width="16.7109375" style="312" customWidth="1"/>
    <col min="8962" max="8962" width="17.42578125" style="312" bestFit="1" customWidth="1"/>
    <col min="8963" max="8965" width="16.7109375" style="312" customWidth="1"/>
    <col min="8966" max="9214" width="11.42578125" style="312"/>
    <col min="9215" max="9217" width="16.7109375" style="312" customWidth="1"/>
    <col min="9218" max="9218" width="17.42578125" style="312" bestFit="1" customWidth="1"/>
    <col min="9219" max="9221" width="16.7109375" style="312" customWidth="1"/>
    <col min="9222" max="9470" width="11.42578125" style="312"/>
    <col min="9471" max="9473" width="16.7109375" style="312" customWidth="1"/>
    <col min="9474" max="9474" width="17.42578125" style="312" bestFit="1" customWidth="1"/>
    <col min="9475" max="9477" width="16.7109375" style="312" customWidth="1"/>
    <col min="9478" max="9726" width="11.42578125" style="312"/>
    <col min="9727" max="9729" width="16.7109375" style="312" customWidth="1"/>
    <col min="9730" max="9730" width="17.42578125" style="312" bestFit="1" customWidth="1"/>
    <col min="9731" max="9733" width="16.7109375" style="312" customWidth="1"/>
    <col min="9734" max="9982" width="11.42578125" style="312"/>
    <col min="9983" max="9985" width="16.7109375" style="312" customWidth="1"/>
    <col min="9986" max="9986" width="17.42578125" style="312" bestFit="1" customWidth="1"/>
    <col min="9987" max="9989" width="16.7109375" style="312" customWidth="1"/>
    <col min="9990" max="10238" width="11.42578125" style="312"/>
    <col min="10239" max="10241" width="16.7109375" style="312" customWidth="1"/>
    <col min="10242" max="10242" width="17.42578125" style="312" bestFit="1" customWidth="1"/>
    <col min="10243" max="10245" width="16.7109375" style="312" customWidth="1"/>
    <col min="10246" max="10494" width="11.42578125" style="312"/>
    <col min="10495" max="10497" width="16.7109375" style="312" customWidth="1"/>
    <col min="10498" max="10498" width="17.42578125" style="312" bestFit="1" customWidth="1"/>
    <col min="10499" max="10501" width="16.7109375" style="312" customWidth="1"/>
    <col min="10502" max="10750" width="11.42578125" style="312"/>
    <col min="10751" max="10753" width="16.7109375" style="312" customWidth="1"/>
    <col min="10754" max="10754" width="17.42578125" style="312" bestFit="1" customWidth="1"/>
    <col min="10755" max="10757" width="16.7109375" style="312" customWidth="1"/>
    <col min="10758" max="11006" width="11.42578125" style="312"/>
    <col min="11007" max="11009" width="16.7109375" style="312" customWidth="1"/>
    <col min="11010" max="11010" width="17.42578125" style="312" bestFit="1" customWidth="1"/>
    <col min="11011" max="11013" width="16.7109375" style="312" customWidth="1"/>
    <col min="11014" max="11262" width="11.42578125" style="312"/>
    <col min="11263" max="11265" width="16.7109375" style="312" customWidth="1"/>
    <col min="11266" max="11266" width="17.42578125" style="312" bestFit="1" customWidth="1"/>
    <col min="11267" max="11269" width="16.7109375" style="312" customWidth="1"/>
    <col min="11270" max="11518" width="11.42578125" style="312"/>
    <col min="11519" max="11521" width="16.7109375" style="312" customWidth="1"/>
    <col min="11522" max="11522" width="17.42578125" style="312" bestFit="1" customWidth="1"/>
    <col min="11523" max="11525" width="16.7109375" style="312" customWidth="1"/>
    <col min="11526" max="11774" width="11.42578125" style="312"/>
    <col min="11775" max="11777" width="16.7109375" style="312" customWidth="1"/>
    <col min="11778" max="11778" width="17.42578125" style="312" bestFit="1" customWidth="1"/>
    <col min="11779" max="11781" width="16.7109375" style="312" customWidth="1"/>
    <col min="11782" max="12030" width="11.42578125" style="312"/>
    <col min="12031" max="12033" width="16.7109375" style="312" customWidth="1"/>
    <col min="12034" max="12034" width="17.42578125" style="312" bestFit="1" customWidth="1"/>
    <col min="12035" max="12037" width="16.7109375" style="312" customWidth="1"/>
    <col min="12038" max="12286" width="11.42578125" style="312"/>
    <col min="12287" max="12289" width="16.7109375" style="312" customWidth="1"/>
    <col min="12290" max="12290" width="17.42578125" style="312" bestFit="1" customWidth="1"/>
    <col min="12291" max="12293" width="16.7109375" style="312" customWidth="1"/>
    <col min="12294" max="12542" width="11.42578125" style="312"/>
    <col min="12543" max="12545" width="16.7109375" style="312" customWidth="1"/>
    <col min="12546" max="12546" width="17.42578125" style="312" bestFit="1" customWidth="1"/>
    <col min="12547" max="12549" width="16.7109375" style="312" customWidth="1"/>
    <col min="12550" max="12798" width="11.42578125" style="312"/>
    <col min="12799" max="12801" width="16.7109375" style="312" customWidth="1"/>
    <col min="12802" max="12802" width="17.42578125" style="312" bestFit="1" customWidth="1"/>
    <col min="12803" max="12805" width="16.7109375" style="312" customWidth="1"/>
    <col min="12806" max="13054" width="11.42578125" style="312"/>
    <col min="13055" max="13057" width="16.7109375" style="312" customWidth="1"/>
    <col min="13058" max="13058" width="17.42578125" style="312" bestFit="1" customWidth="1"/>
    <col min="13059" max="13061" width="16.7109375" style="312" customWidth="1"/>
    <col min="13062" max="13310" width="11.42578125" style="312"/>
    <col min="13311" max="13313" width="16.7109375" style="312" customWidth="1"/>
    <col min="13314" max="13314" width="17.42578125" style="312" bestFit="1" customWidth="1"/>
    <col min="13315" max="13317" width="16.7109375" style="312" customWidth="1"/>
    <col min="13318" max="13566" width="11.42578125" style="312"/>
    <col min="13567" max="13569" width="16.7109375" style="312" customWidth="1"/>
    <col min="13570" max="13570" width="17.42578125" style="312" bestFit="1" customWidth="1"/>
    <col min="13571" max="13573" width="16.7109375" style="312" customWidth="1"/>
    <col min="13574" max="13822" width="11.42578125" style="312"/>
    <col min="13823" max="13825" width="16.7109375" style="312" customWidth="1"/>
    <col min="13826" max="13826" width="17.42578125" style="312" bestFit="1" customWidth="1"/>
    <col min="13827" max="13829" width="16.7109375" style="312" customWidth="1"/>
    <col min="13830" max="14078" width="11.42578125" style="312"/>
    <col min="14079" max="14081" width="16.7109375" style="312" customWidth="1"/>
    <col min="14082" max="14082" width="17.42578125" style="312" bestFit="1" customWidth="1"/>
    <col min="14083" max="14085" width="16.7109375" style="312" customWidth="1"/>
    <col min="14086" max="14334" width="11.42578125" style="312"/>
    <col min="14335" max="14337" width="16.7109375" style="312" customWidth="1"/>
    <col min="14338" max="14338" width="17.42578125" style="312" bestFit="1" customWidth="1"/>
    <col min="14339" max="14341" width="16.7109375" style="312" customWidth="1"/>
    <col min="14342" max="14590" width="11.42578125" style="312"/>
    <col min="14591" max="14593" width="16.7109375" style="312" customWidth="1"/>
    <col min="14594" max="14594" width="17.42578125" style="312" bestFit="1" customWidth="1"/>
    <col min="14595" max="14597" width="16.7109375" style="312" customWidth="1"/>
    <col min="14598" max="14846" width="11.42578125" style="312"/>
    <col min="14847" max="14849" width="16.7109375" style="312" customWidth="1"/>
    <col min="14850" max="14850" width="17.42578125" style="312" bestFit="1" customWidth="1"/>
    <col min="14851" max="14853" width="16.7109375" style="312" customWidth="1"/>
    <col min="14854" max="15102" width="11.42578125" style="312"/>
    <col min="15103" max="15105" width="16.7109375" style="312" customWidth="1"/>
    <col min="15106" max="15106" width="17.42578125" style="312" bestFit="1" customWidth="1"/>
    <col min="15107" max="15109" width="16.7109375" style="312" customWidth="1"/>
    <col min="15110" max="15358" width="11.42578125" style="312"/>
    <col min="15359" max="15361" width="16.7109375" style="312" customWidth="1"/>
    <col min="15362" max="15362" width="17.42578125" style="312" bestFit="1" customWidth="1"/>
    <col min="15363" max="15365" width="16.7109375" style="312" customWidth="1"/>
    <col min="15366" max="15614" width="11.42578125" style="312"/>
    <col min="15615" max="15617" width="16.7109375" style="312" customWidth="1"/>
    <col min="15618" max="15618" width="17.42578125" style="312" bestFit="1" customWidth="1"/>
    <col min="15619" max="15621" width="16.7109375" style="312" customWidth="1"/>
    <col min="15622" max="15870" width="11.42578125" style="312"/>
    <col min="15871" max="15873" width="16.7109375" style="312" customWidth="1"/>
    <col min="15874" max="15874" width="17.42578125" style="312" bestFit="1" customWidth="1"/>
    <col min="15875" max="15877" width="16.7109375" style="312" customWidth="1"/>
    <col min="15878" max="16126" width="11.42578125" style="312"/>
    <col min="16127" max="16129" width="16.7109375" style="312" customWidth="1"/>
    <col min="16130" max="16130" width="17.42578125" style="312" bestFit="1" customWidth="1"/>
    <col min="16131" max="16133" width="16.7109375" style="312" customWidth="1"/>
    <col min="16134" max="16384" width="11.42578125" style="312"/>
  </cols>
  <sheetData>
    <row r="1" spans="1:87" x14ac:dyDescent="0.25">
      <c r="A1" s="311" t="s">
        <v>396</v>
      </c>
      <c r="B1" s="312">
        <v>2011</v>
      </c>
      <c r="L1" s="313"/>
      <c r="T1" s="313"/>
      <c r="Y1" s="311"/>
      <c r="AB1" s="313"/>
      <c r="AG1" s="311"/>
      <c r="AJ1" s="313"/>
      <c r="AO1" s="311"/>
      <c r="AR1" s="313"/>
      <c r="AW1" s="311"/>
      <c r="AZ1" s="313"/>
      <c r="BE1" s="311"/>
      <c r="BH1" s="313"/>
      <c r="BM1" s="311"/>
      <c r="BP1" s="313"/>
      <c r="BU1" s="311"/>
      <c r="BX1" s="313"/>
      <c r="CC1" s="311"/>
      <c r="CF1" s="313"/>
    </row>
    <row r="2" spans="1:87" x14ac:dyDescent="0.25">
      <c r="I2" s="311"/>
      <c r="L2" s="313"/>
      <c r="Q2" s="311"/>
      <c r="T2" s="313"/>
      <c r="Y2" s="311"/>
      <c r="AB2" s="313"/>
      <c r="AG2" s="311"/>
      <c r="AJ2" s="313"/>
      <c r="AO2" s="311"/>
      <c r="AR2" s="313"/>
      <c r="AW2" s="311"/>
      <c r="AZ2" s="313"/>
      <c r="BE2" s="311"/>
      <c r="BH2" s="313"/>
      <c r="BM2" s="311"/>
      <c r="BP2" s="313"/>
      <c r="BU2" s="311"/>
      <c r="BX2" s="313"/>
      <c r="CC2" s="311"/>
      <c r="CF2" s="313"/>
    </row>
    <row r="3" spans="1:87" s="314" customFormat="1" x14ac:dyDescent="0.25">
      <c r="A3" s="496" t="s">
        <v>367</v>
      </c>
      <c r="B3" s="496"/>
      <c r="C3" s="497" t="s">
        <v>368</v>
      </c>
      <c r="D3" s="497"/>
      <c r="E3" s="497"/>
      <c r="F3" s="497"/>
      <c r="G3" s="497"/>
      <c r="H3" s="312"/>
      <c r="I3" s="317"/>
      <c r="J3" s="317"/>
      <c r="K3" s="317"/>
      <c r="L3" s="317"/>
      <c r="M3" s="317"/>
      <c r="N3" s="317"/>
      <c r="O3" s="317"/>
      <c r="P3" s="312"/>
      <c r="Q3" s="317"/>
      <c r="R3" s="317"/>
      <c r="S3" s="317"/>
      <c r="T3" s="317"/>
      <c r="U3" s="317"/>
      <c r="V3" s="317"/>
      <c r="W3" s="317"/>
      <c r="Y3" s="317"/>
      <c r="Z3" s="317"/>
      <c r="AA3" s="317"/>
      <c r="AB3" s="317"/>
      <c r="AC3" s="317"/>
      <c r="AD3" s="317"/>
      <c r="AE3" s="317"/>
      <c r="AG3" s="503"/>
      <c r="AH3" s="503"/>
      <c r="AI3" s="505"/>
      <c r="AJ3" s="505"/>
      <c r="AK3" s="505"/>
      <c r="AL3" s="505"/>
      <c r="AM3" s="505"/>
      <c r="AO3" s="503"/>
      <c r="AP3" s="503"/>
      <c r="AQ3" s="505"/>
      <c r="AR3" s="505"/>
      <c r="AS3" s="505"/>
      <c r="AT3" s="505"/>
      <c r="AU3" s="505"/>
      <c r="AW3" s="503"/>
      <c r="AX3" s="503"/>
      <c r="AY3" s="505"/>
      <c r="AZ3" s="505"/>
      <c r="BA3" s="505"/>
      <c r="BB3" s="505"/>
      <c r="BC3" s="505"/>
      <c r="BE3" s="503"/>
      <c r="BF3" s="503"/>
      <c r="BG3" s="505"/>
      <c r="BH3" s="505"/>
      <c r="BI3" s="505"/>
      <c r="BJ3" s="505"/>
      <c r="BK3" s="505"/>
      <c r="BM3" s="503"/>
      <c r="BN3" s="503"/>
      <c r="BO3" s="505"/>
      <c r="BP3" s="505"/>
      <c r="BQ3" s="505"/>
      <c r="BR3" s="505"/>
      <c r="BS3" s="505"/>
      <c r="BU3" s="503"/>
      <c r="BV3" s="503"/>
      <c r="BW3" s="505"/>
      <c r="BX3" s="505"/>
      <c r="BY3" s="505"/>
      <c r="BZ3" s="505"/>
      <c r="CA3" s="505"/>
      <c r="CC3" s="317"/>
      <c r="CD3" s="317"/>
      <c r="CE3" s="317"/>
      <c r="CF3" s="317"/>
      <c r="CG3" s="317"/>
      <c r="CH3" s="317"/>
      <c r="CI3" s="317"/>
    </row>
    <row r="4" spans="1:87" s="314" customFormat="1" ht="13.5" customHeight="1" x14ac:dyDescent="0.25">
      <c r="A4" s="496" t="s">
        <v>369</v>
      </c>
      <c r="B4" s="496"/>
      <c r="C4" s="497" t="s">
        <v>481</v>
      </c>
      <c r="D4" s="497"/>
      <c r="E4" s="497"/>
      <c r="F4" s="497"/>
      <c r="G4" s="497"/>
      <c r="H4" s="312"/>
      <c r="I4" s="317"/>
      <c r="J4" s="317"/>
      <c r="K4" s="317"/>
      <c r="L4" s="317"/>
      <c r="M4" s="317"/>
      <c r="N4" s="317"/>
      <c r="O4" s="317"/>
      <c r="P4" s="312"/>
      <c r="Q4" s="317"/>
      <c r="R4" s="317"/>
      <c r="S4" s="317"/>
      <c r="T4" s="317"/>
      <c r="U4" s="317"/>
      <c r="V4" s="317"/>
      <c r="W4" s="317"/>
      <c r="Y4" s="317"/>
      <c r="Z4" s="317"/>
      <c r="AA4" s="317"/>
      <c r="AB4" s="317"/>
      <c r="AC4" s="317"/>
      <c r="AD4" s="317"/>
      <c r="AE4" s="317"/>
      <c r="AG4" s="503"/>
      <c r="AH4" s="503"/>
      <c r="AI4" s="505"/>
      <c r="AJ4" s="505"/>
      <c r="AK4" s="505"/>
      <c r="AL4" s="505"/>
      <c r="AM4" s="505"/>
      <c r="AO4" s="503"/>
      <c r="AP4" s="503"/>
      <c r="AQ4" s="505"/>
      <c r="AR4" s="505"/>
      <c r="AS4" s="505"/>
      <c r="AT4" s="505"/>
      <c r="AU4" s="505"/>
      <c r="AW4" s="503"/>
      <c r="AX4" s="503"/>
      <c r="AY4" s="505"/>
      <c r="AZ4" s="505"/>
      <c r="BA4" s="505"/>
      <c r="BB4" s="505"/>
      <c r="BC4" s="505"/>
      <c r="BE4" s="503"/>
      <c r="BF4" s="503"/>
      <c r="BG4" s="505"/>
      <c r="BH4" s="505"/>
      <c r="BI4" s="505"/>
      <c r="BJ4" s="505"/>
      <c r="BK4" s="505"/>
      <c r="BM4" s="503"/>
      <c r="BN4" s="503"/>
      <c r="BO4" s="505"/>
      <c r="BP4" s="505"/>
      <c r="BQ4" s="505"/>
      <c r="BR4" s="505"/>
      <c r="BS4" s="505"/>
      <c r="BU4" s="503"/>
      <c r="BV4" s="503"/>
      <c r="BW4" s="505"/>
      <c r="BX4" s="505"/>
      <c r="BY4" s="505"/>
      <c r="BZ4" s="505"/>
      <c r="CA4" s="505"/>
      <c r="CC4" s="317"/>
      <c r="CD4" s="317"/>
      <c r="CE4" s="317"/>
      <c r="CF4" s="317"/>
      <c r="CG4" s="317"/>
      <c r="CH4" s="317"/>
      <c r="CI4" s="317"/>
    </row>
    <row r="5" spans="1:87" s="314" customFormat="1" x14ac:dyDescent="0.25">
      <c r="A5" s="496" t="s">
        <v>370</v>
      </c>
      <c r="B5" s="496"/>
      <c r="C5" s="497" t="s">
        <v>371</v>
      </c>
      <c r="D5" s="497"/>
      <c r="E5" s="497"/>
      <c r="F5" s="497"/>
      <c r="G5" s="497"/>
      <c r="H5" s="312"/>
      <c r="I5" s="317"/>
      <c r="J5" s="317"/>
      <c r="K5" s="317"/>
      <c r="L5" s="317"/>
      <c r="M5" s="317"/>
      <c r="N5" s="317"/>
      <c r="O5" s="317"/>
      <c r="P5" s="312"/>
      <c r="Q5" s="317"/>
      <c r="R5" s="317"/>
      <c r="S5" s="317"/>
      <c r="T5" s="317"/>
      <c r="U5" s="317"/>
      <c r="V5" s="317"/>
      <c r="W5" s="317"/>
      <c r="Y5" s="317"/>
      <c r="Z5" s="317"/>
      <c r="AA5" s="317"/>
      <c r="AB5" s="317"/>
      <c r="AC5" s="317"/>
      <c r="AD5" s="317"/>
      <c r="AE5" s="317"/>
      <c r="AG5" s="503"/>
      <c r="AH5" s="503"/>
      <c r="AI5" s="505"/>
      <c r="AJ5" s="505"/>
      <c r="AK5" s="505"/>
      <c r="AL5" s="505"/>
      <c r="AM5" s="505"/>
      <c r="AO5" s="503"/>
      <c r="AP5" s="503"/>
      <c r="AQ5" s="505"/>
      <c r="AR5" s="505"/>
      <c r="AS5" s="505"/>
      <c r="AT5" s="505"/>
      <c r="AU5" s="505"/>
      <c r="AW5" s="503"/>
      <c r="AX5" s="503"/>
      <c r="AY5" s="505"/>
      <c r="AZ5" s="505"/>
      <c r="BA5" s="505"/>
      <c r="BB5" s="505"/>
      <c r="BC5" s="505"/>
      <c r="BE5" s="503"/>
      <c r="BF5" s="503"/>
      <c r="BG5" s="505"/>
      <c r="BH5" s="505"/>
      <c r="BI5" s="505"/>
      <c r="BJ5" s="505"/>
      <c r="BK5" s="505"/>
      <c r="BM5" s="503"/>
      <c r="BN5" s="503"/>
      <c r="BO5" s="505"/>
      <c r="BP5" s="505"/>
      <c r="BQ5" s="505"/>
      <c r="BR5" s="505"/>
      <c r="BS5" s="505"/>
      <c r="BU5" s="503"/>
      <c r="BV5" s="503"/>
      <c r="BW5" s="505"/>
      <c r="BX5" s="505"/>
      <c r="BY5" s="505"/>
      <c r="BZ5" s="505"/>
      <c r="CA5" s="505"/>
      <c r="CC5" s="317"/>
      <c r="CD5" s="317"/>
      <c r="CE5" s="317"/>
      <c r="CF5" s="317"/>
      <c r="CG5" s="317"/>
      <c r="CH5" s="317"/>
      <c r="CI5" s="317"/>
    </row>
    <row r="6" spans="1:87" s="314" customFormat="1" x14ac:dyDescent="0.25">
      <c r="A6" s="496" t="s">
        <v>372</v>
      </c>
      <c r="B6" s="496"/>
      <c r="C6" s="497" t="s">
        <v>373</v>
      </c>
      <c r="D6" s="497"/>
      <c r="E6" s="497"/>
      <c r="F6" s="497"/>
      <c r="G6" s="497"/>
      <c r="H6" s="312"/>
      <c r="I6" s="317"/>
      <c r="J6" s="317"/>
      <c r="K6" s="317"/>
      <c r="L6" s="317"/>
      <c r="M6" s="317"/>
      <c r="N6" s="317"/>
      <c r="O6" s="317"/>
      <c r="P6" s="312"/>
      <c r="Q6" s="317"/>
      <c r="R6" s="317"/>
      <c r="S6" s="317"/>
      <c r="T6" s="317"/>
      <c r="U6" s="317"/>
      <c r="V6" s="317"/>
      <c r="W6" s="317"/>
      <c r="Y6" s="317"/>
      <c r="Z6" s="317"/>
      <c r="AA6" s="317"/>
      <c r="AB6" s="317"/>
      <c r="AC6" s="317"/>
      <c r="AD6" s="317"/>
      <c r="AE6" s="317"/>
      <c r="AG6" s="503"/>
      <c r="AH6" s="503"/>
      <c r="AI6" s="505"/>
      <c r="AJ6" s="505"/>
      <c r="AK6" s="505"/>
      <c r="AL6" s="505"/>
      <c r="AM6" s="505"/>
      <c r="AO6" s="503"/>
      <c r="AP6" s="503"/>
      <c r="AQ6" s="505"/>
      <c r="AR6" s="505"/>
      <c r="AS6" s="505"/>
      <c r="AT6" s="505"/>
      <c r="AU6" s="505"/>
      <c r="AW6" s="503"/>
      <c r="AX6" s="503"/>
      <c r="AY6" s="505"/>
      <c r="AZ6" s="505"/>
      <c r="BA6" s="505"/>
      <c r="BB6" s="505"/>
      <c r="BC6" s="505"/>
      <c r="BE6" s="503"/>
      <c r="BF6" s="503"/>
      <c r="BG6" s="505"/>
      <c r="BH6" s="505"/>
      <c r="BI6" s="505"/>
      <c r="BJ6" s="505"/>
      <c r="BK6" s="505"/>
      <c r="BM6" s="503"/>
      <c r="BN6" s="503"/>
      <c r="BO6" s="505"/>
      <c r="BP6" s="505"/>
      <c r="BQ6" s="505"/>
      <c r="BR6" s="505"/>
      <c r="BS6" s="505"/>
      <c r="BU6" s="503"/>
      <c r="BV6" s="503"/>
      <c r="BW6" s="505"/>
      <c r="BX6" s="505"/>
      <c r="BY6" s="505"/>
      <c r="BZ6" s="505"/>
      <c r="CA6" s="505"/>
      <c r="CC6" s="317"/>
      <c r="CD6" s="317"/>
      <c r="CE6" s="317"/>
      <c r="CF6" s="317"/>
      <c r="CG6" s="317"/>
      <c r="CH6" s="317"/>
      <c r="CI6" s="317"/>
    </row>
    <row r="7" spans="1:87" s="314" customFormat="1" x14ac:dyDescent="0.25">
      <c r="A7" s="498" t="s">
        <v>3</v>
      </c>
      <c r="B7" s="498"/>
      <c r="C7" s="499" t="s">
        <v>374</v>
      </c>
      <c r="D7" s="499"/>
      <c r="E7" s="499"/>
      <c r="F7" s="499"/>
      <c r="G7" s="499"/>
      <c r="H7" s="312"/>
      <c r="I7" s="317"/>
      <c r="J7" s="317"/>
      <c r="K7" s="317"/>
      <c r="L7" s="317"/>
      <c r="M7" s="317"/>
      <c r="N7" s="317"/>
      <c r="O7" s="317"/>
      <c r="P7" s="312"/>
      <c r="Q7" s="317"/>
      <c r="R7" s="317"/>
      <c r="S7" s="317"/>
      <c r="T7" s="317"/>
      <c r="U7" s="317"/>
      <c r="V7" s="317"/>
      <c r="W7" s="317"/>
      <c r="Y7" s="317"/>
      <c r="Z7" s="317"/>
      <c r="AA7" s="317"/>
      <c r="AB7" s="317"/>
      <c r="AC7" s="317"/>
      <c r="AD7" s="317"/>
      <c r="AE7" s="317"/>
      <c r="AG7" s="503"/>
      <c r="AH7" s="503"/>
      <c r="AI7" s="506"/>
      <c r="AJ7" s="506"/>
      <c r="AK7" s="506"/>
      <c r="AL7" s="506"/>
      <c r="AM7" s="506"/>
      <c r="AO7" s="503"/>
      <c r="AP7" s="503"/>
      <c r="AQ7" s="506"/>
      <c r="AR7" s="506"/>
      <c r="AS7" s="506"/>
      <c r="AT7" s="506"/>
      <c r="AU7" s="506"/>
      <c r="AW7" s="503"/>
      <c r="AX7" s="503"/>
      <c r="AY7" s="506"/>
      <c r="AZ7" s="506"/>
      <c r="BA7" s="506"/>
      <c r="BB7" s="506"/>
      <c r="BC7" s="506"/>
      <c r="BE7" s="503"/>
      <c r="BF7" s="503"/>
      <c r="BG7" s="506"/>
      <c r="BH7" s="506"/>
      <c r="BI7" s="506"/>
      <c r="BJ7" s="506"/>
      <c r="BK7" s="506"/>
      <c r="BM7" s="503"/>
      <c r="BN7" s="503"/>
      <c r="BO7" s="506"/>
      <c r="BP7" s="506"/>
      <c r="BQ7" s="506"/>
      <c r="BR7" s="506"/>
      <c r="BS7" s="506"/>
      <c r="BU7" s="503"/>
      <c r="BV7" s="503"/>
      <c r="BW7" s="506"/>
      <c r="BX7" s="506"/>
      <c r="BY7" s="506"/>
      <c r="BZ7" s="506"/>
      <c r="CA7" s="506"/>
      <c r="CC7" s="317"/>
      <c r="CD7" s="317"/>
      <c r="CE7" s="317"/>
      <c r="CF7" s="317"/>
      <c r="CG7" s="317"/>
      <c r="CH7" s="317"/>
      <c r="CI7" s="317"/>
    </row>
    <row r="8" spans="1:87" s="314" customFormat="1" ht="39.75" x14ac:dyDescent="0.25">
      <c r="A8" s="495" t="s">
        <v>375</v>
      </c>
      <c r="B8" s="495"/>
      <c r="C8" s="495" t="s">
        <v>376</v>
      </c>
      <c r="D8" s="495"/>
      <c r="E8" s="495" t="s">
        <v>482</v>
      </c>
      <c r="F8" s="495"/>
      <c r="G8" s="328" t="s">
        <v>483</v>
      </c>
      <c r="H8" s="312"/>
      <c r="I8" s="315"/>
      <c r="J8" s="315"/>
      <c r="K8" s="315"/>
      <c r="L8" s="315"/>
      <c r="M8" s="315"/>
      <c r="N8" s="315"/>
      <c r="O8" s="354"/>
      <c r="P8" s="312"/>
      <c r="Q8" s="315"/>
      <c r="R8" s="315"/>
      <c r="S8" s="315"/>
      <c r="T8" s="315"/>
      <c r="U8" s="315"/>
      <c r="V8" s="315"/>
      <c r="W8" s="354"/>
      <c r="Y8" s="315"/>
      <c r="Z8" s="315"/>
      <c r="AA8" s="315"/>
      <c r="AB8" s="315"/>
      <c r="AC8" s="315"/>
      <c r="AD8" s="315"/>
      <c r="AE8" s="354"/>
      <c r="AG8" s="315"/>
      <c r="AH8" s="315"/>
      <c r="AI8" s="315"/>
      <c r="AJ8" s="315"/>
      <c r="AK8" s="315"/>
      <c r="AL8" s="315"/>
      <c r="AM8" s="354"/>
      <c r="AO8" s="315"/>
      <c r="AP8" s="315"/>
      <c r="AQ8" s="315"/>
      <c r="AR8" s="315"/>
      <c r="AS8" s="315"/>
      <c r="AT8" s="315"/>
      <c r="AU8" s="354"/>
      <c r="AW8" s="315"/>
      <c r="AX8" s="315"/>
      <c r="AY8" s="315"/>
      <c r="AZ8" s="315"/>
      <c r="BA8" s="315"/>
      <c r="BB8" s="315"/>
      <c r="BC8" s="354"/>
      <c r="BE8" s="315"/>
      <c r="BF8" s="315"/>
      <c r="BG8" s="315"/>
      <c r="BH8" s="315"/>
      <c r="BI8" s="315"/>
      <c r="BJ8" s="315"/>
      <c r="BK8" s="354"/>
      <c r="BM8" s="315"/>
      <c r="BN8" s="315"/>
      <c r="BO8" s="315"/>
      <c r="BP8" s="315"/>
      <c r="BQ8" s="315"/>
      <c r="BR8" s="315"/>
      <c r="BS8" s="354"/>
      <c r="BU8" s="315"/>
      <c r="BV8" s="315"/>
      <c r="BW8" s="315"/>
      <c r="BX8" s="315"/>
      <c r="BY8" s="315"/>
      <c r="BZ8" s="315"/>
      <c r="CA8" s="354"/>
      <c r="CC8" s="315"/>
      <c r="CD8" s="315"/>
      <c r="CE8" s="315"/>
      <c r="CF8" s="315"/>
      <c r="CG8" s="315"/>
      <c r="CH8" s="315"/>
      <c r="CI8" s="354"/>
    </row>
    <row r="9" spans="1:87" s="314" customFormat="1" ht="13.5" customHeight="1" x14ac:dyDescent="0.25">
      <c r="A9" s="495"/>
      <c r="B9" s="495"/>
      <c r="C9" s="495" t="s">
        <v>484</v>
      </c>
      <c r="D9" s="495"/>
      <c r="E9" s="495" t="s">
        <v>485</v>
      </c>
      <c r="F9" s="495"/>
      <c r="G9" s="502" t="s">
        <v>486</v>
      </c>
      <c r="H9" s="312"/>
      <c r="I9" s="315"/>
      <c r="J9" s="315"/>
      <c r="K9" s="315"/>
      <c r="L9" s="315"/>
      <c r="M9" s="315"/>
      <c r="N9" s="315"/>
      <c r="O9" s="315"/>
      <c r="P9" s="312"/>
      <c r="Q9" s="315"/>
      <c r="R9" s="315"/>
      <c r="S9" s="315"/>
      <c r="T9" s="315"/>
      <c r="U9" s="315"/>
      <c r="V9" s="315"/>
      <c r="W9" s="315"/>
      <c r="Y9" s="315"/>
      <c r="Z9" s="315"/>
      <c r="AA9" s="315"/>
      <c r="AB9" s="315"/>
      <c r="AC9" s="315"/>
      <c r="AD9" s="315"/>
      <c r="AE9" s="315"/>
      <c r="AG9" s="315"/>
      <c r="AH9" s="315"/>
      <c r="AI9" s="315"/>
      <c r="AJ9" s="315"/>
      <c r="AK9" s="315"/>
      <c r="AL9" s="315"/>
      <c r="AM9" s="315"/>
      <c r="AO9" s="315"/>
      <c r="AP9" s="315"/>
      <c r="AQ9" s="315"/>
      <c r="AR9" s="315"/>
      <c r="AS9" s="315"/>
      <c r="AT9" s="315"/>
      <c r="AU9" s="315"/>
      <c r="AW9" s="315"/>
      <c r="AX9" s="315"/>
      <c r="AY9" s="315"/>
      <c r="AZ9" s="315"/>
      <c r="BA9" s="315"/>
      <c r="BB9" s="315"/>
      <c r="BC9" s="315"/>
      <c r="BE9" s="315"/>
      <c r="BF9" s="315"/>
      <c r="BG9" s="315"/>
      <c r="BH9" s="315"/>
      <c r="BI9" s="315"/>
      <c r="BJ9" s="315"/>
      <c r="BK9" s="315"/>
      <c r="BM9" s="315"/>
      <c r="BN9" s="315"/>
      <c r="BO9" s="315"/>
      <c r="BP9" s="315"/>
      <c r="BQ9" s="315"/>
      <c r="BR9" s="315"/>
      <c r="BS9" s="315"/>
      <c r="BU9" s="315"/>
      <c r="BV9" s="315"/>
      <c r="BW9" s="315"/>
      <c r="BX9" s="315"/>
      <c r="BY9" s="315"/>
      <c r="BZ9" s="315"/>
      <c r="CA9" s="315"/>
      <c r="CC9" s="315"/>
      <c r="CD9" s="315"/>
      <c r="CE9" s="315"/>
      <c r="CF9" s="315"/>
      <c r="CG9" s="315"/>
      <c r="CH9" s="315"/>
      <c r="CI9" s="315"/>
    </row>
    <row r="10" spans="1:87" s="314" customFormat="1" x14ac:dyDescent="0.25">
      <c r="A10" s="495"/>
      <c r="B10" s="495"/>
      <c r="C10" s="495"/>
      <c r="D10" s="495"/>
      <c r="E10" s="495"/>
      <c r="F10" s="495"/>
      <c r="G10" s="502"/>
      <c r="H10" s="312"/>
      <c r="I10" s="315"/>
      <c r="J10" s="315"/>
      <c r="K10" s="315"/>
      <c r="L10" s="315"/>
      <c r="M10" s="315"/>
      <c r="N10" s="315"/>
      <c r="O10" s="315"/>
      <c r="P10" s="312"/>
      <c r="Q10" s="315"/>
      <c r="R10" s="315"/>
      <c r="S10" s="315"/>
      <c r="T10" s="315"/>
      <c r="U10" s="315"/>
      <c r="V10" s="315"/>
      <c r="W10" s="315"/>
      <c r="Y10" s="315"/>
      <c r="Z10" s="315"/>
      <c r="AA10" s="315"/>
      <c r="AB10" s="315"/>
      <c r="AC10" s="315"/>
      <c r="AD10" s="315"/>
      <c r="AE10" s="315"/>
      <c r="AG10" s="315"/>
      <c r="AH10" s="315"/>
      <c r="AI10" s="315"/>
      <c r="AJ10" s="315"/>
      <c r="AK10" s="315"/>
      <c r="AL10" s="315"/>
      <c r="AM10" s="315"/>
      <c r="AO10" s="315"/>
      <c r="AP10" s="315"/>
      <c r="AQ10" s="315"/>
      <c r="AR10" s="315"/>
      <c r="AS10" s="315"/>
      <c r="AT10" s="315"/>
      <c r="AU10" s="315"/>
      <c r="AW10" s="315"/>
      <c r="AX10" s="315"/>
      <c r="AY10" s="315"/>
      <c r="AZ10" s="315"/>
      <c r="BA10" s="315"/>
      <c r="BB10" s="315"/>
      <c r="BC10" s="315"/>
      <c r="BE10" s="315"/>
      <c r="BF10" s="315"/>
      <c r="BG10" s="315"/>
      <c r="BH10" s="315"/>
      <c r="BI10" s="315"/>
      <c r="BJ10" s="315"/>
      <c r="BK10" s="315"/>
      <c r="BM10" s="315"/>
      <c r="BN10" s="315"/>
      <c r="BO10" s="315"/>
      <c r="BP10" s="315"/>
      <c r="BQ10" s="315"/>
      <c r="BR10" s="315"/>
      <c r="BS10" s="315"/>
      <c r="BU10" s="315"/>
      <c r="BV10" s="315"/>
      <c r="BW10" s="315"/>
      <c r="BX10" s="315"/>
      <c r="BY10" s="315"/>
      <c r="BZ10" s="315"/>
      <c r="CA10" s="315"/>
      <c r="CC10" s="315"/>
      <c r="CD10" s="315"/>
      <c r="CE10" s="315"/>
      <c r="CF10" s="315"/>
      <c r="CG10" s="315"/>
      <c r="CH10" s="315"/>
      <c r="CI10" s="315"/>
    </row>
    <row r="11" spans="1:87" s="314" customFormat="1" ht="14.25" x14ac:dyDescent="0.25">
      <c r="A11" s="495"/>
      <c r="B11" s="495"/>
      <c r="C11" s="495"/>
      <c r="D11" s="495"/>
      <c r="E11" s="495" t="s">
        <v>377</v>
      </c>
      <c r="F11" s="495"/>
      <c r="G11" s="328" t="s">
        <v>487</v>
      </c>
      <c r="H11" s="312"/>
      <c r="I11" s="315"/>
      <c r="J11" s="315"/>
      <c r="K11" s="315"/>
      <c r="L11" s="315"/>
      <c r="M11" s="315"/>
      <c r="N11" s="315"/>
      <c r="O11" s="354"/>
      <c r="P11" s="312"/>
      <c r="Q11" s="315"/>
      <c r="R11" s="315"/>
      <c r="S11" s="315"/>
      <c r="T11" s="315"/>
      <c r="U11" s="315"/>
      <c r="V11" s="315"/>
      <c r="W11" s="354"/>
      <c r="Y11" s="315"/>
      <c r="Z11" s="315"/>
      <c r="AA11" s="315"/>
      <c r="AB11" s="315"/>
      <c r="AC11" s="315"/>
      <c r="AD11" s="315"/>
      <c r="AE11" s="354"/>
      <c r="AG11" s="315"/>
      <c r="AH11" s="315"/>
      <c r="AI11" s="315"/>
      <c r="AJ11" s="315"/>
      <c r="AK11" s="315"/>
      <c r="AL11" s="315"/>
      <c r="AM11" s="354"/>
      <c r="AO11" s="315"/>
      <c r="AP11" s="315"/>
      <c r="AQ11" s="315"/>
      <c r="AR11" s="315"/>
      <c r="AS11" s="315"/>
      <c r="AT11" s="315"/>
      <c r="AU11" s="354"/>
      <c r="AW11" s="315"/>
      <c r="AX11" s="315"/>
      <c r="AY11" s="315"/>
      <c r="AZ11" s="315"/>
      <c r="BA11" s="315"/>
      <c r="BB11" s="315"/>
      <c r="BC11" s="354"/>
      <c r="BE11" s="315"/>
      <c r="BF11" s="315"/>
      <c r="BG11" s="315"/>
      <c r="BH11" s="315"/>
      <c r="BI11" s="315"/>
      <c r="BJ11" s="315"/>
      <c r="BK11" s="354"/>
      <c r="BM11" s="315"/>
      <c r="BN11" s="315"/>
      <c r="BO11" s="315"/>
      <c r="BP11" s="315"/>
      <c r="BQ11" s="315"/>
      <c r="BR11" s="315"/>
      <c r="BS11" s="354"/>
      <c r="BU11" s="315"/>
      <c r="BV11" s="315"/>
      <c r="BW11" s="315"/>
      <c r="BX11" s="315"/>
      <c r="BY11" s="315"/>
      <c r="BZ11" s="315"/>
      <c r="CA11" s="354"/>
      <c r="CC11" s="315"/>
      <c r="CD11" s="315"/>
      <c r="CE11" s="315"/>
      <c r="CF11" s="315"/>
      <c r="CG11" s="315"/>
      <c r="CH11" s="315"/>
      <c r="CI11" s="354"/>
    </row>
    <row r="12" spans="1:87" s="314" customFormat="1" ht="14.25" x14ac:dyDescent="0.25">
      <c r="A12" s="495"/>
      <c r="B12" s="495"/>
      <c r="C12" s="485" t="s">
        <v>378</v>
      </c>
      <c r="D12" s="485"/>
      <c r="E12" s="485" t="s">
        <v>54</v>
      </c>
      <c r="F12" s="485"/>
      <c r="G12" s="355" t="s">
        <v>488</v>
      </c>
      <c r="H12" s="312"/>
      <c r="I12" s="311" t="s">
        <v>396</v>
      </c>
      <c r="J12" s="312">
        <v>2012</v>
      </c>
      <c r="K12" s="317"/>
      <c r="L12" s="311" t="s">
        <v>396</v>
      </c>
      <c r="M12" s="312">
        <v>2013</v>
      </c>
      <c r="N12" s="317"/>
      <c r="O12" s="311" t="s">
        <v>396</v>
      </c>
      <c r="P12" s="312">
        <v>2014</v>
      </c>
      <c r="Q12" s="315"/>
      <c r="R12" s="311" t="s">
        <v>396</v>
      </c>
      <c r="S12" s="312">
        <v>2015</v>
      </c>
      <c r="T12" s="317"/>
      <c r="U12" s="311" t="s">
        <v>396</v>
      </c>
      <c r="V12" s="312">
        <v>2016</v>
      </c>
      <c r="W12" s="356"/>
      <c r="X12" s="311" t="s">
        <v>396</v>
      </c>
      <c r="Y12" s="312">
        <v>2017</v>
      </c>
      <c r="Z12" s="315"/>
      <c r="AA12" s="311" t="s">
        <v>396</v>
      </c>
      <c r="AB12" s="312">
        <v>2018</v>
      </c>
      <c r="AC12" s="317"/>
      <c r="AD12" s="311" t="s">
        <v>396</v>
      </c>
      <c r="AE12" s="312">
        <v>2019</v>
      </c>
      <c r="AG12" s="311" t="s">
        <v>396</v>
      </c>
      <c r="AH12" s="312">
        <v>2020</v>
      </c>
      <c r="AI12" s="317"/>
      <c r="AJ12" s="317"/>
      <c r="AK12" s="317"/>
      <c r="AL12" s="317"/>
      <c r="AM12" s="356"/>
      <c r="AO12" s="315"/>
      <c r="AP12" s="315"/>
      <c r="AQ12" s="317"/>
      <c r="AR12" s="317"/>
      <c r="AS12" s="317"/>
      <c r="AT12" s="317"/>
      <c r="AU12" s="356"/>
      <c r="AW12" s="315"/>
      <c r="AX12" s="315"/>
      <c r="AY12" s="317"/>
      <c r="AZ12" s="317"/>
      <c r="BA12" s="317"/>
      <c r="BB12" s="317"/>
      <c r="BC12" s="356"/>
      <c r="BE12" s="315"/>
      <c r="BF12" s="315"/>
      <c r="BG12" s="317"/>
      <c r="BH12" s="317"/>
      <c r="BI12" s="317"/>
      <c r="BJ12" s="317"/>
      <c r="BK12" s="356"/>
      <c r="BM12" s="315"/>
      <c r="BN12" s="315"/>
      <c r="BO12" s="317"/>
      <c r="BP12" s="317"/>
      <c r="BQ12" s="317"/>
      <c r="BR12" s="317"/>
      <c r="BS12" s="356"/>
      <c r="BU12" s="315"/>
      <c r="BV12" s="315"/>
      <c r="BW12" s="317"/>
      <c r="BX12" s="317"/>
      <c r="BY12" s="317"/>
      <c r="BZ12" s="317"/>
      <c r="CA12" s="356"/>
      <c r="CC12" s="315"/>
      <c r="CD12" s="315"/>
      <c r="CE12" s="317"/>
      <c r="CF12" s="317"/>
      <c r="CG12" s="317"/>
      <c r="CH12" s="317"/>
      <c r="CI12" s="356"/>
    </row>
    <row r="13" spans="1:87" ht="27" x14ac:dyDescent="0.25">
      <c r="A13" s="491" t="s">
        <v>489</v>
      </c>
      <c r="B13" s="331" t="s">
        <v>379</v>
      </c>
      <c r="C13" s="357" t="s">
        <v>490</v>
      </c>
      <c r="D13" s="358">
        <f>$AA36</f>
        <v>40694726.620000005</v>
      </c>
      <c r="E13" s="493" t="s">
        <v>491</v>
      </c>
      <c r="F13" s="359">
        <v>0.01</v>
      </c>
      <c r="G13" s="360">
        <f>D13*$F$13</f>
        <v>406947.26620000007</v>
      </c>
      <c r="I13" s="358">
        <f>$AA37</f>
        <v>46168576.660000004</v>
      </c>
      <c r="J13" s="360">
        <f>I13*$F$13</f>
        <v>461685.76660000003</v>
      </c>
      <c r="L13" s="358">
        <f>$AA38</f>
        <v>53893562.280000001</v>
      </c>
      <c r="M13" s="360">
        <f>L13*$F$13</f>
        <v>538935.62280000001</v>
      </c>
      <c r="N13" s="362"/>
      <c r="O13" s="358">
        <f>$AA39</f>
        <v>60621199.82</v>
      </c>
      <c r="P13" s="360">
        <f>O13*$F$13</f>
        <v>606211.99820000003</v>
      </c>
      <c r="Q13" s="363"/>
      <c r="R13" s="358">
        <f>$AA40</f>
        <v>63553803.32</v>
      </c>
      <c r="S13" s="360">
        <f>R13*$F$13</f>
        <v>635538.03320000006</v>
      </c>
      <c r="T13" s="315"/>
      <c r="U13" s="358">
        <f>$AA41</f>
        <v>380891.5</v>
      </c>
      <c r="V13" s="360">
        <f>U13*$F$13</f>
        <v>3808.915</v>
      </c>
      <c r="W13" s="314"/>
      <c r="X13" s="358">
        <f>$AA42</f>
        <v>583188</v>
      </c>
      <c r="Y13" s="360">
        <f>X13*$F$13</f>
        <v>5831.88</v>
      </c>
      <c r="Z13" s="315"/>
      <c r="AA13" s="358">
        <f>$AA43</f>
        <v>604992</v>
      </c>
      <c r="AB13" s="360">
        <f>AA13*$F$13</f>
        <v>6049.92</v>
      </c>
      <c r="AC13" s="315"/>
      <c r="AD13" s="358">
        <f>$AA44</f>
        <v>667276</v>
      </c>
      <c r="AE13" s="360">
        <f>AD13*$F$13</f>
        <v>6672.76</v>
      </c>
      <c r="AF13" s="314"/>
      <c r="AG13" s="358">
        <f>$AA45</f>
        <v>701040</v>
      </c>
      <c r="AH13" s="360">
        <f>AG13*$F$13</f>
        <v>7010.4000000000005</v>
      </c>
      <c r="AI13" s="315"/>
      <c r="AJ13" s="362"/>
      <c r="AK13" s="315"/>
      <c r="AL13" s="364"/>
      <c r="AM13" s="363"/>
      <c r="AN13" s="314"/>
      <c r="AO13" s="315"/>
      <c r="AP13" s="315"/>
      <c r="AQ13" s="315"/>
      <c r="AR13" s="362"/>
      <c r="AS13" s="315"/>
      <c r="AT13" s="364"/>
      <c r="AU13" s="363"/>
      <c r="AV13" s="314"/>
      <c r="AW13" s="315"/>
      <c r="AX13" s="315"/>
      <c r="AY13" s="315"/>
      <c r="AZ13" s="362"/>
      <c r="BA13" s="315"/>
      <c r="BB13" s="364"/>
      <c r="BC13" s="363"/>
      <c r="BD13" s="314"/>
      <c r="BE13" s="315"/>
      <c r="BF13" s="315"/>
      <c r="BG13" s="315"/>
      <c r="BH13" s="362"/>
      <c r="BI13" s="315"/>
      <c r="BJ13" s="364"/>
      <c r="BK13" s="363"/>
      <c r="BL13" s="314"/>
      <c r="BM13" s="315"/>
      <c r="BN13" s="315"/>
      <c r="BO13" s="315"/>
      <c r="BP13" s="362"/>
      <c r="BQ13" s="315"/>
      <c r="BR13" s="364"/>
      <c r="BS13" s="363"/>
      <c r="BT13" s="314"/>
      <c r="BU13" s="315"/>
      <c r="BV13" s="315"/>
      <c r="BW13" s="315"/>
      <c r="BX13" s="362"/>
      <c r="BY13" s="315"/>
      <c r="BZ13" s="364"/>
      <c r="CA13" s="363"/>
      <c r="CB13" s="314"/>
      <c r="CC13" s="362"/>
      <c r="CD13" s="315"/>
      <c r="CE13" s="364"/>
      <c r="CF13" s="314"/>
      <c r="CG13" s="363"/>
    </row>
    <row r="14" spans="1:87" ht="53.25" thickBot="1" x14ac:dyDescent="0.3">
      <c r="A14" s="500"/>
      <c r="B14" s="365" t="s">
        <v>380</v>
      </c>
      <c r="C14" s="366" t="s">
        <v>492</v>
      </c>
      <c r="D14" s="367">
        <v>0</v>
      </c>
      <c r="E14" s="501"/>
      <c r="F14" s="368">
        <v>0.01</v>
      </c>
      <c r="G14" s="360">
        <f>D14*F14</f>
        <v>0</v>
      </c>
      <c r="I14" s="367">
        <v>0</v>
      </c>
      <c r="J14" s="360">
        <f>I14*$F$14</f>
        <v>0</v>
      </c>
      <c r="L14" s="367">
        <v>0</v>
      </c>
      <c r="M14" s="360">
        <f>L14*$F$14</f>
        <v>0</v>
      </c>
      <c r="N14" s="362"/>
      <c r="O14" s="367">
        <v>0</v>
      </c>
      <c r="P14" s="360">
        <f>O14*$F$14</f>
        <v>0</v>
      </c>
      <c r="Q14" s="363"/>
      <c r="R14" s="367">
        <v>0</v>
      </c>
      <c r="S14" s="360">
        <f>R14*$F$14</f>
        <v>0</v>
      </c>
      <c r="T14" s="315"/>
      <c r="U14" s="367">
        <v>0</v>
      </c>
      <c r="V14" s="360">
        <f>U14*$F$14</f>
        <v>0</v>
      </c>
      <c r="W14" s="314"/>
      <c r="X14" s="367">
        <v>0</v>
      </c>
      <c r="Y14" s="360">
        <f>X14*$F$14</f>
        <v>0</v>
      </c>
      <c r="Z14" s="315"/>
      <c r="AA14" s="367">
        <v>0</v>
      </c>
      <c r="AB14" s="360">
        <f>AA14*$F$14</f>
        <v>0</v>
      </c>
      <c r="AC14" s="315"/>
      <c r="AD14" s="367">
        <v>0</v>
      </c>
      <c r="AE14" s="360">
        <f>AD14*$F$14</f>
        <v>0</v>
      </c>
      <c r="AF14" s="314"/>
      <c r="AG14" s="367">
        <v>0</v>
      </c>
      <c r="AH14" s="360">
        <f>AG14*$F$14</f>
        <v>0</v>
      </c>
      <c r="AI14" s="315"/>
      <c r="AJ14" s="362"/>
      <c r="AK14" s="315"/>
      <c r="AL14" s="364"/>
      <c r="AM14" s="363"/>
      <c r="AN14" s="314"/>
      <c r="AO14" s="315"/>
      <c r="AP14" s="315"/>
      <c r="AQ14" s="315"/>
      <c r="AR14" s="362"/>
      <c r="AS14" s="315"/>
      <c r="AT14" s="364"/>
      <c r="AU14" s="363"/>
      <c r="AV14" s="314"/>
      <c r="AW14" s="315"/>
      <c r="AX14" s="315"/>
      <c r="AY14" s="315"/>
      <c r="AZ14" s="362"/>
      <c r="BA14" s="315"/>
      <c r="BB14" s="364"/>
      <c r="BC14" s="363"/>
      <c r="BD14" s="314"/>
      <c r="BE14" s="315"/>
      <c r="BF14" s="315"/>
      <c r="BG14" s="315"/>
      <c r="BH14" s="362"/>
      <c r="BI14" s="315"/>
      <c r="BJ14" s="364"/>
      <c r="BK14" s="363"/>
      <c r="BL14" s="314"/>
      <c r="BM14" s="315"/>
      <c r="BN14" s="315"/>
      <c r="BO14" s="315"/>
      <c r="BP14" s="362"/>
      <c r="BQ14" s="315"/>
      <c r="BR14" s="364"/>
      <c r="BS14" s="363"/>
      <c r="BT14" s="314"/>
      <c r="BU14" s="315"/>
      <c r="BV14" s="315"/>
      <c r="BW14" s="315"/>
      <c r="BX14" s="362"/>
      <c r="BY14" s="315"/>
      <c r="BZ14" s="364"/>
      <c r="CA14" s="363"/>
      <c r="CB14" s="314"/>
      <c r="CC14" s="362"/>
      <c r="CD14" s="315"/>
      <c r="CE14" s="364"/>
      <c r="CF14" s="314"/>
      <c r="CG14" s="363"/>
    </row>
    <row r="15" spans="1:87" ht="27" x14ac:dyDescent="0.25">
      <c r="A15" s="490" t="s">
        <v>493</v>
      </c>
      <c r="B15" s="369" t="s">
        <v>379</v>
      </c>
      <c r="C15" s="370" t="s">
        <v>490</v>
      </c>
      <c r="D15" s="361">
        <f>$U36</f>
        <v>609603.5</v>
      </c>
      <c r="E15" s="492" t="s">
        <v>494</v>
      </c>
      <c r="F15" s="371">
        <v>3.0000000000000001E-3</v>
      </c>
      <c r="G15" s="360">
        <f>D15*$F$15</f>
        <v>1828.8105</v>
      </c>
      <c r="I15" s="361">
        <f>$U37</f>
        <v>641228.5</v>
      </c>
      <c r="J15" s="360">
        <f>I15*$F$15</f>
        <v>1923.6855</v>
      </c>
      <c r="L15" s="361">
        <f>$U38</f>
        <v>641608</v>
      </c>
      <c r="M15" s="360">
        <f>L15*$F$15</f>
        <v>1924.8240000000001</v>
      </c>
      <c r="N15" s="362"/>
      <c r="O15" s="361">
        <f>$U39</f>
        <v>767981.5</v>
      </c>
      <c r="P15" s="360">
        <f>O15*$F$15</f>
        <v>2303.9445000000001</v>
      </c>
      <c r="Q15" s="363"/>
      <c r="R15" s="361">
        <f>$U40</f>
        <v>704858</v>
      </c>
      <c r="S15" s="360">
        <f>R15*$F$15</f>
        <v>2114.5740000000001</v>
      </c>
      <c r="T15" s="315"/>
      <c r="U15" s="361">
        <f>$U41</f>
        <v>380891.5</v>
      </c>
      <c r="V15" s="360">
        <f>U15*$F$15</f>
        <v>1142.6745000000001</v>
      </c>
      <c r="W15" s="314"/>
      <c r="X15" s="361">
        <f>$U42</f>
        <v>583188</v>
      </c>
      <c r="Y15" s="360">
        <f>X15*$F$15</f>
        <v>1749.5640000000001</v>
      </c>
      <c r="Z15" s="315"/>
      <c r="AA15" s="361">
        <f>$U43</f>
        <v>604992</v>
      </c>
      <c r="AB15" s="360">
        <f>AA15*$F$15</f>
        <v>1814.9760000000001</v>
      </c>
      <c r="AC15" s="315"/>
      <c r="AD15" s="361">
        <f>$U44</f>
        <v>667276</v>
      </c>
      <c r="AE15" s="360">
        <f>AD15*$F$15</f>
        <v>2001.828</v>
      </c>
      <c r="AF15" s="314"/>
      <c r="AG15" s="361">
        <f>$U45</f>
        <v>701040</v>
      </c>
      <c r="AH15" s="360">
        <f>AG15*$F$15</f>
        <v>2103.12</v>
      </c>
      <c r="AI15" s="315"/>
      <c r="AJ15" s="362"/>
      <c r="AK15" s="315"/>
      <c r="AL15" s="364"/>
      <c r="AM15" s="363"/>
      <c r="AN15" s="314"/>
      <c r="AO15" s="315"/>
      <c r="AP15" s="315"/>
      <c r="AQ15" s="315"/>
      <c r="AR15" s="362"/>
      <c r="AS15" s="315"/>
      <c r="AT15" s="364"/>
      <c r="AU15" s="363"/>
      <c r="AV15" s="314"/>
      <c r="AW15" s="315"/>
      <c r="AX15" s="315"/>
      <c r="AY15" s="315"/>
      <c r="AZ15" s="362"/>
      <c r="BA15" s="315"/>
      <c r="BB15" s="364"/>
      <c r="BC15" s="363"/>
      <c r="BD15" s="314"/>
      <c r="BE15" s="315"/>
      <c r="BF15" s="315"/>
      <c r="BG15" s="315"/>
      <c r="BH15" s="362"/>
      <c r="BI15" s="315"/>
      <c r="BJ15" s="364"/>
      <c r="BK15" s="363"/>
      <c r="BL15" s="314"/>
      <c r="BM15" s="315"/>
      <c r="BN15" s="315"/>
      <c r="BO15" s="315"/>
      <c r="BP15" s="362"/>
      <c r="BQ15" s="315"/>
      <c r="BR15" s="364"/>
      <c r="BS15" s="363"/>
      <c r="BT15" s="314"/>
      <c r="BU15" s="315"/>
      <c r="BV15" s="315"/>
      <c r="BW15" s="315"/>
      <c r="BX15" s="362"/>
      <c r="BY15" s="315"/>
      <c r="BZ15" s="364"/>
      <c r="CA15" s="363"/>
      <c r="CB15" s="314"/>
      <c r="CC15" s="362"/>
      <c r="CD15" s="315"/>
      <c r="CE15" s="364"/>
      <c r="CF15" s="314"/>
      <c r="CG15" s="363"/>
    </row>
    <row r="16" spans="1:87" ht="52.5" x14ac:dyDescent="0.25">
      <c r="A16" s="491"/>
      <c r="B16" s="331" t="s">
        <v>380</v>
      </c>
      <c r="C16" s="357" t="s">
        <v>492</v>
      </c>
      <c r="D16" s="358">
        <v>0</v>
      </c>
      <c r="E16" s="493"/>
      <c r="F16" s="359">
        <v>3.0000000000000001E-3</v>
      </c>
      <c r="G16" s="360">
        <f>D16*$F$16</f>
        <v>0</v>
      </c>
      <c r="I16" s="358">
        <v>0</v>
      </c>
      <c r="J16" s="360">
        <f>I16*$F$16</f>
        <v>0</v>
      </c>
      <c r="L16" s="358">
        <v>0</v>
      </c>
      <c r="M16" s="360">
        <f>L16*$F$16</f>
        <v>0</v>
      </c>
      <c r="N16" s="362"/>
      <c r="O16" s="358">
        <v>0</v>
      </c>
      <c r="P16" s="360">
        <f>O16*$F$16</f>
        <v>0</v>
      </c>
      <c r="Q16" s="363"/>
      <c r="R16" s="358">
        <v>0</v>
      </c>
      <c r="S16" s="360">
        <f>R16*$F$16</f>
        <v>0</v>
      </c>
      <c r="T16" s="315"/>
      <c r="U16" s="358">
        <v>0</v>
      </c>
      <c r="V16" s="360">
        <f>U16*$F$16</f>
        <v>0</v>
      </c>
      <c r="W16" s="314"/>
      <c r="X16" s="358">
        <v>0</v>
      </c>
      <c r="Y16" s="360">
        <f>X16*$F$16</f>
        <v>0</v>
      </c>
      <c r="Z16" s="315"/>
      <c r="AA16" s="358">
        <v>0</v>
      </c>
      <c r="AB16" s="360">
        <f>AA16*$F$16</f>
        <v>0</v>
      </c>
      <c r="AC16" s="315"/>
      <c r="AD16" s="358">
        <v>0</v>
      </c>
      <c r="AE16" s="360">
        <f>AD16*$F$16</f>
        <v>0</v>
      </c>
      <c r="AF16" s="314"/>
      <c r="AG16" s="358">
        <v>0</v>
      </c>
      <c r="AH16" s="360">
        <f>AG16*$F$16</f>
        <v>0</v>
      </c>
      <c r="AI16" s="315"/>
      <c r="AJ16" s="362"/>
      <c r="AK16" s="315"/>
      <c r="AL16" s="364"/>
      <c r="AM16" s="363"/>
      <c r="AN16" s="314"/>
      <c r="AO16" s="315"/>
      <c r="AP16" s="315"/>
      <c r="AQ16" s="315"/>
      <c r="AR16" s="362"/>
      <c r="AS16" s="315"/>
      <c r="AT16" s="364"/>
      <c r="AU16" s="363"/>
      <c r="AV16" s="314"/>
      <c r="AW16" s="315"/>
      <c r="AX16" s="315"/>
      <c r="AY16" s="315"/>
      <c r="AZ16" s="362"/>
      <c r="BA16" s="315"/>
      <c r="BB16" s="364"/>
      <c r="BC16" s="363"/>
      <c r="BD16" s="314"/>
      <c r="BE16" s="315"/>
      <c r="BF16" s="315"/>
      <c r="BG16" s="315"/>
      <c r="BH16" s="362"/>
      <c r="BI16" s="315"/>
      <c r="BJ16" s="364"/>
      <c r="BK16" s="363"/>
      <c r="BL16" s="314"/>
      <c r="BM16" s="315"/>
      <c r="BN16" s="315"/>
      <c r="BO16" s="315"/>
      <c r="BP16" s="362"/>
      <c r="BQ16" s="315"/>
      <c r="BR16" s="364"/>
      <c r="BS16" s="363"/>
      <c r="BT16" s="314"/>
      <c r="BU16" s="315"/>
      <c r="BV16" s="315"/>
      <c r="BW16" s="315"/>
      <c r="BX16" s="362"/>
      <c r="BY16" s="315"/>
      <c r="BZ16" s="364"/>
      <c r="CA16" s="363"/>
      <c r="CB16" s="314"/>
      <c r="CC16" s="362"/>
      <c r="CD16" s="315"/>
      <c r="CE16" s="364"/>
      <c r="CF16" s="314"/>
      <c r="CG16" s="363"/>
    </row>
    <row r="17" spans="1:85" x14ac:dyDescent="0.25">
      <c r="A17" s="494" t="s">
        <v>25</v>
      </c>
      <c r="B17" s="494"/>
      <c r="C17" s="372"/>
      <c r="D17" s="373"/>
      <c r="E17" s="372"/>
      <c r="F17" s="372"/>
      <c r="G17" s="374">
        <f>SUM(G13:G16)</f>
        <v>408776.07670000009</v>
      </c>
      <c r="I17" s="373"/>
      <c r="J17" s="374">
        <f>SUM(J13:J16)</f>
        <v>463609.45210000005</v>
      </c>
      <c r="L17" s="373"/>
      <c r="M17" s="374">
        <f>SUM(M13:M16)</f>
        <v>540860.44680000003</v>
      </c>
      <c r="N17" s="362"/>
      <c r="O17" s="373"/>
      <c r="P17" s="374">
        <f>SUM(P13:P16)</f>
        <v>608515.94270000001</v>
      </c>
      <c r="Q17" s="363"/>
      <c r="R17" s="373"/>
      <c r="S17" s="374">
        <f>SUM(S13:S16)</f>
        <v>637652.60720000009</v>
      </c>
      <c r="T17" s="354"/>
      <c r="U17" s="373"/>
      <c r="V17" s="374">
        <f>SUM(V13:V16)</f>
        <v>4951.5895</v>
      </c>
      <c r="W17" s="314"/>
      <c r="X17" s="373"/>
      <c r="Y17" s="374">
        <f>SUM(Y13:Y16)</f>
        <v>7581.4440000000004</v>
      </c>
      <c r="Z17" s="375"/>
      <c r="AA17" s="373"/>
      <c r="AB17" s="374">
        <f>SUM(AB13:AB16)</f>
        <v>7864.8960000000006</v>
      </c>
      <c r="AC17" s="354"/>
      <c r="AD17" s="373"/>
      <c r="AE17" s="374">
        <f>SUM(AE13:AE16)</f>
        <v>8674.5879999999997</v>
      </c>
      <c r="AF17" s="314"/>
      <c r="AG17" s="373"/>
      <c r="AH17" s="374">
        <f>SUM(AH13:AH16)</f>
        <v>9113.52</v>
      </c>
      <c r="AI17" s="354"/>
      <c r="AJ17" s="362"/>
      <c r="AK17" s="354"/>
      <c r="AL17" s="354"/>
      <c r="AM17" s="363"/>
      <c r="AN17" s="314"/>
      <c r="AO17" s="375"/>
      <c r="AP17" s="375"/>
      <c r="AQ17" s="354"/>
      <c r="AR17" s="362"/>
      <c r="AS17" s="354"/>
      <c r="AT17" s="354"/>
      <c r="AU17" s="363"/>
      <c r="AV17" s="314"/>
      <c r="AW17" s="375"/>
      <c r="AX17" s="375"/>
      <c r="AY17" s="354"/>
      <c r="AZ17" s="362"/>
      <c r="BA17" s="354"/>
      <c r="BB17" s="354"/>
      <c r="BC17" s="363"/>
      <c r="BD17" s="314"/>
      <c r="BE17" s="375"/>
      <c r="BF17" s="375"/>
      <c r="BG17" s="354"/>
      <c r="BH17" s="362"/>
      <c r="BI17" s="354"/>
      <c r="BJ17" s="354"/>
      <c r="BK17" s="363"/>
      <c r="BL17" s="314"/>
      <c r="BM17" s="375"/>
      <c r="BN17" s="375"/>
      <c r="BO17" s="354"/>
      <c r="BP17" s="362"/>
      <c r="BQ17" s="354"/>
      <c r="BR17" s="354"/>
      <c r="BS17" s="363"/>
      <c r="BT17" s="314"/>
      <c r="BU17" s="375"/>
      <c r="BV17" s="375"/>
      <c r="BW17" s="354"/>
      <c r="BX17" s="362"/>
      <c r="BY17" s="354"/>
      <c r="BZ17" s="354"/>
      <c r="CA17" s="363"/>
      <c r="CB17" s="314"/>
      <c r="CC17" s="375"/>
      <c r="CD17" s="375"/>
      <c r="CE17" s="354"/>
      <c r="CF17" s="354"/>
      <c r="CG17" s="363"/>
    </row>
    <row r="18" spans="1:85" ht="25.5" x14ac:dyDescent="0.25">
      <c r="F18" s="389" t="s">
        <v>507</v>
      </c>
      <c r="G18" s="390">
        <f>G17</f>
        <v>408776.07670000009</v>
      </c>
      <c r="I18" s="389" t="s">
        <v>507</v>
      </c>
      <c r="J18" s="390">
        <f>J17</f>
        <v>463609.45210000005</v>
      </c>
      <c r="L18" s="389" t="s">
        <v>507</v>
      </c>
      <c r="M18" s="390">
        <f>M17</f>
        <v>540860.44680000003</v>
      </c>
      <c r="N18" s="316"/>
      <c r="O18" s="389" t="s">
        <v>507</v>
      </c>
      <c r="P18" s="390">
        <f>P17</f>
        <v>608515.94270000001</v>
      </c>
      <c r="Q18" s="376"/>
      <c r="R18" s="389" t="s">
        <v>507</v>
      </c>
      <c r="S18" s="390">
        <f>S17</f>
        <v>637652.60720000009</v>
      </c>
      <c r="T18" s="314"/>
      <c r="U18" s="389" t="s">
        <v>507</v>
      </c>
      <c r="V18" s="390">
        <f>V17</f>
        <v>4951.5895</v>
      </c>
      <c r="W18" s="314"/>
      <c r="X18" s="389" t="s">
        <v>507</v>
      </c>
      <c r="Y18" s="390">
        <f>Y17</f>
        <v>7581.4440000000004</v>
      </c>
      <c r="Z18" s="314"/>
      <c r="AA18" s="389" t="s">
        <v>507</v>
      </c>
      <c r="AB18" s="390">
        <f>AB17</f>
        <v>7864.8960000000006</v>
      </c>
      <c r="AC18" s="314"/>
      <c r="AD18" s="389" t="s">
        <v>507</v>
      </c>
      <c r="AE18" s="390">
        <f>AE17</f>
        <v>8674.5879999999997</v>
      </c>
      <c r="AF18" s="314"/>
      <c r="AG18" s="389" t="s">
        <v>507</v>
      </c>
      <c r="AH18" s="390">
        <f>AH17</f>
        <v>9113.52</v>
      </c>
      <c r="AI18" s="314"/>
      <c r="AJ18" s="316"/>
      <c r="AK18" s="314"/>
      <c r="AL18" s="317"/>
      <c r="AM18" s="376"/>
      <c r="AN18" s="314"/>
      <c r="AO18" s="315"/>
      <c r="AP18" s="314"/>
      <c r="AQ18" s="314"/>
      <c r="AR18" s="316"/>
      <c r="AS18" s="314"/>
      <c r="AT18" s="317"/>
      <c r="AU18" s="376"/>
      <c r="AV18" s="314"/>
      <c r="AW18" s="315"/>
      <c r="AX18" s="314"/>
      <c r="AY18" s="314"/>
      <c r="AZ18" s="316"/>
      <c r="BA18" s="314"/>
      <c r="BB18" s="317"/>
      <c r="BC18" s="376"/>
      <c r="BD18" s="314"/>
      <c r="BE18" s="315"/>
      <c r="BF18" s="314"/>
      <c r="BG18" s="314"/>
      <c r="BH18" s="316"/>
      <c r="BI18" s="314"/>
      <c r="BJ18" s="317"/>
      <c r="BK18" s="376"/>
      <c r="BL18" s="314"/>
      <c r="BM18" s="315"/>
      <c r="BN18" s="314"/>
      <c r="BO18" s="314"/>
      <c r="BP18" s="316"/>
      <c r="BQ18" s="314"/>
      <c r="BR18" s="317"/>
      <c r="BS18" s="376"/>
      <c r="BT18" s="314"/>
      <c r="BU18" s="315"/>
      <c r="BV18" s="314"/>
      <c r="BW18" s="314"/>
      <c r="BX18" s="316"/>
      <c r="BY18" s="314"/>
      <c r="BZ18" s="317"/>
      <c r="CA18" s="376"/>
      <c r="CB18" s="314"/>
      <c r="CC18" s="315"/>
      <c r="CD18" s="314"/>
      <c r="CE18" s="314"/>
      <c r="CF18" s="317"/>
      <c r="CG18" s="376"/>
    </row>
    <row r="19" spans="1:85" x14ac:dyDescent="0.25">
      <c r="G19" s="391">
        <f>G18*44/28</f>
        <v>642362.40624285734</v>
      </c>
      <c r="J19" s="391">
        <f>J18*44/28</f>
        <v>728529.13901428587</v>
      </c>
      <c r="M19" s="391">
        <f>M18*44/28</f>
        <v>849923.55925714294</v>
      </c>
      <c r="N19" s="316"/>
      <c r="P19" s="391">
        <f>P18*44/28</f>
        <v>956239.33852857142</v>
      </c>
      <c r="Q19" s="318"/>
      <c r="S19" s="391">
        <f>S18*44/28</f>
        <v>1002025.5256000002</v>
      </c>
      <c r="T19" s="314"/>
      <c r="V19" s="391">
        <f>V18*44/28</f>
        <v>7781.0692142857142</v>
      </c>
      <c r="W19" s="314"/>
      <c r="Y19" s="391">
        <f>Y18*44/28</f>
        <v>11913.697714285716</v>
      </c>
      <c r="Z19" s="314"/>
      <c r="AB19" s="391">
        <f>AB18*44/28</f>
        <v>12359.122285714286</v>
      </c>
      <c r="AC19" s="314"/>
      <c r="AE19" s="391">
        <f>AE18*44/28</f>
        <v>13631.495428571428</v>
      </c>
      <c r="AF19" s="314"/>
      <c r="AH19" s="391">
        <f>AH18*44/28</f>
        <v>14321.245714285715</v>
      </c>
      <c r="AI19" s="314"/>
      <c r="AJ19" s="316"/>
      <c r="AK19" s="314"/>
      <c r="AL19" s="315"/>
      <c r="AM19" s="318"/>
      <c r="AN19" s="314"/>
      <c r="AO19" s="315"/>
      <c r="AP19" s="314"/>
      <c r="AQ19" s="314"/>
      <c r="AR19" s="316"/>
      <c r="AS19" s="314"/>
      <c r="AT19" s="315"/>
      <c r="AU19" s="318"/>
      <c r="AV19" s="314"/>
      <c r="AW19" s="315"/>
      <c r="AX19" s="314"/>
      <c r="AY19" s="314"/>
      <c r="AZ19" s="316"/>
      <c r="BA19" s="314"/>
      <c r="BB19" s="315"/>
      <c r="BC19" s="318"/>
      <c r="BD19" s="314"/>
      <c r="BE19" s="315"/>
      <c r="BF19" s="314"/>
      <c r="BG19" s="314"/>
      <c r="BH19" s="316"/>
      <c r="BI19" s="314"/>
      <c r="BJ19" s="315"/>
      <c r="BK19" s="318"/>
      <c r="BL19" s="314"/>
      <c r="BM19" s="315"/>
      <c r="BN19" s="314"/>
      <c r="BO19" s="314"/>
      <c r="BP19" s="316"/>
      <c r="BQ19" s="314"/>
      <c r="BR19" s="315"/>
      <c r="BS19" s="318"/>
      <c r="BT19" s="314"/>
      <c r="BU19" s="315"/>
      <c r="BV19" s="314"/>
      <c r="BW19" s="314"/>
      <c r="BX19" s="316"/>
      <c r="BY19" s="314"/>
      <c r="BZ19" s="315"/>
      <c r="CA19" s="318"/>
      <c r="CB19" s="314"/>
      <c r="CC19" s="315"/>
      <c r="CD19" s="314"/>
      <c r="CE19" s="314"/>
      <c r="CF19" s="315"/>
      <c r="CG19" s="318"/>
    </row>
    <row r="20" spans="1:85" x14ac:dyDescent="0.25">
      <c r="A20" s="319" t="s">
        <v>381</v>
      </c>
      <c r="B20" s="320"/>
      <c r="C20" s="312" t="s">
        <v>382</v>
      </c>
      <c r="I20" s="321"/>
      <c r="J20" s="322"/>
      <c r="K20" s="322"/>
      <c r="L20" s="321"/>
      <c r="M20" s="322"/>
      <c r="N20" s="322"/>
      <c r="O20" s="321"/>
      <c r="P20" s="322"/>
      <c r="Q20" s="321"/>
      <c r="R20" s="321"/>
      <c r="S20" s="322"/>
      <c r="T20" s="323"/>
      <c r="U20" s="321"/>
      <c r="V20" s="322"/>
      <c r="W20" s="322"/>
      <c r="X20" s="321"/>
      <c r="Y20" s="322"/>
      <c r="Z20" s="322"/>
      <c r="AA20" s="321"/>
      <c r="AB20" s="322"/>
      <c r="AC20" s="322"/>
      <c r="AD20" s="321"/>
      <c r="AE20" s="322"/>
      <c r="AF20" s="322"/>
      <c r="AG20" s="321"/>
      <c r="AH20" s="322"/>
      <c r="AI20" s="322"/>
      <c r="AJ20" s="313"/>
      <c r="AO20" s="321"/>
      <c r="AP20" s="322"/>
      <c r="AQ20" s="322"/>
      <c r="AR20" s="323"/>
      <c r="AS20" s="322"/>
      <c r="AT20" s="322"/>
      <c r="AU20" s="322"/>
      <c r="AV20" s="322"/>
      <c r="AW20" s="321"/>
      <c r="AX20" s="322"/>
      <c r="AY20" s="322"/>
      <c r="AZ20" s="323"/>
      <c r="BA20" s="322"/>
      <c r="BB20" s="322"/>
      <c r="BC20" s="322"/>
      <c r="BD20" s="322"/>
      <c r="BE20" s="321"/>
      <c r="BF20" s="322"/>
      <c r="BG20" s="322"/>
      <c r="BH20" s="323"/>
      <c r="BI20" s="322"/>
      <c r="BJ20" s="322"/>
      <c r="BK20" s="322"/>
      <c r="BL20" s="322"/>
      <c r="BM20" s="321"/>
      <c r="BN20" s="322"/>
      <c r="BO20" s="322"/>
      <c r="BP20" s="323"/>
      <c r="BQ20" s="322"/>
      <c r="BR20" s="322"/>
      <c r="BU20" s="319" t="s">
        <v>381</v>
      </c>
      <c r="BV20" s="320"/>
      <c r="BW20" s="312" t="s">
        <v>382</v>
      </c>
      <c r="BX20" s="313"/>
      <c r="CC20" s="319" t="s">
        <v>381</v>
      </c>
      <c r="CD20" s="320"/>
      <c r="CE20" s="312" t="s">
        <v>382</v>
      </c>
      <c r="CF20" s="313"/>
    </row>
    <row r="21" spans="1:85" x14ac:dyDescent="0.25">
      <c r="A21" s="319"/>
      <c r="B21" s="324"/>
      <c r="C21" s="312" t="s">
        <v>383</v>
      </c>
      <c r="I21" s="321"/>
      <c r="J21" s="325"/>
      <c r="K21" s="322"/>
      <c r="L21" s="321"/>
      <c r="M21" s="325"/>
      <c r="N21" s="322"/>
      <c r="O21" s="321"/>
      <c r="P21" s="325"/>
      <c r="Q21" s="321"/>
      <c r="R21" s="321"/>
      <c r="S21" s="325"/>
      <c r="T21" s="323"/>
      <c r="U21" s="321"/>
      <c r="V21" s="325"/>
      <c r="W21" s="322"/>
      <c r="X21" s="321"/>
      <c r="Y21" s="325"/>
      <c r="Z21" s="325"/>
      <c r="AA21" s="321"/>
      <c r="AB21" s="325"/>
      <c r="AC21" s="322"/>
      <c r="AD21" s="321"/>
      <c r="AE21" s="325"/>
      <c r="AF21" s="322"/>
      <c r="AG21" s="321"/>
      <c r="AH21" s="325"/>
      <c r="AI21" s="322"/>
      <c r="AJ21" s="313"/>
      <c r="AO21" s="321"/>
      <c r="AP21" s="325"/>
      <c r="AQ21" s="322"/>
      <c r="AR21" s="323"/>
      <c r="AS21" s="322"/>
      <c r="AT21" s="322"/>
      <c r="AU21" s="322"/>
      <c r="AV21" s="322"/>
      <c r="AW21" s="321"/>
      <c r="AX21" s="325"/>
      <c r="AY21" s="322"/>
      <c r="AZ21" s="323"/>
      <c r="BA21" s="322"/>
      <c r="BB21" s="322"/>
      <c r="BC21" s="322"/>
      <c r="BD21" s="322"/>
      <c r="BE21" s="321"/>
      <c r="BF21" s="325"/>
      <c r="BG21" s="322"/>
      <c r="BH21" s="323"/>
      <c r="BI21" s="322"/>
      <c r="BJ21" s="322"/>
      <c r="BK21" s="322"/>
      <c r="BL21" s="322"/>
      <c r="BM21" s="321"/>
      <c r="BN21" s="325"/>
      <c r="BO21" s="322"/>
      <c r="BP21" s="323"/>
      <c r="BQ21" s="322"/>
      <c r="BR21" s="322"/>
      <c r="BU21" s="319"/>
      <c r="BV21" s="324"/>
      <c r="BW21" s="312" t="s">
        <v>383</v>
      </c>
      <c r="BX21" s="313"/>
      <c r="CC21" s="319"/>
      <c r="CD21" s="324"/>
      <c r="CE21" s="312" t="s">
        <v>383</v>
      </c>
      <c r="CF21" s="313"/>
    </row>
    <row r="22" spans="1:85" x14ac:dyDescent="0.25">
      <c r="B22" s="326"/>
      <c r="C22" s="312" t="s">
        <v>384</v>
      </c>
      <c r="I22" s="327"/>
      <c r="J22" s="322"/>
      <c r="K22" s="322"/>
      <c r="L22" s="327"/>
      <c r="M22" s="322"/>
      <c r="N22" s="322"/>
      <c r="O22" s="327"/>
      <c r="P22" s="322"/>
      <c r="Q22" s="327"/>
      <c r="R22" s="327"/>
      <c r="S22" s="322"/>
      <c r="T22" s="323"/>
      <c r="U22" s="327"/>
      <c r="V22" s="322"/>
      <c r="W22" s="322"/>
      <c r="X22" s="327"/>
      <c r="Y22" s="322"/>
      <c r="Z22" s="322"/>
      <c r="AA22" s="327"/>
      <c r="AB22" s="322"/>
      <c r="AC22" s="322"/>
      <c r="AD22" s="327"/>
      <c r="AE22" s="322"/>
      <c r="AF22" s="322"/>
      <c r="AG22" s="327"/>
      <c r="AH22" s="322"/>
      <c r="AI22" s="322"/>
      <c r="AJ22" s="313"/>
      <c r="AO22" s="327"/>
      <c r="AP22" s="322"/>
      <c r="AQ22" s="322"/>
      <c r="AR22" s="323"/>
      <c r="AS22" s="322"/>
      <c r="AT22" s="322"/>
      <c r="AU22" s="322"/>
      <c r="AV22" s="322"/>
      <c r="AW22" s="327"/>
      <c r="AX22" s="322"/>
      <c r="AY22" s="322"/>
      <c r="AZ22" s="323"/>
      <c r="BA22" s="322"/>
      <c r="BB22" s="322"/>
      <c r="BC22" s="322"/>
      <c r="BD22" s="322"/>
      <c r="BE22" s="327"/>
      <c r="BF22" s="322"/>
      <c r="BG22" s="322"/>
      <c r="BH22" s="323"/>
      <c r="BI22" s="322"/>
      <c r="BJ22" s="322"/>
      <c r="BK22" s="322"/>
      <c r="BL22" s="322"/>
      <c r="BM22" s="327"/>
      <c r="BN22" s="322"/>
      <c r="BO22" s="322"/>
      <c r="BP22" s="323"/>
      <c r="BQ22" s="322"/>
      <c r="BR22" s="322"/>
      <c r="BU22" s="311"/>
      <c r="BV22" s="326"/>
      <c r="BW22" s="312" t="s">
        <v>384</v>
      </c>
      <c r="BX22" s="313"/>
      <c r="CC22" s="311"/>
      <c r="CD22" s="326"/>
      <c r="CE22" s="312" t="s">
        <v>384</v>
      </c>
      <c r="CF22" s="313"/>
    </row>
    <row r="23" spans="1:85" x14ac:dyDescent="0.25">
      <c r="B23" s="312" t="s">
        <v>402</v>
      </c>
      <c r="C23" s="312" t="s">
        <v>403</v>
      </c>
      <c r="I23" s="327"/>
      <c r="J23" s="322"/>
      <c r="K23" s="322"/>
      <c r="L23" s="327"/>
      <c r="M23" s="322"/>
      <c r="N23" s="322"/>
      <c r="O23" s="327"/>
      <c r="P23" s="322"/>
      <c r="Q23" s="327"/>
      <c r="R23" s="327"/>
      <c r="S23" s="322"/>
      <c r="T23" s="323"/>
      <c r="U23" s="327"/>
      <c r="V23" s="322"/>
      <c r="W23" s="322"/>
      <c r="X23" s="327"/>
      <c r="Y23" s="322"/>
      <c r="Z23" s="322"/>
      <c r="AA23" s="327"/>
      <c r="AB23" s="322"/>
      <c r="AC23" s="322"/>
      <c r="AD23" s="327"/>
      <c r="AE23" s="322"/>
      <c r="AF23" s="322"/>
      <c r="AG23" s="327"/>
      <c r="AH23" s="322"/>
      <c r="AI23" s="322"/>
      <c r="AJ23" s="313"/>
      <c r="AO23" s="327"/>
      <c r="AP23" s="322"/>
      <c r="AQ23" s="322"/>
      <c r="AR23" s="323"/>
      <c r="AS23" s="322"/>
      <c r="AT23" s="322"/>
      <c r="AU23" s="322"/>
      <c r="AV23" s="322"/>
      <c r="AW23" s="327"/>
      <c r="AX23" s="322"/>
      <c r="AY23" s="322"/>
      <c r="AZ23" s="323"/>
      <c r="BA23" s="322"/>
      <c r="BB23" s="322"/>
      <c r="BC23" s="322"/>
      <c r="BD23" s="322"/>
      <c r="BE23" s="327"/>
      <c r="BF23" s="322"/>
      <c r="BG23" s="322"/>
      <c r="BH23" s="323"/>
      <c r="BI23" s="322"/>
      <c r="BJ23" s="322"/>
      <c r="BK23" s="322"/>
      <c r="BL23" s="322"/>
      <c r="BM23" s="327"/>
      <c r="BN23" s="322"/>
      <c r="BO23" s="322"/>
      <c r="BP23" s="323"/>
      <c r="BQ23" s="322"/>
      <c r="BR23" s="322"/>
      <c r="BU23" s="311"/>
      <c r="BV23" s="312" t="s">
        <v>402</v>
      </c>
      <c r="BW23" s="312" t="s">
        <v>403</v>
      </c>
      <c r="BX23" s="313"/>
      <c r="CC23" s="311"/>
      <c r="CD23" s="312" t="s">
        <v>402</v>
      </c>
      <c r="CE23" s="312" t="s">
        <v>403</v>
      </c>
      <c r="CF23" s="313"/>
    </row>
    <row r="24" spans="1:85" x14ac:dyDescent="0.25">
      <c r="B24" s="312" t="s">
        <v>404</v>
      </c>
      <c r="C24" s="312" t="s">
        <v>405</v>
      </c>
      <c r="I24" s="327"/>
      <c r="J24" s="322"/>
      <c r="K24" s="322"/>
      <c r="L24" s="327"/>
      <c r="M24" s="322"/>
      <c r="N24" s="322"/>
      <c r="O24" s="327"/>
      <c r="P24" s="322"/>
      <c r="Q24" s="327"/>
      <c r="R24" s="327"/>
      <c r="S24" s="322"/>
      <c r="T24" s="323"/>
      <c r="U24" s="327"/>
      <c r="V24" s="322"/>
      <c r="W24" s="322"/>
      <c r="X24" s="327"/>
      <c r="Y24" s="322"/>
      <c r="Z24" s="322"/>
      <c r="AA24" s="327"/>
      <c r="AB24" s="322"/>
      <c r="AC24" s="322"/>
      <c r="AD24" s="327"/>
      <c r="AE24" s="322"/>
      <c r="AF24" s="322"/>
      <c r="AG24" s="327"/>
      <c r="AH24" s="322"/>
      <c r="AI24" s="322"/>
      <c r="AJ24" s="313"/>
      <c r="AO24" s="327"/>
      <c r="AP24" s="322"/>
      <c r="AQ24" s="322"/>
      <c r="AR24" s="323"/>
      <c r="AS24" s="322"/>
      <c r="AT24" s="322"/>
      <c r="AU24" s="322"/>
      <c r="AV24" s="322"/>
      <c r="AW24" s="327"/>
      <c r="AX24" s="322"/>
      <c r="AY24" s="322"/>
      <c r="AZ24" s="323"/>
      <c r="BA24" s="322"/>
      <c r="BB24" s="322"/>
      <c r="BC24" s="322"/>
      <c r="BD24" s="322"/>
      <c r="BE24" s="327"/>
      <c r="BF24" s="322"/>
      <c r="BG24" s="322"/>
      <c r="BH24" s="323"/>
      <c r="BI24" s="322"/>
      <c r="BJ24" s="322"/>
      <c r="BK24" s="322"/>
      <c r="BL24" s="322"/>
      <c r="BM24" s="327"/>
      <c r="BN24" s="322"/>
      <c r="BO24" s="322"/>
      <c r="BP24" s="323"/>
      <c r="BQ24" s="322"/>
      <c r="BR24" s="322"/>
      <c r="BU24" s="311"/>
      <c r="BV24" s="312" t="s">
        <v>404</v>
      </c>
      <c r="BW24" s="312" t="s">
        <v>405</v>
      </c>
      <c r="BX24" s="313"/>
      <c r="CC24" s="311"/>
      <c r="CD24" s="312" t="s">
        <v>404</v>
      </c>
      <c r="CE24" s="312" t="s">
        <v>405</v>
      </c>
      <c r="CF24" s="313"/>
    </row>
    <row r="25" spans="1:85" ht="38.25" customHeight="1" x14ac:dyDescent="0.25">
      <c r="A25" s="489" t="s">
        <v>386</v>
      </c>
      <c r="B25" s="489"/>
      <c r="C25" s="487" t="s">
        <v>387</v>
      </c>
      <c r="D25" s="488"/>
    </row>
    <row r="26" spans="1:85" x14ac:dyDescent="0.25">
      <c r="A26" s="328"/>
      <c r="B26" s="329" t="s">
        <v>330</v>
      </c>
      <c r="C26" s="329" t="s">
        <v>331</v>
      </c>
      <c r="D26" s="330" t="s">
        <v>332</v>
      </c>
    </row>
    <row r="27" spans="1:85" x14ac:dyDescent="0.25">
      <c r="A27" s="328" t="s">
        <v>385</v>
      </c>
      <c r="B27" s="329"/>
      <c r="C27" s="329"/>
      <c r="D27" s="330"/>
    </row>
    <row r="28" spans="1:85" x14ac:dyDescent="0.25">
      <c r="A28" s="328"/>
      <c r="B28" s="329"/>
      <c r="C28" s="329"/>
      <c r="D28" s="330"/>
    </row>
    <row r="29" spans="1:85" x14ac:dyDescent="0.25">
      <c r="A29" s="328" t="s">
        <v>333</v>
      </c>
      <c r="B29" s="329">
        <f>B27*46%</f>
        <v>0</v>
      </c>
      <c r="C29" s="329">
        <f>C27*22%</f>
        <v>0</v>
      </c>
      <c r="D29" s="330">
        <f>D27*15%</f>
        <v>0</v>
      </c>
    </row>
    <row r="32" spans="1:85" ht="25.5" x14ac:dyDescent="0.25">
      <c r="A32" s="311" t="s">
        <v>388</v>
      </c>
      <c r="B32" s="312" t="s">
        <v>389</v>
      </c>
    </row>
    <row r="34" spans="1:38" ht="15" customHeight="1" x14ac:dyDescent="0.25">
      <c r="A34" s="331"/>
      <c r="B34" s="484" t="s">
        <v>495</v>
      </c>
      <c r="C34" s="484"/>
      <c r="D34" s="484"/>
      <c r="E34" s="484"/>
      <c r="F34" s="484"/>
      <c r="G34" s="484"/>
      <c r="H34" s="481" t="s">
        <v>496</v>
      </c>
      <c r="I34" s="482"/>
      <c r="J34" s="482"/>
      <c r="K34" s="482"/>
      <c r="L34" s="482"/>
      <c r="M34" s="483"/>
      <c r="N34" s="486" t="s">
        <v>497</v>
      </c>
      <c r="O34" s="486"/>
      <c r="P34" s="486"/>
      <c r="Q34" s="486"/>
      <c r="R34" s="486"/>
      <c r="S34" s="486"/>
      <c r="T34" s="486"/>
      <c r="U34" s="504" t="s">
        <v>499</v>
      </c>
      <c r="V34" s="504"/>
      <c r="W34" s="504"/>
      <c r="X34" s="504"/>
      <c r="Y34" s="504"/>
      <c r="Z34" s="504"/>
      <c r="AA34" s="504"/>
      <c r="AJ34" s="312" t="s">
        <v>418</v>
      </c>
      <c r="AK34" s="312" t="s">
        <v>419</v>
      </c>
      <c r="AL34" s="312" t="s">
        <v>420</v>
      </c>
    </row>
    <row r="35" spans="1:38" ht="38.25" x14ac:dyDescent="0.25">
      <c r="A35" s="331"/>
      <c r="B35" s="332" t="s">
        <v>406</v>
      </c>
      <c r="C35" s="332" t="s">
        <v>407</v>
      </c>
      <c r="D35" s="332" t="s">
        <v>390</v>
      </c>
      <c r="E35" s="332" t="s">
        <v>391</v>
      </c>
      <c r="F35" s="333" t="s">
        <v>392</v>
      </c>
      <c r="G35" s="332" t="s">
        <v>393</v>
      </c>
      <c r="H35" s="334" t="s">
        <v>406</v>
      </c>
      <c r="I35" s="334" t="s">
        <v>407</v>
      </c>
      <c r="J35" s="334" t="s">
        <v>390</v>
      </c>
      <c r="K35" s="334" t="s">
        <v>391</v>
      </c>
      <c r="L35" s="335" t="s">
        <v>392</v>
      </c>
      <c r="M35" s="334" t="s">
        <v>393</v>
      </c>
      <c r="N35" s="336" t="s">
        <v>406</v>
      </c>
      <c r="O35" s="336" t="s">
        <v>407</v>
      </c>
      <c r="P35" s="336" t="s">
        <v>390</v>
      </c>
      <c r="Q35" s="336" t="s">
        <v>391</v>
      </c>
      <c r="R35" s="337" t="s">
        <v>392</v>
      </c>
      <c r="S35" s="336" t="s">
        <v>393</v>
      </c>
      <c r="T35" s="336" t="s">
        <v>498</v>
      </c>
      <c r="U35" s="381" t="s">
        <v>406</v>
      </c>
      <c r="V35" s="381" t="s">
        <v>407</v>
      </c>
      <c r="W35" s="381" t="s">
        <v>390</v>
      </c>
      <c r="X35" s="382" t="s">
        <v>391</v>
      </c>
      <c r="Y35" s="383" t="s">
        <v>392</v>
      </c>
      <c r="Z35" s="381" t="s">
        <v>393</v>
      </c>
      <c r="AA35" s="336" t="s">
        <v>500</v>
      </c>
      <c r="AJ35" s="312" t="s">
        <v>423</v>
      </c>
      <c r="AK35" s="312" t="s">
        <v>270</v>
      </c>
    </row>
    <row r="36" spans="1:38" ht="15" x14ac:dyDescent="0.25">
      <c r="A36" s="377">
        <f>'Lahan sawah'!B11</f>
        <v>2011</v>
      </c>
      <c r="B36" s="420">
        <f>'[1]Kutai Timur'!$B16</f>
        <v>4819</v>
      </c>
      <c r="C36" s="421">
        <f>'[1]Kutai Timur'!$G16</f>
        <v>5650</v>
      </c>
      <c r="D36" s="378">
        <f t="shared" ref="D36:D45" si="0">B36+C36</f>
        <v>10469</v>
      </c>
      <c r="E36" s="339">
        <f>D60</f>
        <v>1552</v>
      </c>
      <c r="F36" s="340"/>
      <c r="G36" s="422">
        <f>[2]KUTIM!F17</f>
        <v>270626</v>
      </c>
      <c r="H36" s="341">
        <v>275</v>
      </c>
      <c r="I36" s="341"/>
      <c r="J36" s="341"/>
      <c r="K36" s="341"/>
      <c r="L36" s="341"/>
      <c r="M36" s="341">
        <v>322</v>
      </c>
      <c r="N36" s="342">
        <f t="shared" ref="N36:S36" si="1">H36*B36</f>
        <v>1325225</v>
      </c>
      <c r="O36" s="342">
        <f t="shared" si="1"/>
        <v>0</v>
      </c>
      <c r="P36" s="342">
        <f t="shared" si="1"/>
        <v>0</v>
      </c>
      <c r="Q36" s="342">
        <f t="shared" si="1"/>
        <v>0</v>
      </c>
      <c r="R36" s="342">
        <f t="shared" si="1"/>
        <v>0</v>
      </c>
      <c r="S36" s="342">
        <f t="shared" si="1"/>
        <v>87141572</v>
      </c>
      <c r="T36" s="380">
        <f>SUM(N36:S36)</f>
        <v>88466797</v>
      </c>
      <c r="U36" s="385">
        <f>N36*46%</f>
        <v>609603.5</v>
      </c>
      <c r="V36" s="385">
        <f t="shared" ref="V36:Z46" si="2">O36*46%</f>
        <v>0</v>
      </c>
      <c r="W36" s="385">
        <f t="shared" si="2"/>
        <v>0</v>
      </c>
      <c r="X36" s="385">
        <f t="shared" si="2"/>
        <v>0</v>
      </c>
      <c r="Y36" s="385">
        <f t="shared" si="2"/>
        <v>0</v>
      </c>
      <c r="Z36" s="385">
        <f t="shared" si="2"/>
        <v>40085123.120000005</v>
      </c>
      <c r="AA36" s="386">
        <f>T36*46%</f>
        <v>40694726.620000005</v>
      </c>
      <c r="AJ36" s="312">
        <v>8700</v>
      </c>
      <c r="AL36" s="343">
        <f t="shared" ref="AL36:AL46" si="3">W36+X36+Y36</f>
        <v>0</v>
      </c>
    </row>
    <row r="37" spans="1:38" ht="15" x14ac:dyDescent="0.25">
      <c r="A37" s="377">
        <f>'Lahan sawah'!B12</f>
        <v>2012</v>
      </c>
      <c r="B37" s="420">
        <f>'[1]Kutai Timur'!$B17</f>
        <v>5069</v>
      </c>
      <c r="C37" s="421">
        <f>'[1]Kutai Timur'!$G17</f>
        <v>5910</v>
      </c>
      <c r="D37" s="378">
        <f t="shared" si="0"/>
        <v>10979</v>
      </c>
      <c r="E37" s="339">
        <f>E60</f>
        <v>1062</v>
      </c>
      <c r="F37" s="340"/>
      <c r="G37" s="422">
        <f>[2]KUTIM!F18</f>
        <v>307368</v>
      </c>
      <c r="H37" s="341">
        <v>275</v>
      </c>
      <c r="I37" s="341"/>
      <c r="J37" s="341"/>
      <c r="K37" s="341"/>
      <c r="L37" s="341"/>
      <c r="M37" s="341">
        <v>322</v>
      </c>
      <c r="N37" s="342">
        <f t="shared" ref="N37:N46" si="4">H37*B37</f>
        <v>1393975</v>
      </c>
      <c r="O37" s="342">
        <f t="shared" ref="O37:P43" si="5">I37*C37</f>
        <v>0</v>
      </c>
      <c r="P37" s="344">
        <f t="shared" si="5"/>
        <v>0</v>
      </c>
      <c r="Q37" s="342">
        <f t="shared" ref="Q37:Q46" si="6">K37*E37</f>
        <v>0</v>
      </c>
      <c r="R37" s="342">
        <f t="shared" ref="R37:S46" si="7">L37*F37</f>
        <v>0</v>
      </c>
      <c r="S37" s="342">
        <f t="shared" si="7"/>
        <v>98972496</v>
      </c>
      <c r="T37" s="380">
        <f t="shared" ref="T37:T46" si="8">SUM(N37:S37)</f>
        <v>100366471</v>
      </c>
      <c r="U37" s="385">
        <f t="shared" ref="U37:U46" si="9">N37*46%</f>
        <v>641228.5</v>
      </c>
      <c r="V37" s="385">
        <f t="shared" si="2"/>
        <v>0</v>
      </c>
      <c r="W37" s="385">
        <f t="shared" si="2"/>
        <v>0</v>
      </c>
      <c r="X37" s="385">
        <f t="shared" si="2"/>
        <v>0</v>
      </c>
      <c r="Y37" s="385">
        <f t="shared" si="2"/>
        <v>0</v>
      </c>
      <c r="Z37" s="385">
        <f t="shared" si="2"/>
        <v>45527348.160000004</v>
      </c>
      <c r="AA37" s="386">
        <f t="shared" ref="AA37:AA46" si="10">T37*46%</f>
        <v>46168576.660000004</v>
      </c>
      <c r="AJ37" s="312">
        <v>8700</v>
      </c>
      <c r="AL37" s="343">
        <f t="shared" si="3"/>
        <v>0</v>
      </c>
    </row>
    <row r="38" spans="1:38" ht="15" x14ac:dyDescent="0.25">
      <c r="A38" s="377">
        <f>'Lahan sawah'!B13</f>
        <v>2013</v>
      </c>
      <c r="B38" s="420">
        <f>'[1]Kutai Timur'!$B18</f>
        <v>5072</v>
      </c>
      <c r="C38" s="421">
        <f>'[1]Kutai Timur'!$G18</f>
        <v>5047</v>
      </c>
      <c r="D38" s="378">
        <f t="shared" si="0"/>
        <v>10119</v>
      </c>
      <c r="E38" s="339">
        <f>F60</f>
        <v>833</v>
      </c>
      <c r="F38" s="340"/>
      <c r="G38" s="422">
        <f>[2]KUTIM!F19</f>
        <v>359519</v>
      </c>
      <c r="H38" s="341">
        <v>275</v>
      </c>
      <c r="I38" s="341"/>
      <c r="J38" s="341"/>
      <c r="K38" s="341"/>
      <c r="L38" s="341"/>
      <c r="M38" s="341">
        <v>322</v>
      </c>
      <c r="N38" s="342">
        <f t="shared" si="4"/>
        <v>1394800</v>
      </c>
      <c r="O38" s="342">
        <f t="shared" si="5"/>
        <v>0</v>
      </c>
      <c r="P38" s="344">
        <f t="shared" si="5"/>
        <v>0</v>
      </c>
      <c r="Q38" s="342">
        <f t="shared" si="6"/>
        <v>0</v>
      </c>
      <c r="R38" s="342">
        <f t="shared" si="7"/>
        <v>0</v>
      </c>
      <c r="S38" s="342">
        <f t="shared" si="7"/>
        <v>115765118</v>
      </c>
      <c r="T38" s="380">
        <f t="shared" si="8"/>
        <v>117159918</v>
      </c>
      <c r="U38" s="385">
        <f t="shared" si="9"/>
        <v>641608</v>
      </c>
      <c r="V38" s="385">
        <f t="shared" si="2"/>
        <v>0</v>
      </c>
      <c r="W38" s="385">
        <f t="shared" si="2"/>
        <v>0</v>
      </c>
      <c r="X38" s="385">
        <f t="shared" si="2"/>
        <v>0</v>
      </c>
      <c r="Y38" s="385">
        <f t="shared" si="2"/>
        <v>0</v>
      </c>
      <c r="Z38" s="385">
        <f t="shared" si="2"/>
        <v>53251954.280000001</v>
      </c>
      <c r="AA38" s="386">
        <f t="shared" si="10"/>
        <v>53893562.280000001</v>
      </c>
      <c r="AJ38" s="312">
        <v>8700</v>
      </c>
      <c r="AL38" s="343">
        <f t="shared" si="3"/>
        <v>0</v>
      </c>
    </row>
    <row r="39" spans="1:38" ht="15" x14ac:dyDescent="0.25">
      <c r="A39" s="377">
        <f>'Lahan sawah'!B14</f>
        <v>2014</v>
      </c>
      <c r="B39" s="420">
        <f>'[1]Kutai Timur'!$B19</f>
        <v>6071</v>
      </c>
      <c r="C39" s="421">
        <f>'[1]Kutai Timur'!$G19</f>
        <v>6343</v>
      </c>
      <c r="D39" s="378">
        <f t="shared" si="0"/>
        <v>12414</v>
      </c>
      <c r="E39" s="339">
        <f>G60</f>
        <v>1185</v>
      </c>
      <c r="F39" s="340"/>
      <c r="G39" s="422">
        <f>[2]KUTIM!F20</f>
        <v>404086</v>
      </c>
      <c r="H39" s="341">
        <v>275</v>
      </c>
      <c r="I39" s="341"/>
      <c r="J39" s="341"/>
      <c r="K39" s="341"/>
      <c r="L39" s="341"/>
      <c r="M39" s="341">
        <v>322</v>
      </c>
      <c r="N39" s="342">
        <f t="shared" si="4"/>
        <v>1669525</v>
      </c>
      <c r="O39" s="342">
        <f t="shared" si="5"/>
        <v>0</v>
      </c>
      <c r="P39" s="344">
        <f t="shared" si="5"/>
        <v>0</v>
      </c>
      <c r="Q39" s="342">
        <f t="shared" si="6"/>
        <v>0</v>
      </c>
      <c r="R39" s="342">
        <f t="shared" si="7"/>
        <v>0</v>
      </c>
      <c r="S39" s="342">
        <f t="shared" si="7"/>
        <v>130115692</v>
      </c>
      <c r="T39" s="380">
        <f t="shared" si="8"/>
        <v>131785217</v>
      </c>
      <c r="U39" s="385">
        <f t="shared" si="9"/>
        <v>767981.5</v>
      </c>
      <c r="V39" s="385">
        <f t="shared" si="2"/>
        <v>0</v>
      </c>
      <c r="W39" s="385">
        <f t="shared" si="2"/>
        <v>0</v>
      </c>
      <c r="X39" s="385">
        <f t="shared" si="2"/>
        <v>0</v>
      </c>
      <c r="Y39" s="385">
        <f t="shared" si="2"/>
        <v>0</v>
      </c>
      <c r="Z39" s="385">
        <f t="shared" si="2"/>
        <v>59853218.32</v>
      </c>
      <c r="AA39" s="386">
        <f t="shared" si="10"/>
        <v>60621199.82</v>
      </c>
      <c r="AJ39" s="312">
        <v>8700</v>
      </c>
      <c r="AL39" s="343">
        <f t="shared" si="3"/>
        <v>0</v>
      </c>
    </row>
    <row r="40" spans="1:38" ht="15" x14ac:dyDescent="0.25">
      <c r="A40" s="377">
        <f>'Lahan sawah'!B15</f>
        <v>2015</v>
      </c>
      <c r="B40" s="420">
        <f>'[1]Kutai Timur'!$B20</f>
        <v>5572</v>
      </c>
      <c r="C40" s="421">
        <f>'[1]Kutai Timur'!$G20</f>
        <v>6270</v>
      </c>
      <c r="D40" s="378">
        <f t="shared" si="0"/>
        <v>11842</v>
      </c>
      <c r="E40" s="339">
        <f>H60</f>
        <v>645</v>
      </c>
      <c r="F40" s="340"/>
      <c r="G40" s="422">
        <f>[2]KUTIM!F21</f>
        <v>424311</v>
      </c>
      <c r="H40" s="341">
        <v>275</v>
      </c>
      <c r="I40" s="341"/>
      <c r="J40" s="341"/>
      <c r="K40" s="341"/>
      <c r="L40" s="341"/>
      <c r="M40" s="341">
        <v>322</v>
      </c>
      <c r="N40" s="342">
        <f t="shared" si="4"/>
        <v>1532300</v>
      </c>
      <c r="O40" s="342">
        <f t="shared" si="5"/>
        <v>0</v>
      </c>
      <c r="P40" s="344">
        <f t="shared" si="5"/>
        <v>0</v>
      </c>
      <c r="Q40" s="342">
        <f t="shared" si="6"/>
        <v>0</v>
      </c>
      <c r="R40" s="342">
        <f t="shared" si="7"/>
        <v>0</v>
      </c>
      <c r="S40" s="342">
        <f t="shared" si="7"/>
        <v>136628142</v>
      </c>
      <c r="T40" s="380">
        <f t="shared" si="8"/>
        <v>138160442</v>
      </c>
      <c r="U40" s="385">
        <f t="shared" si="9"/>
        <v>704858</v>
      </c>
      <c r="V40" s="385">
        <f t="shared" si="2"/>
        <v>0</v>
      </c>
      <c r="W40" s="385">
        <f t="shared" si="2"/>
        <v>0</v>
      </c>
      <c r="X40" s="385">
        <f t="shared" si="2"/>
        <v>0</v>
      </c>
      <c r="Y40" s="385">
        <f t="shared" si="2"/>
        <v>0</v>
      </c>
      <c r="Z40" s="385">
        <f t="shared" si="2"/>
        <v>62848945.32</v>
      </c>
      <c r="AA40" s="386">
        <f t="shared" si="10"/>
        <v>63553803.32</v>
      </c>
      <c r="AJ40" s="312">
        <v>8700</v>
      </c>
      <c r="AL40" s="343">
        <f t="shared" si="3"/>
        <v>0</v>
      </c>
    </row>
    <row r="41" spans="1:38" ht="15" x14ac:dyDescent="0.25">
      <c r="A41" s="377">
        <f>'Lahan sawah'!B16</f>
        <v>2016</v>
      </c>
      <c r="B41" s="420">
        <f>'[1]Kutai Timur'!$B21</f>
        <v>3011</v>
      </c>
      <c r="C41" s="421">
        <f>'[1]Kutai Timur'!$G21</f>
        <v>5027</v>
      </c>
      <c r="D41" s="378">
        <f t="shared" si="0"/>
        <v>8038</v>
      </c>
      <c r="E41" s="339">
        <f>I60</f>
        <v>1243</v>
      </c>
      <c r="F41" s="340"/>
      <c r="G41" s="422">
        <f>[2]KUTIM!F22</f>
        <v>450636</v>
      </c>
      <c r="H41" s="341">
        <v>275</v>
      </c>
      <c r="I41" s="341"/>
      <c r="J41" s="341"/>
      <c r="K41" s="341"/>
      <c r="L41" s="341"/>
      <c r="M41" s="341">
        <v>0</v>
      </c>
      <c r="N41" s="342">
        <f t="shared" si="4"/>
        <v>828025</v>
      </c>
      <c r="O41" s="342">
        <f t="shared" si="5"/>
        <v>0</v>
      </c>
      <c r="P41" s="342">
        <f t="shared" si="5"/>
        <v>0</v>
      </c>
      <c r="Q41" s="342">
        <f t="shared" si="6"/>
        <v>0</v>
      </c>
      <c r="R41" s="342">
        <f t="shared" si="7"/>
        <v>0</v>
      </c>
      <c r="S41" s="342">
        <f t="shared" si="7"/>
        <v>0</v>
      </c>
      <c r="T41" s="380">
        <f t="shared" si="8"/>
        <v>828025</v>
      </c>
      <c r="U41" s="385">
        <f t="shared" si="9"/>
        <v>380891.5</v>
      </c>
      <c r="V41" s="385">
        <f t="shared" si="2"/>
        <v>0</v>
      </c>
      <c r="W41" s="385">
        <f t="shared" si="2"/>
        <v>0</v>
      </c>
      <c r="X41" s="385">
        <f t="shared" si="2"/>
        <v>0</v>
      </c>
      <c r="Y41" s="385">
        <f t="shared" si="2"/>
        <v>0</v>
      </c>
      <c r="Z41" s="385">
        <f t="shared" si="2"/>
        <v>0</v>
      </c>
      <c r="AA41" s="386">
        <f t="shared" si="10"/>
        <v>380891.5</v>
      </c>
      <c r="AJ41" s="312">
        <v>8700</v>
      </c>
      <c r="AL41" s="343">
        <f t="shared" si="3"/>
        <v>0</v>
      </c>
    </row>
    <row r="42" spans="1:38" ht="15" x14ac:dyDescent="0.25">
      <c r="A42" s="377">
        <f>'Lahan sawah'!B17</f>
        <v>2017</v>
      </c>
      <c r="B42" s="420">
        <f>'[1]Kutai Timur'!$B22</f>
        <v>6339</v>
      </c>
      <c r="C42" s="421">
        <f>'[1]Kutai Timur'!$G22</f>
        <v>6667</v>
      </c>
      <c r="D42" s="415">
        <f t="shared" si="0"/>
        <v>13006</v>
      </c>
      <c r="E42" s="416">
        <f>J60</f>
        <v>785</v>
      </c>
      <c r="F42" s="417"/>
      <c r="G42" s="422">
        <f>[2]KUTIM!F23</f>
        <v>460224.22222222225</v>
      </c>
      <c r="H42" s="384">
        <v>200</v>
      </c>
      <c r="I42" s="384"/>
      <c r="J42" s="384"/>
      <c r="K42" s="384"/>
      <c r="L42" s="384"/>
      <c r="M42" s="341">
        <v>0</v>
      </c>
      <c r="N42" s="342">
        <f t="shared" si="4"/>
        <v>1267800</v>
      </c>
      <c r="O42" s="342">
        <f t="shared" si="5"/>
        <v>0</v>
      </c>
      <c r="P42" s="342">
        <f t="shared" si="5"/>
        <v>0</v>
      </c>
      <c r="Q42" s="342">
        <f t="shared" si="6"/>
        <v>0</v>
      </c>
      <c r="R42" s="342">
        <f t="shared" si="7"/>
        <v>0</v>
      </c>
      <c r="S42" s="342">
        <f t="shared" si="7"/>
        <v>0</v>
      </c>
      <c r="T42" s="414">
        <f t="shared" si="8"/>
        <v>1267800</v>
      </c>
      <c r="U42" s="385">
        <f t="shared" si="9"/>
        <v>583188</v>
      </c>
      <c r="V42" s="385">
        <f t="shared" si="2"/>
        <v>0</v>
      </c>
      <c r="W42" s="385">
        <f t="shared" si="2"/>
        <v>0</v>
      </c>
      <c r="X42" s="385">
        <f t="shared" si="2"/>
        <v>0</v>
      </c>
      <c r="Y42" s="385">
        <f t="shared" si="2"/>
        <v>0</v>
      </c>
      <c r="Z42" s="385">
        <f t="shared" si="2"/>
        <v>0</v>
      </c>
      <c r="AA42" s="386">
        <f t="shared" si="10"/>
        <v>583188</v>
      </c>
      <c r="AJ42" s="312">
        <v>8700</v>
      </c>
      <c r="AL42" s="343">
        <f t="shared" si="3"/>
        <v>0</v>
      </c>
    </row>
    <row r="43" spans="1:38" ht="15" x14ac:dyDescent="0.25">
      <c r="A43" s="377">
        <f>'Lahan sawah'!B18</f>
        <v>2018</v>
      </c>
      <c r="B43" s="420">
        <f>'[1]Kutai Timur'!$B23</f>
        <v>6576</v>
      </c>
      <c r="C43" s="421">
        <f>'[1]Kutai Timur'!$G23</f>
        <v>6660</v>
      </c>
      <c r="D43" s="415">
        <f t="shared" si="0"/>
        <v>13236</v>
      </c>
      <c r="E43" s="416">
        <f>K60</f>
        <v>800</v>
      </c>
      <c r="F43" s="417">
        <f>D64</f>
        <v>0</v>
      </c>
      <c r="G43" s="422">
        <f>[2]KUTIM!F24</f>
        <v>470192.4444444445</v>
      </c>
      <c r="H43" s="384">
        <v>200</v>
      </c>
      <c r="I43" s="384"/>
      <c r="J43" s="384"/>
      <c r="K43" s="384"/>
      <c r="L43" s="384"/>
      <c r="M43" s="341">
        <v>0</v>
      </c>
      <c r="N43" s="342">
        <f>H43*B43</f>
        <v>1315200</v>
      </c>
      <c r="O43" s="342">
        <f t="shared" si="5"/>
        <v>0</v>
      </c>
      <c r="P43" s="342">
        <f t="shared" si="5"/>
        <v>0</v>
      </c>
      <c r="Q43" s="342">
        <f t="shared" si="6"/>
        <v>0</v>
      </c>
      <c r="R43" s="342">
        <f t="shared" si="7"/>
        <v>0</v>
      </c>
      <c r="S43" s="342">
        <f t="shared" si="7"/>
        <v>0</v>
      </c>
      <c r="T43" s="414">
        <f t="shared" si="8"/>
        <v>1315200</v>
      </c>
      <c r="U43" s="385">
        <f t="shared" si="9"/>
        <v>604992</v>
      </c>
      <c r="V43" s="385">
        <f t="shared" si="2"/>
        <v>0</v>
      </c>
      <c r="W43" s="385">
        <f t="shared" si="2"/>
        <v>0</v>
      </c>
      <c r="X43" s="385">
        <f t="shared" si="2"/>
        <v>0</v>
      </c>
      <c r="Y43" s="385">
        <f t="shared" si="2"/>
        <v>0</v>
      </c>
      <c r="Z43" s="385">
        <f t="shared" si="2"/>
        <v>0</v>
      </c>
      <c r="AA43" s="386">
        <f t="shared" si="10"/>
        <v>604992</v>
      </c>
      <c r="AJ43" s="312">
        <v>8700</v>
      </c>
      <c r="AK43" s="345" t="e">
        <f>((46/100)*AJ43)+((21/100)*#REF!)+((15/100)*#REF!)</f>
        <v>#REF!</v>
      </c>
      <c r="AL43" s="343">
        <f t="shared" si="3"/>
        <v>0</v>
      </c>
    </row>
    <row r="44" spans="1:38" ht="15" x14ac:dyDescent="0.25">
      <c r="A44" s="377">
        <f>'Lahan sawah'!B19</f>
        <v>2019</v>
      </c>
      <c r="B44" s="420">
        <f>'[1]Kutai Timur'!$B24</f>
        <v>7253</v>
      </c>
      <c r="C44" s="421">
        <f>'[1]Kutai Timur'!$G24</f>
        <v>6653</v>
      </c>
      <c r="D44" s="415">
        <f t="shared" si="0"/>
        <v>13906</v>
      </c>
      <c r="E44" s="416">
        <f>L60</f>
        <v>825</v>
      </c>
      <c r="F44" s="416">
        <f>E64</f>
        <v>0</v>
      </c>
      <c r="G44" s="422">
        <f>[2]KUTIM!F25</f>
        <v>480160.66666666674</v>
      </c>
      <c r="H44" s="384">
        <v>200</v>
      </c>
      <c r="I44" s="384"/>
      <c r="J44" s="384"/>
      <c r="K44" s="384"/>
      <c r="L44" s="384"/>
      <c r="M44" s="341">
        <v>0</v>
      </c>
      <c r="N44" s="342">
        <f t="shared" si="4"/>
        <v>1450600</v>
      </c>
      <c r="O44" s="342">
        <f>I44*C44</f>
        <v>0</v>
      </c>
      <c r="P44" s="342">
        <f t="shared" ref="P44:P46" si="11">J44*D44</f>
        <v>0</v>
      </c>
      <c r="Q44" s="342">
        <f t="shared" si="6"/>
        <v>0</v>
      </c>
      <c r="R44" s="342">
        <f t="shared" si="7"/>
        <v>0</v>
      </c>
      <c r="S44" s="342">
        <f t="shared" si="7"/>
        <v>0</v>
      </c>
      <c r="T44" s="414">
        <f t="shared" si="8"/>
        <v>1450600</v>
      </c>
      <c r="U44" s="385">
        <f t="shared" si="9"/>
        <v>667276</v>
      </c>
      <c r="V44" s="385">
        <f t="shared" si="2"/>
        <v>0</v>
      </c>
      <c r="W44" s="385">
        <f t="shared" si="2"/>
        <v>0</v>
      </c>
      <c r="X44" s="385">
        <f t="shared" si="2"/>
        <v>0</v>
      </c>
      <c r="Y44" s="385">
        <f t="shared" si="2"/>
        <v>0</v>
      </c>
      <c r="Z44" s="385">
        <f t="shared" si="2"/>
        <v>0</v>
      </c>
      <c r="AA44" s="386">
        <f t="shared" si="10"/>
        <v>667276</v>
      </c>
      <c r="AJ44" s="312">
        <v>8700</v>
      </c>
      <c r="AK44" s="345" t="e">
        <f>((46/100)*AJ44)+((21/100)*#REF!)+((15/100)*#REF!)</f>
        <v>#REF!</v>
      </c>
      <c r="AL44" s="343">
        <f t="shared" si="3"/>
        <v>0</v>
      </c>
    </row>
    <row r="45" spans="1:38" ht="15" x14ac:dyDescent="0.25">
      <c r="A45" s="377">
        <f>'Lahan sawah'!B20</f>
        <v>2020</v>
      </c>
      <c r="B45" s="420">
        <f>'[1]Kutai Timur'!$B25</f>
        <v>7620</v>
      </c>
      <c r="C45" s="421">
        <f>'[1]Kutai Timur'!$G25</f>
        <v>6800</v>
      </c>
      <c r="D45" s="415">
        <f t="shared" si="0"/>
        <v>14420</v>
      </c>
      <c r="E45" s="416">
        <f>M60</f>
        <v>870</v>
      </c>
      <c r="F45" s="416">
        <f>F64</f>
        <v>0</v>
      </c>
      <c r="G45" s="422">
        <f>[2]KUTIM!F26</f>
        <v>490128.88888888899</v>
      </c>
      <c r="H45" s="384">
        <v>200</v>
      </c>
      <c r="I45" s="384"/>
      <c r="J45" s="384"/>
      <c r="K45" s="384"/>
      <c r="L45" s="384"/>
      <c r="M45" s="341">
        <v>0</v>
      </c>
      <c r="N45" s="342">
        <f t="shared" si="4"/>
        <v>1524000</v>
      </c>
      <c r="O45" s="342">
        <f>I45*C45</f>
        <v>0</v>
      </c>
      <c r="P45" s="342">
        <f t="shared" si="11"/>
        <v>0</v>
      </c>
      <c r="Q45" s="342">
        <f t="shared" si="6"/>
        <v>0</v>
      </c>
      <c r="R45" s="342">
        <f t="shared" si="7"/>
        <v>0</v>
      </c>
      <c r="S45" s="342">
        <f t="shared" si="7"/>
        <v>0</v>
      </c>
      <c r="T45" s="414">
        <f t="shared" si="8"/>
        <v>1524000</v>
      </c>
      <c r="U45" s="385">
        <f t="shared" si="9"/>
        <v>701040</v>
      </c>
      <c r="V45" s="385">
        <f t="shared" si="2"/>
        <v>0</v>
      </c>
      <c r="W45" s="385">
        <f t="shared" si="2"/>
        <v>0</v>
      </c>
      <c r="X45" s="385">
        <f t="shared" si="2"/>
        <v>0</v>
      </c>
      <c r="Y45" s="385">
        <f t="shared" si="2"/>
        <v>0</v>
      </c>
      <c r="Z45" s="385">
        <f t="shared" si="2"/>
        <v>0</v>
      </c>
      <c r="AA45" s="386">
        <f t="shared" si="10"/>
        <v>701040</v>
      </c>
      <c r="AJ45" s="312">
        <v>8700</v>
      </c>
      <c r="AK45" s="345" t="e">
        <f>((46/100)*AJ45)+((21/100)*#REF!)+((15/100)*#REF!)</f>
        <v>#REF!</v>
      </c>
      <c r="AL45" s="343">
        <f t="shared" si="3"/>
        <v>0</v>
      </c>
    </row>
    <row r="46" spans="1:38" x14ac:dyDescent="0.25">
      <c r="A46" s="377">
        <f>'Lahan sawah'!B21</f>
        <v>2021</v>
      </c>
      <c r="B46" s="400"/>
      <c r="C46" s="400"/>
      <c r="D46" s="418">
        <f t="shared" ref="D46" si="12">B46+C46</f>
        <v>0</v>
      </c>
      <c r="E46" s="419"/>
      <c r="F46" s="416">
        <f>G64</f>
        <v>0</v>
      </c>
      <c r="G46" s="384"/>
      <c r="H46" s="384">
        <v>200</v>
      </c>
      <c r="I46" s="384"/>
      <c r="J46" s="384"/>
      <c r="K46" s="384"/>
      <c r="L46" s="384"/>
      <c r="M46" s="341">
        <v>0</v>
      </c>
      <c r="N46" s="342">
        <f t="shared" si="4"/>
        <v>0</v>
      </c>
      <c r="O46" s="342">
        <f>I46*C46</f>
        <v>0</v>
      </c>
      <c r="P46" s="342">
        <f t="shared" si="11"/>
        <v>0</v>
      </c>
      <c r="Q46" s="342">
        <f t="shared" si="6"/>
        <v>0</v>
      </c>
      <c r="R46" s="342">
        <f t="shared" si="7"/>
        <v>0</v>
      </c>
      <c r="S46" s="342">
        <f t="shared" si="7"/>
        <v>0</v>
      </c>
      <c r="T46" s="414">
        <f t="shared" si="8"/>
        <v>0</v>
      </c>
      <c r="U46" s="385">
        <f t="shared" si="9"/>
        <v>0</v>
      </c>
      <c r="V46" s="385">
        <f t="shared" si="2"/>
        <v>0</v>
      </c>
      <c r="W46" s="385">
        <f t="shared" si="2"/>
        <v>0</v>
      </c>
      <c r="X46" s="385">
        <f t="shared" si="2"/>
        <v>0</v>
      </c>
      <c r="Y46" s="385">
        <f t="shared" si="2"/>
        <v>0</v>
      </c>
      <c r="Z46" s="385">
        <f t="shared" si="2"/>
        <v>0</v>
      </c>
      <c r="AA46" s="386">
        <f t="shared" si="10"/>
        <v>0</v>
      </c>
      <c r="AJ46" s="312">
        <v>8700</v>
      </c>
      <c r="AK46" s="345" t="e">
        <f>((46/100)*AJ46)+((21/100)*#REF!)+((15/100)*#REF!)</f>
        <v>#REF!</v>
      </c>
      <c r="AL46" s="343">
        <f t="shared" si="3"/>
        <v>0</v>
      </c>
    </row>
    <row r="47" spans="1:38" x14ac:dyDescent="0.25">
      <c r="A47" s="377">
        <f>'Lahan sawah'!B22</f>
        <v>0</v>
      </c>
      <c r="B47" s="346"/>
      <c r="C47" s="346"/>
      <c r="D47" s="347"/>
      <c r="E47" s="346"/>
      <c r="F47" s="346"/>
      <c r="G47" s="346"/>
      <c r="H47" s="341"/>
      <c r="I47" s="341"/>
      <c r="J47" s="341"/>
      <c r="K47" s="341"/>
      <c r="L47" s="341"/>
      <c r="M47" s="341"/>
      <c r="N47" s="338"/>
      <c r="O47" s="338"/>
      <c r="P47" s="338"/>
      <c r="Q47" s="338"/>
      <c r="R47" s="338"/>
      <c r="S47" s="338"/>
      <c r="T47" s="338"/>
      <c r="U47" s="384"/>
      <c r="V47" s="384"/>
      <c r="W47" s="384"/>
      <c r="X47" s="384"/>
      <c r="Y47" s="384"/>
      <c r="Z47" s="384"/>
      <c r="AA47" s="384"/>
    </row>
    <row r="48" spans="1:38" x14ac:dyDescent="0.25">
      <c r="A48" s="377">
        <f>'Lahan sawah'!B23</f>
        <v>0</v>
      </c>
      <c r="B48" s="346"/>
      <c r="C48" s="346"/>
      <c r="D48" s="347"/>
      <c r="E48" s="346"/>
      <c r="F48" s="346"/>
      <c r="G48" s="346"/>
      <c r="H48" s="341"/>
      <c r="I48" s="341"/>
      <c r="J48" s="341"/>
      <c r="K48" s="341"/>
      <c r="L48" s="341"/>
      <c r="M48" s="341"/>
      <c r="N48" s="338"/>
      <c r="O48" s="338"/>
      <c r="P48" s="338"/>
      <c r="Q48" s="338"/>
      <c r="R48" s="338"/>
      <c r="S48" s="338"/>
      <c r="T48" s="338"/>
      <c r="U48" s="384"/>
      <c r="V48" s="384"/>
      <c r="W48" s="384"/>
      <c r="X48" s="384"/>
      <c r="Y48" s="384"/>
      <c r="Z48" s="384"/>
      <c r="AA48" s="384"/>
    </row>
    <row r="49" spans="1:27" x14ac:dyDescent="0.25">
      <c r="A49" s="377">
        <f>'Lahan sawah'!B24</f>
        <v>0</v>
      </c>
      <c r="B49" s="346"/>
      <c r="C49" s="346"/>
      <c r="D49" s="347"/>
      <c r="E49" s="346"/>
      <c r="F49" s="346"/>
      <c r="G49" s="346"/>
      <c r="H49" s="341"/>
      <c r="I49" s="341"/>
      <c r="J49" s="341"/>
      <c r="K49" s="341"/>
      <c r="L49" s="341"/>
      <c r="M49" s="341"/>
      <c r="N49" s="338"/>
      <c r="O49" s="338"/>
      <c r="P49" s="338"/>
      <c r="Q49" s="338"/>
      <c r="R49" s="338"/>
      <c r="S49" s="338"/>
      <c r="T49" s="338"/>
      <c r="U49" s="384"/>
      <c r="V49" s="384"/>
      <c r="W49" s="384"/>
      <c r="X49" s="384"/>
      <c r="Y49" s="384"/>
      <c r="Z49" s="384"/>
      <c r="AA49" s="384"/>
    </row>
    <row r="51" spans="1:27" ht="15" customHeight="1" x14ac:dyDescent="0.25">
      <c r="C51" s="346"/>
      <c r="D51" s="484" t="s">
        <v>410</v>
      </c>
      <c r="E51" s="484"/>
      <c r="F51" s="484"/>
      <c r="G51" s="484"/>
      <c r="H51" s="484"/>
      <c r="I51" s="484"/>
      <c r="J51" s="484"/>
      <c r="K51" s="484"/>
      <c r="L51" s="484"/>
      <c r="M51" s="484"/>
    </row>
    <row r="52" spans="1:27" x14ac:dyDescent="0.25">
      <c r="A52" s="379"/>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2" t="s">
        <v>422</v>
      </c>
    </row>
    <row r="53" spans="1:27" ht="15" x14ac:dyDescent="0.25">
      <c r="A53" s="379"/>
      <c r="C53" s="346" t="s">
        <v>408</v>
      </c>
      <c r="D53" s="401">
        <f>'[1]Kutai Timur'!$Z$16</f>
        <v>538</v>
      </c>
      <c r="E53" s="401">
        <f>'[1]Kutai Timur'!$Z$17</f>
        <v>275</v>
      </c>
      <c r="F53" s="401">
        <f>'[1]Kutai Timur'!$Z$18</f>
        <v>299</v>
      </c>
      <c r="G53" s="401">
        <f>'[1]Kutai Timur'!$Z$19</f>
        <v>452</v>
      </c>
      <c r="H53" s="401">
        <f>'[1]Kutai Timur'!$Z$20</f>
        <v>160</v>
      </c>
      <c r="I53" s="401">
        <f>'[1]Kutai Timur'!$Z$21</f>
        <v>628</v>
      </c>
      <c r="J53" s="401">
        <f>'[1]Kutai Timur'!$Z$22</f>
        <v>200</v>
      </c>
      <c r="K53" s="401">
        <f>'[1]Kutai Timur'!$Z$23</f>
        <v>200</v>
      </c>
      <c r="L53" s="401">
        <f>'[1]Kutai Timur'!$Z$24</f>
        <v>200</v>
      </c>
      <c r="M53" s="401">
        <f>'[1]Kutai Timur'!$Z$25</f>
        <v>200</v>
      </c>
      <c r="N53" s="312" t="s">
        <v>421</v>
      </c>
    </row>
    <row r="54" spans="1:27" ht="15" x14ac:dyDescent="0.25">
      <c r="A54" s="379"/>
      <c r="C54" s="346" t="s">
        <v>409</v>
      </c>
      <c r="D54" s="401">
        <f>'[1]Kutai Timur'!$AD$16</f>
        <v>257</v>
      </c>
      <c r="E54" s="401">
        <f>'[1]Kutai Timur'!$AD$17</f>
        <v>70</v>
      </c>
      <c r="F54" s="401">
        <f>'[1]Kutai Timur'!$AD$18</f>
        <v>49</v>
      </c>
      <c r="G54" s="401">
        <f>'[1]Kutai Timur'!$AD$19</f>
        <v>90</v>
      </c>
      <c r="H54" s="401">
        <f>'[1]Kutai Timur'!$AD$20</f>
        <v>39</v>
      </c>
      <c r="I54" s="401">
        <f>'[1]Kutai Timur'!$AD$21</f>
        <v>55</v>
      </c>
      <c r="J54" s="401">
        <f>'[1]Kutai Timur'!$AD$22</f>
        <v>50</v>
      </c>
      <c r="K54" s="401">
        <f>'[1]Kutai Timur'!$AD$23</f>
        <v>50</v>
      </c>
      <c r="L54" s="401">
        <f>'[1]Kutai Timur'!$AD$24</f>
        <v>50</v>
      </c>
      <c r="M54" s="401">
        <f>'[1]Kutai Timur'!$AD$25</f>
        <v>50</v>
      </c>
    </row>
    <row r="55" spans="1:27" ht="15" x14ac:dyDescent="0.25">
      <c r="A55" s="379"/>
      <c r="C55" s="346" t="s">
        <v>412</v>
      </c>
      <c r="D55" s="401">
        <f>'[1]Kutai Timur'!$AC$16</f>
        <v>200</v>
      </c>
      <c r="E55" s="401">
        <f>'[1]Kutai Timur'!$AC$17</f>
        <v>195</v>
      </c>
      <c r="F55" s="401">
        <f>'[1]Kutai Timur'!$AC$18</f>
        <v>144</v>
      </c>
      <c r="G55" s="401">
        <f>'[1]Kutai Timur'!$AC$19</f>
        <v>192</v>
      </c>
      <c r="H55" s="401">
        <f>'[1]Kutai Timur'!$AC$20</f>
        <v>94</v>
      </c>
      <c r="I55" s="401">
        <f>'[1]Kutai Timur'!$AC$21</f>
        <v>16</v>
      </c>
      <c r="J55" s="401">
        <f>'[1]Kutai Timur'!$AC$22</f>
        <v>125</v>
      </c>
      <c r="K55" s="401">
        <f>'[1]Kutai Timur'!$AC$23</f>
        <v>130</v>
      </c>
      <c r="L55" s="401">
        <f>'[1]Kutai Timur'!$AC$24</f>
        <v>140</v>
      </c>
      <c r="M55" s="401">
        <f>'[1]Kutai Timur'!$AC$25</f>
        <v>150</v>
      </c>
    </row>
    <row r="56" spans="1:27" ht="15" x14ac:dyDescent="0.25">
      <c r="A56" s="379"/>
      <c r="C56" s="346" t="s">
        <v>413</v>
      </c>
      <c r="D56" s="401">
        <f>'[1]Kutai Timur'!$AE$16</f>
        <v>67</v>
      </c>
      <c r="E56" s="401">
        <f>'[1]Kutai Timur'!$AE$17</f>
        <v>44</v>
      </c>
      <c r="F56" s="401">
        <f>'[1]Kutai Timur'!$AE$18</f>
        <v>44</v>
      </c>
      <c r="G56" s="401">
        <f>'[1]Kutai Timur'!$AE$19</f>
        <v>57</v>
      </c>
      <c r="H56" s="401">
        <f>'[1]Kutai Timur'!$AE$20</f>
        <v>28</v>
      </c>
      <c r="I56" s="401">
        <f>'[1]Kutai Timur'!$AE$21</f>
        <v>82</v>
      </c>
      <c r="J56" s="401">
        <f>'[1]Kutai Timur'!$AE$22</f>
        <v>50</v>
      </c>
      <c r="K56" s="401">
        <f>'[1]Kutai Timur'!$AE$23</f>
        <v>50</v>
      </c>
      <c r="L56" s="401">
        <f>'[1]Kutai Timur'!$AE$24</f>
        <v>50</v>
      </c>
      <c r="M56" s="401">
        <f>'[1]Kutai Timur'!$AE$25</f>
        <v>50</v>
      </c>
    </row>
    <row r="57" spans="1:27" ht="15" x14ac:dyDescent="0.25">
      <c r="A57" s="379"/>
      <c r="C57" s="346" t="s">
        <v>411</v>
      </c>
      <c r="D57" s="401">
        <f>'[1]Kutai Timur'!$AA$16</f>
        <v>299</v>
      </c>
      <c r="E57" s="401">
        <f>'[1]Kutai Timur'!$AA$17</f>
        <v>288</v>
      </c>
      <c r="F57" s="401">
        <f>'[1]Kutai Timur'!$AA$18</f>
        <v>204</v>
      </c>
      <c r="G57" s="401">
        <f>'[1]Kutai Timur'!$AA$19</f>
        <v>279</v>
      </c>
      <c r="H57" s="401">
        <f>'[1]Kutai Timur'!$AA$20</f>
        <v>226</v>
      </c>
      <c r="I57" s="401">
        <f>'[1]Kutai Timur'!$AA$21</f>
        <v>403</v>
      </c>
      <c r="J57" s="401">
        <f>'[1]Kutai Timur'!$AA$22</f>
        <v>255</v>
      </c>
      <c r="K57" s="401">
        <f>'[1]Kutai Timur'!$AA$23</f>
        <v>260</v>
      </c>
      <c r="L57" s="401">
        <f>'[1]Kutai Timur'!$AA$24</f>
        <v>270</v>
      </c>
      <c r="M57" s="401">
        <f>'[1]Kutai Timur'!$AA$25</f>
        <v>300</v>
      </c>
    </row>
    <row r="58" spans="1:27" ht="15" x14ac:dyDescent="0.25">
      <c r="C58" s="346" t="s">
        <v>414</v>
      </c>
      <c r="D58" s="402">
        <f>'[1]Kutai Timur'!$AB$16</f>
        <v>191</v>
      </c>
      <c r="E58" s="402">
        <f>'[1]Kutai Timur'!$AB$17</f>
        <v>190</v>
      </c>
      <c r="F58" s="402">
        <f>'[1]Kutai Timur'!$AB$18</f>
        <v>93</v>
      </c>
      <c r="G58" s="402">
        <f>'[1]Kutai Timur'!$AB$19</f>
        <v>115</v>
      </c>
      <c r="H58" s="402">
        <f>'[1]Kutai Timur'!$AB$20</f>
        <v>98</v>
      </c>
      <c r="I58" s="402">
        <f>'[1]Kutai Timur'!$AB$21</f>
        <v>59</v>
      </c>
      <c r="J58" s="402">
        <f>'[1]Kutai Timur'!$AB$22</f>
        <v>105</v>
      </c>
      <c r="K58" s="402">
        <f>'[1]Kutai Timur'!$AB$23</f>
        <v>110</v>
      </c>
      <c r="L58" s="402">
        <f>'[1]Kutai Timur'!$AB$24</f>
        <v>115</v>
      </c>
      <c r="M58" s="402">
        <f>'[1]Kutai Timur'!$AB$25</f>
        <v>120</v>
      </c>
    </row>
    <row r="59" spans="1:27" ht="15" x14ac:dyDescent="0.25">
      <c r="C59" s="346" t="s">
        <v>415</v>
      </c>
      <c r="D59" s="403"/>
      <c r="E59" s="403"/>
      <c r="F59" s="404"/>
      <c r="G59" s="404"/>
      <c r="H59" s="404"/>
      <c r="I59" s="404"/>
      <c r="J59" s="404"/>
      <c r="K59" s="404"/>
      <c r="L59" s="404"/>
      <c r="M59" s="404"/>
    </row>
    <row r="60" spans="1:27" s="351" customFormat="1" x14ac:dyDescent="0.25">
      <c r="A60" s="350"/>
      <c r="C60" s="352" t="s">
        <v>416</v>
      </c>
      <c r="D60" s="353">
        <f>SUM(D53:D59)</f>
        <v>1552</v>
      </c>
      <c r="E60" s="353">
        <f t="shared" ref="E60:G60" si="13">SUM(E53:E59)</f>
        <v>1062</v>
      </c>
      <c r="F60" s="353">
        <f t="shared" si="13"/>
        <v>833</v>
      </c>
      <c r="G60" s="353">
        <f t="shared" si="13"/>
        <v>1185</v>
      </c>
      <c r="H60" s="353">
        <f t="shared" ref="H60:M60" si="14">SUM(H53:H59)</f>
        <v>645</v>
      </c>
      <c r="I60" s="353">
        <f t="shared" si="14"/>
        <v>1243</v>
      </c>
      <c r="J60" s="353">
        <f t="shared" si="14"/>
        <v>785</v>
      </c>
      <c r="K60" s="353">
        <f t="shared" si="14"/>
        <v>800</v>
      </c>
      <c r="L60" s="353">
        <f t="shared" si="14"/>
        <v>825</v>
      </c>
      <c r="M60" s="353">
        <f t="shared" si="14"/>
        <v>870</v>
      </c>
    </row>
    <row r="62" spans="1:27" ht="15" customHeight="1" x14ac:dyDescent="0.25">
      <c r="C62" s="346"/>
      <c r="D62" s="484" t="s">
        <v>410</v>
      </c>
      <c r="E62" s="484"/>
      <c r="F62" s="484"/>
      <c r="G62" s="484"/>
      <c r="H62" s="484"/>
      <c r="I62" s="484"/>
      <c r="J62" s="484"/>
      <c r="K62" s="484"/>
      <c r="L62" s="484"/>
      <c r="M62" s="484"/>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9"/>
      <c r="E64" s="339"/>
      <c r="F64" s="339"/>
      <c r="G64" s="339"/>
      <c r="H64" s="339"/>
      <c r="I64" s="339"/>
      <c r="J64" s="339"/>
      <c r="K64" s="339"/>
      <c r="L64" s="339"/>
      <c r="M64" s="339"/>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2017-09-27T01:39:38Z</dcterms:modified>
</cp:coreProperties>
</file>