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GIZ_GELAMAI\8_RAD GRK Revisi\Perhitungan BAU Baseline dan Mitigasi_Hitung Ulang\Pertanian\D_Gabung BAU dan SPE\"/>
    </mc:Choice>
  </mc:AlternateContent>
  <bookViews>
    <workbookView xWindow="0" yWindow="0" windowWidth="28800" windowHeight="12210" tabRatio="836" firstSheet="2" activeTab="4"/>
  </bookViews>
  <sheets>
    <sheet name="Emisi GRK" sheetId="10" r:id="rId1"/>
    <sheet name="Rekab Kab" sheetId="9" r:id="rId2"/>
    <sheet name="Kalimantan Timur" sheetId="1" r:id="rId3"/>
    <sheet name="Berau" sheetId="2" r:id="rId4"/>
    <sheet name="Kutai Timur" sheetId="4" r:id="rId5"/>
    <sheet name="Kutai Kartanegara" sheetId="3" r:id="rId6"/>
    <sheet name="Kutai Barat" sheetId="5" r:id="rId7"/>
    <sheet name="Paser" sheetId="6" r:id="rId8"/>
    <sheet name="PPU" sheetId="7" r:id="rId9"/>
    <sheet name="Mahulu" sheetId="8" r:id="rId10"/>
  </sheets>
  <externalReferences>
    <externalReference r:id="rId11"/>
    <externalReference r:id="rId12"/>
  </externalReferences>
  <definedNames>
    <definedName name="bdieselch4">#REF!</definedName>
    <definedName name="bdieselco2">#REF!</definedName>
    <definedName name="bdieselco2e">#REF!</definedName>
    <definedName name="bdieseln2o">#REF!</definedName>
    <definedName name="biodiesel_transp_ch4">#REF!</definedName>
    <definedName name="biodiesel_transp_co2e">#REF!</definedName>
    <definedName name="biodiesel_transp_n2o">#REF!</definedName>
    <definedName name="Biopertamax_transport_ch4">#REF!</definedName>
    <definedName name="Biopertamax_transport_co2e">#REF!</definedName>
    <definedName name="Biopertamax_transport_n2o">#REF!</definedName>
    <definedName name="Biosolar">#REF!</definedName>
    <definedName name="buildingsco2e">#REF!</definedName>
    <definedName name="buildingscost">#REF!</definedName>
    <definedName name="CH4_fraction">'[1]PARAMETER SAMPAH'!$E$51</definedName>
    <definedName name="city">'[1]PARAMETER SAMPAH'!$D$2</definedName>
    <definedName name="coalch4">#REF!</definedName>
    <definedName name="coalco2">#REF!</definedName>
    <definedName name="coalco2e">#REF!</definedName>
    <definedName name="coaln2o">#REF!</definedName>
    <definedName name="conv">'[1]PARAMETER SAMPAH'!$E$53</definedName>
    <definedName name="corpyear">#REF!</definedName>
    <definedName name="country">'[1]PARAMETER SAMPAH'!$D$4</definedName>
    <definedName name="diesel_bangunanch4">#REF!</definedName>
    <definedName name="diesel_bangunanco2e">#REF!</definedName>
    <definedName name="diesel_transp_CH4">#REF!</definedName>
    <definedName name="diesel_transp_co2e">#REF!</definedName>
    <definedName name="diesel_transp_N2O">#REF!</definedName>
    <definedName name="dieselch4">#REF!</definedName>
    <definedName name="dieselco2">#REF!</definedName>
    <definedName name="dieselco2e">#REF!</definedName>
    <definedName name="dieseln2o">#REF!</definedName>
    <definedName name="DOC_table">[1]Defaults!$P$6:$S$20</definedName>
    <definedName name="DOCF">'[1]PARAMETER SAMPAH'!$E$30</definedName>
    <definedName name="elecco2e">#REF!</definedName>
    <definedName name="fueloilco2e">#REF!</definedName>
    <definedName name="gasolinech4">#REF!</definedName>
    <definedName name="gasolineco2">#REF!</definedName>
    <definedName name="gasolineco2e">#REF!</definedName>
    <definedName name="gasolineethanolch4">#REF!</definedName>
    <definedName name="gasolineethanolco2">#REF!</definedName>
    <definedName name="gasolineethanolco2e">#REF!</definedName>
    <definedName name="gasolineethanoln2o">#REF!</definedName>
    <definedName name="gasolinen2o">#REF!</definedName>
    <definedName name="half_life">[1]Defaults!$D$8:$K$12</definedName>
    <definedName name="kerosene_bangunanch4">#REF!</definedName>
    <definedName name="kerosene_bangunann2o">#REF!</definedName>
    <definedName name="kerosenech4">#REF!</definedName>
    <definedName name="keroseneco2">#REF!</definedName>
    <definedName name="keroseneco2e">#REF!</definedName>
    <definedName name="kerosenen2o">#REF!</definedName>
    <definedName name="lpg_bangunan_co2e">#REF!</definedName>
    <definedName name="lpg_transp_co2e">#REF!</definedName>
    <definedName name="lpgbangunan_ch4">#REF!</definedName>
    <definedName name="lpgch4">#REF!</definedName>
    <definedName name="lpgco2">#REF!</definedName>
    <definedName name="lpgco2e">#REF!</definedName>
    <definedName name="lpgn2o">#REF!</definedName>
    <definedName name="mfoch4">#REF!</definedName>
    <definedName name="mfoco2">#REF!</definedName>
    <definedName name="mfon2o">#REF!</definedName>
    <definedName name="natgas_bangunanch4">#REF!</definedName>
    <definedName name="natgas_bangunanco2e">#REF!</definedName>
    <definedName name="natgas_bangunann2o">#REF!</definedName>
    <definedName name="natgasch4">#REF!</definedName>
    <definedName name="natgasco2">#REF!</definedName>
    <definedName name="natgasco2e">#REF!</definedName>
    <definedName name="natgasn2o">#REF!</definedName>
    <definedName name="ox">'[1]PARAMETER SAMPAH'!$E$55</definedName>
    <definedName name="Premium_Catalyst_CH4">#REF!</definedName>
    <definedName name="Premium_Catalyst_N2O">#REF!</definedName>
    <definedName name="premium_uncontrolled_co2e">#REF!</definedName>
    <definedName name="premium_uncontrolledCH4">#REF!</definedName>
    <definedName name="premium_uncontrolledN2O">#REF!</definedName>
    <definedName name="province">'[1]PARAMETER SAMPAH'!$D$3</definedName>
    <definedName name="Select2">[1]Defaults!$O$23</definedName>
    <definedName name="Select3">[1]Defaults!$W$5</definedName>
    <definedName name="selected">[1]Defaults!$G$17</definedName>
    <definedName name="streetlightsco2e">#REF!</definedName>
    <definedName name="streetlightscost">#REF!</definedName>
    <definedName name="vehiclefleetco2e">#REF!</definedName>
    <definedName name="vehiclefleetcost">#REF!</definedName>
    <definedName name="waterandsewageco2e">#REF!</definedName>
    <definedName name="waterandsewagecost">#REF!</definedName>
    <definedName name="woodco2e">#REF!</definedName>
    <definedName name="year">'[1]PARAMETER SAMPAH'!$E$11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9" i="9" l="1"/>
  <c r="B30" i="1" l="1"/>
  <c r="B28" i="1" l="1"/>
  <c r="O25" i="9"/>
  <c r="L25" i="9"/>
  <c r="B27" i="1"/>
  <c r="C42" i="1"/>
  <c r="E48" i="9" l="1"/>
  <c r="D48" i="9"/>
  <c r="C48" i="9"/>
  <c r="B48" i="9"/>
  <c r="C40" i="1" l="1"/>
  <c r="S24" i="1" l="1"/>
  <c r="W23" i="1"/>
  <c r="V23" i="1"/>
  <c r="U23" i="1"/>
  <c r="T23" i="1"/>
  <c r="S23" i="1"/>
  <c r="R23" i="1"/>
  <c r="W22" i="1"/>
  <c r="V22" i="1"/>
  <c r="U22" i="1"/>
  <c r="T22" i="1"/>
  <c r="T24" i="1" s="1"/>
  <c r="S22" i="1"/>
  <c r="R22" i="1"/>
  <c r="W21" i="1"/>
  <c r="W24" i="1" s="1"/>
  <c r="V21" i="1"/>
  <c r="V24" i="1" s="1"/>
  <c r="U21" i="1"/>
  <c r="U24" i="1" s="1"/>
  <c r="T21" i="1"/>
  <c r="S21" i="1"/>
  <c r="R21" i="1"/>
  <c r="R24" i="1" s="1"/>
  <c r="B23" i="1"/>
  <c r="B22" i="1"/>
  <c r="B21" i="1"/>
  <c r="W20" i="1"/>
  <c r="V20" i="1"/>
  <c r="U20" i="1"/>
  <c r="T20" i="1"/>
  <c r="S20" i="1"/>
  <c r="R20" i="1"/>
  <c r="B20" i="1"/>
  <c r="S19" i="1"/>
  <c r="T19" i="1"/>
  <c r="U19" i="1"/>
  <c r="V19" i="1"/>
  <c r="W19" i="1"/>
  <c r="R19" i="1"/>
  <c r="B19" i="1"/>
  <c r="B19" i="2" l="1"/>
  <c r="O3" i="2" l="1"/>
  <c r="B35" i="2" l="1"/>
  <c r="B36" i="10" l="1"/>
  <c r="B35" i="10"/>
  <c r="B39" i="10"/>
  <c r="B40" i="1"/>
  <c r="I46" i="1" l="1"/>
  <c r="S9" i="2" l="1"/>
  <c r="R9" i="2"/>
  <c r="P3" i="8"/>
  <c r="P3" i="7"/>
  <c r="P3" i="6"/>
  <c r="P3" i="5"/>
  <c r="P3" i="3"/>
  <c r="P3" i="4"/>
  <c r="P3" i="2"/>
  <c r="P9" i="2"/>
  <c r="A42" i="9" l="1"/>
  <c r="A43" i="9"/>
  <c r="A44" i="9"/>
  <c r="A45" i="9"/>
  <c r="A46" i="9"/>
  <c r="A47" i="9"/>
  <c r="A48" i="9"/>
  <c r="A41" i="9"/>
  <c r="A30" i="9"/>
  <c r="A31" i="9"/>
  <c r="A32" i="9"/>
  <c r="A33" i="9"/>
  <c r="A34" i="9"/>
  <c r="A35" i="9"/>
  <c r="A36" i="9"/>
  <c r="A29" i="9"/>
  <c r="B27" i="8" l="1"/>
  <c r="B28" i="8" s="1"/>
  <c r="B19" i="8"/>
  <c r="B20" i="8" s="1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B27" i="7"/>
  <c r="B28" i="7" s="1"/>
  <c r="B21" i="7"/>
  <c r="B19" i="7"/>
  <c r="B20" i="7" s="1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B27" i="6"/>
  <c r="B28" i="6" s="1"/>
  <c r="B21" i="6"/>
  <c r="B19" i="6"/>
  <c r="B20" i="6" s="1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B27" i="5"/>
  <c r="B28" i="5" s="1"/>
  <c r="B19" i="5"/>
  <c r="B20" i="5" s="1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B27" i="3"/>
  <c r="B28" i="3" s="1"/>
  <c r="B19" i="3"/>
  <c r="B20" i="3" s="1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27" i="4"/>
  <c r="B28" i="4" s="1"/>
  <c r="B19" i="4"/>
  <c r="B20" i="4" s="1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B27" i="2"/>
  <c r="B28" i="2" s="1"/>
  <c r="B20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C25" i="9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B17" i="1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O34" i="10"/>
  <c r="P34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B34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E19" i="10"/>
  <c r="I19" i="10" s="1"/>
  <c r="J19" i="10" s="1"/>
  <c r="K19" i="10" s="1"/>
  <c r="E23" i="10"/>
  <c r="M23" i="10" s="1"/>
  <c r="N23" i="10" s="1"/>
  <c r="O23" i="10" s="1"/>
  <c r="E27" i="10"/>
  <c r="M27" i="10" s="1"/>
  <c r="N27" i="10" s="1"/>
  <c r="O27" i="10" s="1"/>
  <c r="E31" i="10"/>
  <c r="I31" i="10" s="1"/>
  <c r="J31" i="10" s="1"/>
  <c r="K31" i="10" s="1"/>
  <c r="D18" i="10"/>
  <c r="G18" i="10" s="1"/>
  <c r="D19" i="10"/>
  <c r="G19" i="10" s="1"/>
  <c r="D20" i="10"/>
  <c r="E20" i="10" s="1"/>
  <c r="D21" i="10"/>
  <c r="E21" i="10" s="1"/>
  <c r="D22" i="10"/>
  <c r="G22" i="10" s="1"/>
  <c r="D23" i="10"/>
  <c r="G23" i="10" s="1"/>
  <c r="D24" i="10"/>
  <c r="E24" i="10" s="1"/>
  <c r="D25" i="10"/>
  <c r="G25" i="10" s="1"/>
  <c r="D26" i="10"/>
  <c r="G26" i="10" s="1"/>
  <c r="D27" i="10"/>
  <c r="G27" i="10" s="1"/>
  <c r="D28" i="10"/>
  <c r="E28" i="10" s="1"/>
  <c r="D29" i="10"/>
  <c r="E29" i="10" s="1"/>
  <c r="D30" i="10"/>
  <c r="G30" i="10" s="1"/>
  <c r="D31" i="10"/>
  <c r="G31" i="10" s="1"/>
  <c r="C10" i="10"/>
  <c r="C9" i="10"/>
  <c r="C8" i="10"/>
  <c r="B4" i="10"/>
  <c r="L17" i="10"/>
  <c r="D17" i="10"/>
  <c r="G17" i="10" s="1"/>
  <c r="P3" i="9"/>
  <c r="P14" i="9" s="1"/>
  <c r="C3" i="9"/>
  <c r="C14" i="9" s="1"/>
  <c r="D3" i="9"/>
  <c r="D14" i="9" s="1"/>
  <c r="E3" i="9"/>
  <c r="E14" i="9" s="1"/>
  <c r="F3" i="9"/>
  <c r="F14" i="9" s="1"/>
  <c r="G3" i="9"/>
  <c r="G14" i="9" s="1"/>
  <c r="H3" i="9"/>
  <c r="H14" i="9" s="1"/>
  <c r="I3" i="9"/>
  <c r="I14" i="9" s="1"/>
  <c r="J3" i="9"/>
  <c r="J14" i="9" s="1"/>
  <c r="K3" i="9"/>
  <c r="K14" i="9" s="1"/>
  <c r="L3" i="9"/>
  <c r="L14" i="9" s="1"/>
  <c r="M3" i="9"/>
  <c r="M14" i="9" s="1"/>
  <c r="N3" i="9"/>
  <c r="N14" i="9" s="1"/>
  <c r="O3" i="9"/>
  <c r="O14" i="9" s="1"/>
  <c r="B3" i="9"/>
  <c r="B14" i="9" s="1"/>
  <c r="D25" i="9" l="1"/>
  <c r="D40" i="1"/>
  <c r="B22" i="8"/>
  <c r="B23" i="8"/>
  <c r="B21" i="8"/>
  <c r="B24" i="8" s="1"/>
  <c r="B30" i="8"/>
  <c r="B22" i="7"/>
  <c r="B24" i="7" s="1"/>
  <c r="B23" i="7"/>
  <c r="B30" i="7"/>
  <c r="B22" i="6"/>
  <c r="B24" i="6" s="1"/>
  <c r="B23" i="6"/>
  <c r="B30" i="6"/>
  <c r="B22" i="5"/>
  <c r="B23" i="5"/>
  <c r="B21" i="5"/>
  <c r="B24" i="5" s="1"/>
  <c r="B30" i="5"/>
  <c r="B22" i="3"/>
  <c r="B23" i="3"/>
  <c r="B21" i="3"/>
  <c r="B24" i="3" s="1"/>
  <c r="B30" i="3"/>
  <c r="B22" i="4"/>
  <c r="B23" i="4"/>
  <c r="B21" i="4"/>
  <c r="B24" i="4" s="1"/>
  <c r="B30" i="4"/>
  <c r="B22" i="2"/>
  <c r="B23" i="2"/>
  <c r="B21" i="2"/>
  <c r="B30" i="2"/>
  <c r="M29" i="10"/>
  <c r="N29" i="10" s="1"/>
  <c r="O29" i="10" s="1"/>
  <c r="P29" i="10" s="1"/>
  <c r="I29" i="10"/>
  <c r="J29" i="10" s="1"/>
  <c r="K29" i="10" s="1"/>
  <c r="M21" i="10"/>
  <c r="N21" i="10" s="1"/>
  <c r="O21" i="10" s="1"/>
  <c r="I21" i="10"/>
  <c r="J21" i="10" s="1"/>
  <c r="K21" i="10" s="1"/>
  <c r="M28" i="10"/>
  <c r="N28" i="10" s="1"/>
  <c r="O28" i="10" s="1"/>
  <c r="P28" i="10" s="1"/>
  <c r="I28" i="10"/>
  <c r="J28" i="10" s="1"/>
  <c r="K28" i="10" s="1"/>
  <c r="M24" i="10"/>
  <c r="N24" i="10" s="1"/>
  <c r="O24" i="10" s="1"/>
  <c r="I24" i="10"/>
  <c r="J24" i="10" s="1"/>
  <c r="K24" i="10" s="1"/>
  <c r="M20" i="10"/>
  <c r="N20" i="10" s="1"/>
  <c r="O20" i="10" s="1"/>
  <c r="P20" i="10" s="1"/>
  <c r="I20" i="10"/>
  <c r="J20" i="10" s="1"/>
  <c r="K20" i="10" s="1"/>
  <c r="G29" i="10"/>
  <c r="I27" i="10"/>
  <c r="J27" i="10" s="1"/>
  <c r="K27" i="10" s="1"/>
  <c r="P27" i="10" s="1"/>
  <c r="E30" i="10"/>
  <c r="E26" i="10"/>
  <c r="E22" i="10"/>
  <c r="E18" i="10"/>
  <c r="G28" i="10"/>
  <c r="G24" i="10"/>
  <c r="G20" i="10"/>
  <c r="G21" i="10"/>
  <c r="I23" i="10"/>
  <c r="J23" i="10" s="1"/>
  <c r="K23" i="10" s="1"/>
  <c r="P23" i="10" s="1"/>
  <c r="M31" i="10"/>
  <c r="N31" i="10" s="1"/>
  <c r="O31" i="10" s="1"/>
  <c r="P31" i="10" s="1"/>
  <c r="M19" i="10"/>
  <c r="N19" i="10" s="1"/>
  <c r="O19" i="10" s="1"/>
  <c r="P19" i="10" s="1"/>
  <c r="C11" i="10"/>
  <c r="E25" i="10"/>
  <c r="E17" i="10"/>
  <c r="B11" i="9"/>
  <c r="B10" i="9"/>
  <c r="B9" i="9"/>
  <c r="B8" i="9"/>
  <c r="B7" i="9"/>
  <c r="B6" i="9"/>
  <c r="B5" i="9"/>
  <c r="B4" i="9"/>
  <c r="B24" i="1" l="1"/>
  <c r="B24" i="2"/>
  <c r="P4" i="9"/>
  <c r="P19" i="2"/>
  <c r="P27" i="2"/>
  <c r="P8" i="9"/>
  <c r="P27" i="6"/>
  <c r="P28" i="6" s="1"/>
  <c r="P30" i="6" s="1"/>
  <c r="P19" i="6"/>
  <c r="P9" i="9"/>
  <c r="P27" i="7"/>
  <c r="P28" i="7" s="1"/>
  <c r="P30" i="7" s="1"/>
  <c r="P19" i="7"/>
  <c r="P6" i="9"/>
  <c r="P19" i="3"/>
  <c r="P27" i="3"/>
  <c r="P10" i="9"/>
  <c r="P21" i="9" s="1"/>
  <c r="F35" i="9" s="1"/>
  <c r="P27" i="8"/>
  <c r="P19" i="8"/>
  <c r="P5" i="9"/>
  <c r="P19" i="4"/>
  <c r="P27" i="4"/>
  <c r="P7" i="9"/>
  <c r="P18" i="9" s="1"/>
  <c r="F32" i="9" s="1"/>
  <c r="P27" i="5"/>
  <c r="P19" i="5"/>
  <c r="B15" i="9"/>
  <c r="B29" i="9"/>
  <c r="B19" i="9"/>
  <c r="B33" i="9"/>
  <c r="P15" i="9"/>
  <c r="F29" i="9" s="1"/>
  <c r="D29" i="9"/>
  <c r="P19" i="9"/>
  <c r="F33" i="9" s="1"/>
  <c r="D33" i="9"/>
  <c r="B16" i="9"/>
  <c r="B30" i="9"/>
  <c r="B20" i="9"/>
  <c r="B34" i="9"/>
  <c r="P16" i="9"/>
  <c r="F30" i="9" s="1"/>
  <c r="D30" i="9"/>
  <c r="P20" i="9"/>
  <c r="F34" i="9" s="1"/>
  <c r="D34" i="9"/>
  <c r="B17" i="9"/>
  <c r="B31" i="9"/>
  <c r="B21" i="9"/>
  <c r="B35" i="9"/>
  <c r="B32" i="1"/>
  <c r="P17" i="9"/>
  <c r="F31" i="9" s="1"/>
  <c r="D31" i="9"/>
  <c r="D35" i="9"/>
  <c r="B18" i="9"/>
  <c r="B32" i="9"/>
  <c r="B22" i="9"/>
  <c r="B36" i="9"/>
  <c r="B31" i="1"/>
  <c r="E25" i="9"/>
  <c r="B31" i="8"/>
  <c r="B32" i="8"/>
  <c r="B32" i="7"/>
  <c r="B31" i="7"/>
  <c r="B32" i="6"/>
  <c r="B31" i="6"/>
  <c r="B31" i="5"/>
  <c r="B32" i="5"/>
  <c r="B31" i="3"/>
  <c r="B32" i="3"/>
  <c r="B31" i="4"/>
  <c r="B32" i="4"/>
  <c r="B31" i="2"/>
  <c r="B32" i="2"/>
  <c r="C4" i="4"/>
  <c r="B34" i="1"/>
  <c r="B33" i="1"/>
  <c r="M26" i="10"/>
  <c r="N26" i="10" s="1"/>
  <c r="O26" i="10" s="1"/>
  <c r="I26" i="10"/>
  <c r="J26" i="10" s="1"/>
  <c r="K26" i="10" s="1"/>
  <c r="P24" i="10"/>
  <c r="P21" i="10"/>
  <c r="M25" i="10"/>
  <c r="N25" i="10" s="1"/>
  <c r="O25" i="10" s="1"/>
  <c r="I25" i="10"/>
  <c r="J25" i="10" s="1"/>
  <c r="K25" i="10" s="1"/>
  <c r="M30" i="10"/>
  <c r="N30" i="10" s="1"/>
  <c r="O30" i="10" s="1"/>
  <c r="I30" i="10"/>
  <c r="J30" i="10" s="1"/>
  <c r="K30" i="10" s="1"/>
  <c r="M18" i="10"/>
  <c r="N18" i="10" s="1"/>
  <c r="O18" i="10" s="1"/>
  <c r="P18" i="10" s="1"/>
  <c r="I18" i="10"/>
  <c r="J18" i="10" s="1"/>
  <c r="K18" i="10" s="1"/>
  <c r="M22" i="10"/>
  <c r="N22" i="10" s="1"/>
  <c r="O22" i="10" s="1"/>
  <c r="I22" i="10"/>
  <c r="J22" i="10" s="1"/>
  <c r="K22" i="10" s="1"/>
  <c r="M17" i="10"/>
  <c r="N17" i="10" s="1"/>
  <c r="O17" i="10" s="1"/>
  <c r="I17" i="10"/>
  <c r="J17" i="10" s="1"/>
  <c r="K17" i="10" s="1"/>
  <c r="C4" i="3"/>
  <c r="B9" i="8"/>
  <c r="C9" i="8" s="1"/>
  <c r="D9" i="8" s="1"/>
  <c r="E9" i="8" s="1"/>
  <c r="F9" i="8" s="1"/>
  <c r="G9" i="8" s="1"/>
  <c r="H9" i="8" s="1"/>
  <c r="I9" i="8" s="1"/>
  <c r="J9" i="8" s="1"/>
  <c r="K9" i="8" s="1"/>
  <c r="L9" i="8" s="1"/>
  <c r="M9" i="8" s="1"/>
  <c r="N9" i="8" s="1"/>
  <c r="O9" i="8" s="1"/>
  <c r="B5" i="8"/>
  <c r="B35" i="1" l="1"/>
  <c r="E40" i="1" s="1"/>
  <c r="E42" i="1" s="1"/>
  <c r="F42" i="1" s="1"/>
  <c r="D32" i="9"/>
  <c r="P28" i="5"/>
  <c r="P30" i="5"/>
  <c r="P28" i="3"/>
  <c r="P30" i="3" s="1"/>
  <c r="P31" i="7"/>
  <c r="P32" i="7"/>
  <c r="P20" i="8"/>
  <c r="P21" i="8"/>
  <c r="P20" i="3"/>
  <c r="P21" i="3"/>
  <c r="P28" i="2"/>
  <c r="P30" i="2" s="1"/>
  <c r="P28" i="4"/>
  <c r="P30" i="4" s="1"/>
  <c r="P28" i="8"/>
  <c r="P30" i="8"/>
  <c r="P20" i="6"/>
  <c r="P21" i="6"/>
  <c r="P20" i="2"/>
  <c r="P21" i="2"/>
  <c r="P20" i="5"/>
  <c r="P21" i="5"/>
  <c r="P20" i="4"/>
  <c r="P21" i="4"/>
  <c r="P20" i="7"/>
  <c r="P21" i="7"/>
  <c r="P32" i="6"/>
  <c r="P31" i="6"/>
  <c r="F25" i="9"/>
  <c r="B33" i="8"/>
  <c r="B34" i="8"/>
  <c r="B33" i="7"/>
  <c r="B34" i="7"/>
  <c r="B33" i="6"/>
  <c r="B34" i="6"/>
  <c r="B33" i="5"/>
  <c r="B34" i="5"/>
  <c r="B33" i="3"/>
  <c r="B34" i="3"/>
  <c r="B33" i="4"/>
  <c r="B34" i="4"/>
  <c r="B33" i="2"/>
  <c r="B34" i="2"/>
  <c r="P22" i="10"/>
  <c r="P30" i="10"/>
  <c r="P25" i="10"/>
  <c r="P26" i="10"/>
  <c r="P17" i="10"/>
  <c r="C9" i="2"/>
  <c r="D9" i="2" s="1"/>
  <c r="E9" i="2" s="1"/>
  <c r="F9" i="2" s="1"/>
  <c r="G9" i="2" s="1"/>
  <c r="H9" i="2" s="1"/>
  <c r="I9" i="2" s="1"/>
  <c r="J9" i="2" s="1"/>
  <c r="K9" i="2" s="1"/>
  <c r="L9" i="2" s="1"/>
  <c r="M9" i="2" s="1"/>
  <c r="N9" i="2" s="1"/>
  <c r="O9" i="2" s="1"/>
  <c r="C9" i="6"/>
  <c r="D9" i="6" s="1"/>
  <c r="E9" i="6" s="1"/>
  <c r="F9" i="6" s="1"/>
  <c r="G9" i="6" s="1"/>
  <c r="H9" i="6" s="1"/>
  <c r="I9" i="6" s="1"/>
  <c r="J9" i="6" s="1"/>
  <c r="K9" i="6" s="1"/>
  <c r="L9" i="6" s="1"/>
  <c r="M9" i="6" s="1"/>
  <c r="N9" i="6" s="1"/>
  <c r="O9" i="6" s="1"/>
  <c r="C9" i="7"/>
  <c r="D9" i="7" s="1"/>
  <c r="E9" i="7" s="1"/>
  <c r="F9" i="7" s="1"/>
  <c r="G9" i="7" s="1"/>
  <c r="H9" i="7" s="1"/>
  <c r="I9" i="7" s="1"/>
  <c r="J9" i="7" s="1"/>
  <c r="K9" i="7" s="1"/>
  <c r="L9" i="7" s="1"/>
  <c r="M9" i="7" s="1"/>
  <c r="N9" i="7" s="1"/>
  <c r="O9" i="7" s="1"/>
  <c r="P34" i="6" l="1"/>
  <c r="P33" i="6"/>
  <c r="P31" i="8"/>
  <c r="P32" i="8"/>
  <c r="P31" i="2"/>
  <c r="P32" i="2"/>
  <c r="P31" i="3"/>
  <c r="P32" i="3"/>
  <c r="P22" i="4"/>
  <c r="P23" i="4"/>
  <c r="P22" i="2"/>
  <c r="P23" i="2"/>
  <c r="P23" i="8"/>
  <c r="P22" i="8"/>
  <c r="P31" i="4"/>
  <c r="P32" i="4"/>
  <c r="P31" i="5"/>
  <c r="P32" i="5"/>
  <c r="P23" i="7"/>
  <c r="P24" i="7" s="1"/>
  <c r="P22" i="7"/>
  <c r="P22" i="5"/>
  <c r="P23" i="5"/>
  <c r="P22" i="6"/>
  <c r="P24" i="6" s="1"/>
  <c r="P23" i="6"/>
  <c r="P22" i="3"/>
  <c r="P24" i="3" s="1"/>
  <c r="P23" i="3"/>
  <c r="P33" i="7"/>
  <c r="P34" i="7"/>
  <c r="G25" i="9"/>
  <c r="B35" i="6"/>
  <c r="B35" i="3"/>
  <c r="B35" i="8"/>
  <c r="B35" i="7"/>
  <c r="B35" i="4"/>
  <c r="B35" i="5"/>
  <c r="C9" i="5"/>
  <c r="D9" i="5" s="1"/>
  <c r="E9" i="5" s="1"/>
  <c r="F9" i="5" s="1"/>
  <c r="G9" i="5" s="1"/>
  <c r="H9" i="5" s="1"/>
  <c r="I9" i="5" s="1"/>
  <c r="J9" i="5" s="1"/>
  <c r="K9" i="5" s="1"/>
  <c r="L9" i="5" s="1"/>
  <c r="M9" i="5" s="1"/>
  <c r="N9" i="5" s="1"/>
  <c r="O9" i="5" s="1"/>
  <c r="C9" i="4"/>
  <c r="D9" i="4" s="1"/>
  <c r="E9" i="4" s="1"/>
  <c r="F9" i="4" s="1"/>
  <c r="G9" i="4" s="1"/>
  <c r="H9" i="4" s="1"/>
  <c r="I9" i="4" s="1"/>
  <c r="J9" i="4" s="1"/>
  <c r="K9" i="4" s="1"/>
  <c r="L9" i="4" s="1"/>
  <c r="M9" i="4" s="1"/>
  <c r="N9" i="4" s="1"/>
  <c r="O9" i="4" s="1"/>
  <c r="C9" i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C3" i="4"/>
  <c r="D4" i="4"/>
  <c r="E4" i="4" s="1"/>
  <c r="F4" i="4" s="1"/>
  <c r="G4" i="4" s="1"/>
  <c r="H4" i="4" s="1"/>
  <c r="I4" i="4" s="1"/>
  <c r="J4" i="4" s="1"/>
  <c r="K4" i="4" s="1"/>
  <c r="C3" i="3"/>
  <c r="C9" i="3"/>
  <c r="D9" i="3" s="1"/>
  <c r="E9" i="3" s="1"/>
  <c r="F9" i="3" s="1"/>
  <c r="G9" i="3" s="1"/>
  <c r="H9" i="3" s="1"/>
  <c r="I9" i="3" s="1"/>
  <c r="J9" i="3" s="1"/>
  <c r="K9" i="3" s="1"/>
  <c r="L9" i="3" s="1"/>
  <c r="M9" i="3" s="1"/>
  <c r="N9" i="3" s="1"/>
  <c r="O9" i="3" s="1"/>
  <c r="P9" i="3" s="1"/>
  <c r="D4" i="3"/>
  <c r="E4" i="3" s="1"/>
  <c r="F4" i="3" s="1"/>
  <c r="G4" i="3" s="1"/>
  <c r="H4" i="3" s="1"/>
  <c r="I4" i="3" s="1"/>
  <c r="J4" i="3" s="1"/>
  <c r="K4" i="3" s="1"/>
  <c r="C4" i="8"/>
  <c r="C4" i="6"/>
  <c r="C4" i="5"/>
  <c r="B7" i="8"/>
  <c r="B10" i="8" s="1"/>
  <c r="B11" i="8" s="1"/>
  <c r="B12" i="8" s="1"/>
  <c r="C5" i="8"/>
  <c r="C6" i="8" s="1"/>
  <c r="B7" i="7"/>
  <c r="B10" i="7" s="1"/>
  <c r="B11" i="7" s="1"/>
  <c r="B12" i="7" s="1"/>
  <c r="C5" i="7"/>
  <c r="C6" i="7" s="1"/>
  <c r="B7" i="6"/>
  <c r="B10" i="6" s="1"/>
  <c r="C5" i="6"/>
  <c r="C6" i="6" s="1"/>
  <c r="B7" i="5"/>
  <c r="B10" i="5" s="1"/>
  <c r="B11" i="5" s="1"/>
  <c r="B12" i="5" s="1"/>
  <c r="C5" i="5"/>
  <c r="C6" i="5" s="1"/>
  <c r="B7" i="4"/>
  <c r="B10" i="4" s="1"/>
  <c r="B11" i="4" s="1"/>
  <c r="B12" i="4" s="1"/>
  <c r="C5" i="4"/>
  <c r="C6" i="4" s="1"/>
  <c r="B7" i="3"/>
  <c r="B10" i="3" s="1"/>
  <c r="B11" i="3" s="1"/>
  <c r="B12" i="3" s="1"/>
  <c r="C5" i="3"/>
  <c r="C6" i="3" s="1"/>
  <c r="B7" i="2"/>
  <c r="C5" i="2"/>
  <c r="C6" i="2" s="1"/>
  <c r="P35" i="6" l="1"/>
  <c r="P24" i="5"/>
  <c r="P24" i="2"/>
  <c r="P24" i="8"/>
  <c r="P24" i="4"/>
  <c r="P35" i="7"/>
  <c r="P33" i="5"/>
  <c r="P35" i="5" s="1"/>
  <c r="P34" i="5"/>
  <c r="C6" i="9"/>
  <c r="C17" i="9" s="1"/>
  <c r="C19" i="3"/>
  <c r="C27" i="3"/>
  <c r="C28" i="3" s="1"/>
  <c r="C30" i="3" s="1"/>
  <c r="P34" i="2"/>
  <c r="P33" i="2"/>
  <c r="P35" i="2" s="1"/>
  <c r="P33" i="3"/>
  <c r="P34" i="3"/>
  <c r="C5" i="9"/>
  <c r="C16" i="9" s="1"/>
  <c r="C19" i="4"/>
  <c r="C27" i="4"/>
  <c r="C28" i="4" s="1"/>
  <c r="C30" i="4" s="1"/>
  <c r="P33" i="4"/>
  <c r="P34" i="4"/>
  <c r="P34" i="8"/>
  <c r="P33" i="8"/>
  <c r="H25" i="9"/>
  <c r="D3" i="4"/>
  <c r="D3" i="3"/>
  <c r="C4" i="2"/>
  <c r="D4" i="2" s="1"/>
  <c r="E4" i="2" s="1"/>
  <c r="F4" i="2" s="1"/>
  <c r="G4" i="2" s="1"/>
  <c r="H4" i="2" s="1"/>
  <c r="I4" i="2" s="1"/>
  <c r="J4" i="2" s="1"/>
  <c r="K4" i="2" s="1"/>
  <c r="C3" i="8"/>
  <c r="D4" i="8"/>
  <c r="E4" i="8" s="1"/>
  <c r="F4" i="8" s="1"/>
  <c r="G4" i="8" s="1"/>
  <c r="H4" i="8" s="1"/>
  <c r="I4" i="8" s="1"/>
  <c r="J4" i="8" s="1"/>
  <c r="K4" i="8" s="1"/>
  <c r="D5" i="8"/>
  <c r="E5" i="8" s="1"/>
  <c r="F5" i="8" s="1"/>
  <c r="C3" i="2"/>
  <c r="D4" i="6"/>
  <c r="E4" i="6" s="1"/>
  <c r="F4" i="6" s="1"/>
  <c r="G4" i="6" s="1"/>
  <c r="H4" i="6" s="1"/>
  <c r="I4" i="6" s="1"/>
  <c r="J4" i="6" s="1"/>
  <c r="K4" i="6" s="1"/>
  <c r="C3" i="6"/>
  <c r="D5" i="7"/>
  <c r="E5" i="7" s="1"/>
  <c r="F5" i="7" s="1"/>
  <c r="D4" i="5"/>
  <c r="E4" i="5" s="1"/>
  <c r="F4" i="5" s="1"/>
  <c r="G4" i="5" s="1"/>
  <c r="H4" i="5" s="1"/>
  <c r="I4" i="5" s="1"/>
  <c r="J4" i="5" s="1"/>
  <c r="K4" i="5" s="1"/>
  <c r="C3" i="5"/>
  <c r="C4" i="7"/>
  <c r="D5" i="5"/>
  <c r="E5" i="5" s="1"/>
  <c r="F5" i="5" s="1"/>
  <c r="D5" i="4"/>
  <c r="E5" i="4" s="1"/>
  <c r="F5" i="4" s="1"/>
  <c r="D5" i="3"/>
  <c r="E5" i="3" s="1"/>
  <c r="F5" i="3" s="1"/>
  <c r="C7" i="8"/>
  <c r="C10" i="8" s="1"/>
  <c r="D6" i="8"/>
  <c r="B14" i="8"/>
  <c r="C7" i="7"/>
  <c r="C10" i="7" s="1"/>
  <c r="B14" i="7"/>
  <c r="B11" i="6"/>
  <c r="B12" i="6" s="1"/>
  <c r="B14" i="6"/>
  <c r="C7" i="6"/>
  <c r="C10" i="6" s="1"/>
  <c r="D5" i="6"/>
  <c r="E5" i="6" s="1"/>
  <c r="F5" i="6" s="1"/>
  <c r="C7" i="5"/>
  <c r="C10" i="5" s="1"/>
  <c r="D6" i="5"/>
  <c r="B14" i="5"/>
  <c r="C7" i="4"/>
  <c r="C10" i="4" s="1"/>
  <c r="B14" i="4"/>
  <c r="C7" i="3"/>
  <c r="C10" i="3" s="1"/>
  <c r="B14" i="3"/>
  <c r="C7" i="2"/>
  <c r="C10" i="2" s="1"/>
  <c r="B11" i="2"/>
  <c r="B12" i="2" s="1"/>
  <c r="B14" i="2"/>
  <c r="D5" i="2"/>
  <c r="E5" i="2" s="1"/>
  <c r="F5" i="2" s="1"/>
  <c r="P35" i="8" l="1"/>
  <c r="P35" i="3"/>
  <c r="C32" i="4"/>
  <c r="C31" i="4"/>
  <c r="C32" i="3"/>
  <c r="C31" i="3"/>
  <c r="C8" i="9"/>
  <c r="C19" i="9" s="1"/>
  <c r="C19" i="6"/>
  <c r="C27" i="6"/>
  <c r="C28" i="6" s="1"/>
  <c r="C30" i="6" s="1"/>
  <c r="D19" i="4"/>
  <c r="D27" i="4"/>
  <c r="D28" i="4" s="1"/>
  <c r="D30" i="4" s="1"/>
  <c r="C20" i="4"/>
  <c r="C21" i="4"/>
  <c r="C20" i="3"/>
  <c r="C21" i="3"/>
  <c r="C7" i="9"/>
  <c r="C18" i="9" s="1"/>
  <c r="C19" i="5"/>
  <c r="C27" i="5"/>
  <c r="C28" i="5" s="1"/>
  <c r="C30" i="5" s="1"/>
  <c r="C10" i="9"/>
  <c r="C21" i="9" s="1"/>
  <c r="C19" i="8"/>
  <c r="C27" i="8"/>
  <c r="C28" i="8" s="1"/>
  <c r="C30" i="8" s="1"/>
  <c r="P35" i="4"/>
  <c r="C4" i="9"/>
  <c r="C15" i="9" s="1"/>
  <c r="C19" i="2"/>
  <c r="C27" i="2"/>
  <c r="C28" i="2" s="1"/>
  <c r="C30" i="2" s="1"/>
  <c r="D19" i="3"/>
  <c r="D27" i="3"/>
  <c r="D28" i="3" s="1"/>
  <c r="D30" i="3" s="1"/>
  <c r="I25" i="9"/>
  <c r="D6" i="7"/>
  <c r="E6" i="7" s="1"/>
  <c r="E3" i="3"/>
  <c r="D6" i="9"/>
  <c r="D17" i="9" s="1"/>
  <c r="E3" i="4"/>
  <c r="D5" i="9"/>
  <c r="D16" i="9" s="1"/>
  <c r="D3" i="2"/>
  <c r="D3" i="8"/>
  <c r="D3" i="5"/>
  <c r="D3" i="6"/>
  <c r="D4" i="7"/>
  <c r="E4" i="7" s="1"/>
  <c r="F4" i="7" s="1"/>
  <c r="G4" i="7" s="1"/>
  <c r="H4" i="7" s="1"/>
  <c r="I4" i="7" s="1"/>
  <c r="J4" i="7" s="1"/>
  <c r="K4" i="7" s="1"/>
  <c r="C3" i="7"/>
  <c r="D6" i="4"/>
  <c r="E6" i="4" s="1"/>
  <c r="D6" i="3"/>
  <c r="E6" i="3" s="1"/>
  <c r="D7" i="8"/>
  <c r="D10" i="8" s="1"/>
  <c r="E6" i="8"/>
  <c r="C14" i="8"/>
  <c r="C11" i="8"/>
  <c r="C12" i="8" s="1"/>
  <c r="C14" i="7"/>
  <c r="C11" i="7"/>
  <c r="C12" i="7" s="1"/>
  <c r="E7" i="7"/>
  <c r="E10" i="7" s="1"/>
  <c r="F6" i="7"/>
  <c r="D6" i="6"/>
  <c r="C14" i="6"/>
  <c r="C11" i="6"/>
  <c r="C12" i="6" s="1"/>
  <c r="D7" i="5"/>
  <c r="D10" i="5" s="1"/>
  <c r="E6" i="5"/>
  <c r="C14" i="5"/>
  <c r="C11" i="5"/>
  <c r="C12" i="5" s="1"/>
  <c r="C14" i="4"/>
  <c r="C11" i="4"/>
  <c r="C12" i="4" s="1"/>
  <c r="C14" i="3"/>
  <c r="C11" i="3"/>
  <c r="C12" i="3" s="1"/>
  <c r="D7" i="3"/>
  <c r="D10" i="3" s="1"/>
  <c r="D6" i="2"/>
  <c r="C14" i="2"/>
  <c r="C11" i="2"/>
  <c r="C12" i="2" s="1"/>
  <c r="C31" i="6" l="1"/>
  <c r="C32" i="6"/>
  <c r="D31" i="4"/>
  <c r="D32" i="4"/>
  <c r="D19" i="6"/>
  <c r="D27" i="6"/>
  <c r="D28" i="6" s="1"/>
  <c r="D30" i="6" s="1"/>
  <c r="E19" i="4"/>
  <c r="E27" i="4"/>
  <c r="E28" i="4" s="1"/>
  <c r="E30" i="4" s="1"/>
  <c r="C20" i="2"/>
  <c r="C21" i="2"/>
  <c r="C23" i="4"/>
  <c r="C22" i="4"/>
  <c r="C33" i="3"/>
  <c r="C34" i="3"/>
  <c r="C35" i="3" s="1"/>
  <c r="D19" i="5"/>
  <c r="D27" i="5"/>
  <c r="D28" i="5" s="1"/>
  <c r="D30" i="5" s="1"/>
  <c r="D20" i="3"/>
  <c r="D21" i="3"/>
  <c r="C20" i="8"/>
  <c r="C21" i="8"/>
  <c r="C20" i="5"/>
  <c r="C21" i="5"/>
  <c r="C23" i="3"/>
  <c r="C22" i="3"/>
  <c r="C9" i="9"/>
  <c r="C20" i="9" s="1"/>
  <c r="C19" i="7"/>
  <c r="C27" i="7"/>
  <c r="C28" i="7" s="1"/>
  <c r="C30" i="7" s="1"/>
  <c r="D19" i="8"/>
  <c r="D27" i="8"/>
  <c r="D28" i="8" s="1"/>
  <c r="D30" i="8" s="1"/>
  <c r="E19" i="3"/>
  <c r="E27" i="3"/>
  <c r="E28" i="3" s="1"/>
  <c r="E30" i="3" s="1"/>
  <c r="C24" i="4"/>
  <c r="C20" i="6"/>
  <c r="C21" i="6"/>
  <c r="C34" i="4"/>
  <c r="C33" i="4"/>
  <c r="C35" i="4" s="1"/>
  <c r="D19" i="2"/>
  <c r="D27" i="2"/>
  <c r="D28" i="2" s="1"/>
  <c r="D30" i="2" s="1"/>
  <c r="D31" i="3"/>
  <c r="D32" i="3"/>
  <c r="C32" i="2"/>
  <c r="C31" i="2"/>
  <c r="C31" i="8"/>
  <c r="C32" i="8"/>
  <c r="C32" i="5"/>
  <c r="C31" i="5"/>
  <c r="C24" i="3"/>
  <c r="D20" i="4"/>
  <c r="D21" i="4"/>
  <c r="J25" i="9"/>
  <c r="E3" i="8"/>
  <c r="D10" i="9"/>
  <c r="D21" i="9" s="1"/>
  <c r="D7" i="7"/>
  <c r="D10" i="7" s="1"/>
  <c r="D14" i="7" s="1"/>
  <c r="E3" i="6"/>
  <c r="D8" i="9"/>
  <c r="D19" i="9" s="1"/>
  <c r="E3" i="5"/>
  <c r="D7" i="9"/>
  <c r="D18" i="9" s="1"/>
  <c r="F3" i="3"/>
  <c r="E6" i="9"/>
  <c r="E17" i="9" s="1"/>
  <c r="D7" i="4"/>
  <c r="D10" i="4" s="1"/>
  <c r="F3" i="4"/>
  <c r="E5" i="9"/>
  <c r="E16" i="9" s="1"/>
  <c r="E3" i="2"/>
  <c r="D4" i="9"/>
  <c r="D15" i="9" s="1"/>
  <c r="D3" i="7"/>
  <c r="D11" i="7"/>
  <c r="D12" i="7" s="1"/>
  <c r="E7" i="8"/>
  <c r="E10" i="8" s="1"/>
  <c r="F6" i="8"/>
  <c r="D14" i="8"/>
  <c r="D11" i="8"/>
  <c r="D12" i="8" s="1"/>
  <c r="F7" i="7"/>
  <c r="F10" i="7" s="1"/>
  <c r="G7" i="7"/>
  <c r="E11" i="7"/>
  <c r="E12" i="7" s="1"/>
  <c r="E14" i="7"/>
  <c r="D7" i="6"/>
  <c r="D10" i="6" s="1"/>
  <c r="E6" i="6"/>
  <c r="E7" i="5"/>
  <c r="E10" i="5" s="1"/>
  <c r="F6" i="5"/>
  <c r="D14" i="5"/>
  <c r="D11" i="5"/>
  <c r="D12" i="5" s="1"/>
  <c r="E7" i="4"/>
  <c r="E10" i="4" s="1"/>
  <c r="F6" i="4"/>
  <c r="D14" i="4"/>
  <c r="D11" i="4"/>
  <c r="D12" i="4" s="1"/>
  <c r="E7" i="3"/>
  <c r="E10" i="3" s="1"/>
  <c r="F6" i="3"/>
  <c r="D14" i="3"/>
  <c r="D11" i="3"/>
  <c r="D12" i="3" s="1"/>
  <c r="D7" i="2"/>
  <c r="D10" i="2" s="1"/>
  <c r="E6" i="2"/>
  <c r="D31" i="5" l="1"/>
  <c r="D32" i="5"/>
  <c r="C32" i="7"/>
  <c r="C31" i="7"/>
  <c r="D19" i="7"/>
  <c r="D27" i="7"/>
  <c r="D28" i="7" s="1"/>
  <c r="D30" i="7" s="1"/>
  <c r="E19" i="5"/>
  <c r="E27" i="5"/>
  <c r="E28" i="5" s="1"/>
  <c r="E30" i="5" s="1"/>
  <c r="D22" i="4"/>
  <c r="D23" i="4"/>
  <c r="D20" i="2"/>
  <c r="D21" i="2"/>
  <c r="D20" i="8"/>
  <c r="D21" i="8"/>
  <c r="E21" i="4"/>
  <c r="E20" i="4"/>
  <c r="D33" i="4"/>
  <c r="D34" i="4"/>
  <c r="E19" i="2"/>
  <c r="E27" i="2"/>
  <c r="E28" i="2" s="1"/>
  <c r="E30" i="2" s="1"/>
  <c r="E19" i="8"/>
  <c r="E27" i="8"/>
  <c r="E28" i="8" s="1"/>
  <c r="E30" i="8" s="1"/>
  <c r="C34" i="8"/>
  <c r="C33" i="8"/>
  <c r="C35" i="8" s="1"/>
  <c r="D33" i="3"/>
  <c r="D34" i="3"/>
  <c r="C22" i="6"/>
  <c r="C23" i="6"/>
  <c r="E21" i="3"/>
  <c r="E20" i="3"/>
  <c r="C23" i="8"/>
  <c r="C22" i="8"/>
  <c r="C23" i="2"/>
  <c r="C22" i="2"/>
  <c r="D31" i="6"/>
  <c r="D32" i="6"/>
  <c r="F19" i="3"/>
  <c r="F27" i="3"/>
  <c r="F28" i="3" s="1"/>
  <c r="F30" i="3" s="1"/>
  <c r="E19" i="6"/>
  <c r="E27" i="6"/>
  <c r="E28" i="6" s="1"/>
  <c r="E30" i="6" s="1"/>
  <c r="C34" i="5"/>
  <c r="C33" i="5"/>
  <c r="C35" i="5" s="1"/>
  <c r="C33" i="2"/>
  <c r="C34" i="2"/>
  <c r="C35" i="2" s="1"/>
  <c r="D31" i="2"/>
  <c r="D32" i="2"/>
  <c r="D31" i="8"/>
  <c r="D32" i="8"/>
  <c r="C23" i="5"/>
  <c r="C22" i="5"/>
  <c r="C24" i="5" s="1"/>
  <c r="D20" i="5"/>
  <c r="D21" i="5"/>
  <c r="E32" i="4"/>
  <c r="E31" i="4"/>
  <c r="D20" i="6"/>
  <c r="D21" i="6"/>
  <c r="C33" i="6"/>
  <c r="C34" i="6"/>
  <c r="F19" i="4"/>
  <c r="F27" i="4"/>
  <c r="F28" i="4" s="1"/>
  <c r="F30" i="4" s="1"/>
  <c r="D24" i="4"/>
  <c r="C24" i="6"/>
  <c r="E31" i="3"/>
  <c r="E32" i="3"/>
  <c r="C20" i="7"/>
  <c r="C21" i="7"/>
  <c r="C24" i="8"/>
  <c r="D22" i="3"/>
  <c r="D23" i="3"/>
  <c r="C24" i="2"/>
  <c r="D35" i="4"/>
  <c r="K25" i="9"/>
  <c r="F3" i="8"/>
  <c r="E10" i="9"/>
  <c r="E21" i="9" s="1"/>
  <c r="E3" i="7"/>
  <c r="D9" i="9"/>
  <c r="D20" i="9" s="1"/>
  <c r="F3" i="6"/>
  <c r="E8" i="9"/>
  <c r="E19" i="9" s="1"/>
  <c r="F3" i="5"/>
  <c r="E7" i="9"/>
  <c r="E18" i="9" s="1"/>
  <c r="F6" i="9"/>
  <c r="G3" i="3"/>
  <c r="F5" i="9"/>
  <c r="G3" i="4"/>
  <c r="F3" i="2"/>
  <c r="E4" i="9"/>
  <c r="E15" i="9" s="1"/>
  <c r="F7" i="8"/>
  <c r="F10" i="8" s="1"/>
  <c r="G7" i="8"/>
  <c r="E14" i="8"/>
  <c r="E11" i="8"/>
  <c r="E12" i="8" s="1"/>
  <c r="G10" i="7"/>
  <c r="H7" i="7"/>
  <c r="F11" i="7"/>
  <c r="F12" i="7" s="1"/>
  <c r="F14" i="7"/>
  <c r="E7" i="6"/>
  <c r="E10" i="6" s="1"/>
  <c r="F6" i="6"/>
  <c r="D14" i="6"/>
  <c r="D11" i="6"/>
  <c r="D12" i="6" s="1"/>
  <c r="F7" i="5"/>
  <c r="F10" i="5" s="1"/>
  <c r="G7" i="5"/>
  <c r="E11" i="5"/>
  <c r="E12" i="5" s="1"/>
  <c r="E14" i="5"/>
  <c r="F7" i="4"/>
  <c r="F10" i="4" s="1"/>
  <c r="G7" i="4"/>
  <c r="E11" i="4"/>
  <c r="E12" i="4" s="1"/>
  <c r="E14" i="4"/>
  <c r="F7" i="3"/>
  <c r="F10" i="3" s="1"/>
  <c r="G7" i="3"/>
  <c r="E11" i="3"/>
  <c r="E12" i="3" s="1"/>
  <c r="E14" i="3"/>
  <c r="E7" i="2"/>
  <c r="E10" i="2" s="1"/>
  <c r="F6" i="2"/>
  <c r="D14" i="2"/>
  <c r="D11" i="2"/>
  <c r="D12" i="2" s="1"/>
  <c r="D24" i="3" l="1"/>
  <c r="C35" i="6"/>
  <c r="D35" i="3"/>
  <c r="F32" i="3"/>
  <c r="F31" i="3"/>
  <c r="E31" i="8"/>
  <c r="E32" i="8"/>
  <c r="E32" i="6"/>
  <c r="E31" i="6"/>
  <c r="F19" i="6"/>
  <c r="F27" i="6"/>
  <c r="F28" i="6" s="1"/>
  <c r="F30" i="6" s="1"/>
  <c r="F19" i="8"/>
  <c r="F27" i="8"/>
  <c r="F28" i="8" s="1"/>
  <c r="F30" i="8" s="1"/>
  <c r="F32" i="4"/>
  <c r="F31" i="4"/>
  <c r="F20" i="3"/>
  <c r="F21" i="3"/>
  <c r="E22" i="3"/>
  <c r="E23" i="3"/>
  <c r="E24" i="3" s="1"/>
  <c r="E32" i="2"/>
  <c r="E31" i="2"/>
  <c r="D22" i="8"/>
  <c r="D23" i="8"/>
  <c r="C34" i="7"/>
  <c r="C33" i="7"/>
  <c r="G19" i="4"/>
  <c r="G27" i="4"/>
  <c r="G28" i="4" s="1"/>
  <c r="G30" i="4" s="1"/>
  <c r="C22" i="7"/>
  <c r="C23" i="7"/>
  <c r="E21" i="6"/>
  <c r="E20" i="6"/>
  <c r="E21" i="5"/>
  <c r="E20" i="5"/>
  <c r="F19" i="2"/>
  <c r="F27" i="2"/>
  <c r="F28" i="2" s="1"/>
  <c r="F30" i="2" s="1"/>
  <c r="F19" i="5"/>
  <c r="F27" i="5"/>
  <c r="F28" i="5" s="1"/>
  <c r="F30" i="5" s="1"/>
  <c r="E19" i="7"/>
  <c r="E27" i="7"/>
  <c r="E28" i="7" s="1"/>
  <c r="E30" i="7" s="1"/>
  <c r="F20" i="4"/>
  <c r="F21" i="4"/>
  <c r="D22" i="6"/>
  <c r="D23" i="6"/>
  <c r="D22" i="5"/>
  <c r="D23" i="5"/>
  <c r="D33" i="2"/>
  <c r="D34" i="2"/>
  <c r="E21" i="2"/>
  <c r="E20" i="2"/>
  <c r="E22" i="4"/>
  <c r="E23" i="4"/>
  <c r="D22" i="2"/>
  <c r="D23" i="2"/>
  <c r="D31" i="7"/>
  <c r="D32" i="7"/>
  <c r="G19" i="3"/>
  <c r="G27" i="3"/>
  <c r="G28" i="3" s="1"/>
  <c r="G30" i="3" s="1"/>
  <c r="C24" i="7"/>
  <c r="E33" i="3"/>
  <c r="E35" i="3" s="1"/>
  <c r="E34" i="3"/>
  <c r="E33" i="4"/>
  <c r="E34" i="4"/>
  <c r="D33" i="8"/>
  <c r="D34" i="8"/>
  <c r="D33" i="6"/>
  <c r="D34" i="6"/>
  <c r="E21" i="8"/>
  <c r="E20" i="8"/>
  <c r="E24" i="4"/>
  <c r="D24" i="8"/>
  <c r="E32" i="5"/>
  <c r="E31" i="5"/>
  <c r="D20" i="7"/>
  <c r="D21" i="7"/>
  <c r="D33" i="5"/>
  <c r="D34" i="5"/>
  <c r="F17" i="9"/>
  <c r="E31" i="9" s="1"/>
  <c r="C31" i="9"/>
  <c r="F16" i="9"/>
  <c r="E30" i="9" s="1"/>
  <c r="C30" i="9"/>
  <c r="F10" i="9"/>
  <c r="G3" i="8"/>
  <c r="F3" i="7"/>
  <c r="E9" i="9"/>
  <c r="E20" i="9" s="1"/>
  <c r="F8" i="9"/>
  <c r="G3" i="6"/>
  <c r="F7" i="9"/>
  <c r="G3" i="5"/>
  <c r="H3" i="3"/>
  <c r="G6" i="9"/>
  <c r="G17" i="9" s="1"/>
  <c r="H3" i="4"/>
  <c r="G5" i="9"/>
  <c r="G16" i="9" s="1"/>
  <c r="F4" i="9"/>
  <c r="G3" i="2"/>
  <c r="G10" i="8"/>
  <c r="H7" i="8"/>
  <c r="F11" i="8"/>
  <c r="F12" i="8" s="1"/>
  <c r="F14" i="8"/>
  <c r="H10" i="7"/>
  <c r="I7" i="7"/>
  <c r="G14" i="7"/>
  <c r="G11" i="7"/>
  <c r="G12" i="7" s="1"/>
  <c r="F7" i="6"/>
  <c r="F10" i="6" s="1"/>
  <c r="G7" i="6"/>
  <c r="E11" i="6"/>
  <c r="E12" i="6" s="1"/>
  <c r="E14" i="6"/>
  <c r="G10" i="5"/>
  <c r="H7" i="5"/>
  <c r="F11" i="5"/>
  <c r="F12" i="5" s="1"/>
  <c r="F14" i="5"/>
  <c r="G10" i="4"/>
  <c r="H7" i="4"/>
  <c r="F11" i="4"/>
  <c r="F12" i="4" s="1"/>
  <c r="F14" i="4"/>
  <c r="G10" i="3"/>
  <c r="H7" i="3"/>
  <c r="F11" i="3"/>
  <c r="F12" i="3" s="1"/>
  <c r="F14" i="3"/>
  <c r="G7" i="2"/>
  <c r="F7" i="2"/>
  <c r="F10" i="2" s="1"/>
  <c r="E11" i="2"/>
  <c r="E12" i="2" s="1"/>
  <c r="E14" i="2"/>
  <c r="D35" i="6" l="1"/>
  <c r="E35" i="4"/>
  <c r="D24" i="6"/>
  <c r="C35" i="7"/>
  <c r="D24" i="2"/>
  <c r="D24" i="5"/>
  <c r="D35" i="5"/>
  <c r="D35" i="8"/>
  <c r="D35" i="2"/>
  <c r="E32" i="7"/>
  <c r="E31" i="7"/>
  <c r="F32" i="6"/>
  <c r="F31" i="6"/>
  <c r="F31" i="2"/>
  <c r="F32" i="2"/>
  <c r="F19" i="7"/>
  <c r="F27" i="7"/>
  <c r="F28" i="7"/>
  <c r="F30" i="7" s="1"/>
  <c r="H19" i="3"/>
  <c r="H27" i="3"/>
  <c r="H28" i="3" s="1"/>
  <c r="H30" i="3" s="1"/>
  <c r="E34" i="5"/>
  <c r="E33" i="5"/>
  <c r="E35" i="5" s="1"/>
  <c r="E23" i="8"/>
  <c r="E22" i="8"/>
  <c r="G31" i="3"/>
  <c r="G32" i="3"/>
  <c r="D33" i="7"/>
  <c r="D34" i="7"/>
  <c r="F22" i="4"/>
  <c r="F23" i="4"/>
  <c r="F20" i="5"/>
  <c r="F21" i="5"/>
  <c r="E34" i="2"/>
  <c r="E33" i="2"/>
  <c r="E35" i="2" s="1"/>
  <c r="F20" i="8"/>
  <c r="F21" i="8"/>
  <c r="F33" i="3"/>
  <c r="F34" i="3"/>
  <c r="F35" i="3" s="1"/>
  <c r="G19" i="5"/>
  <c r="G27" i="5"/>
  <c r="G28" i="5" s="1"/>
  <c r="G30" i="5" s="1"/>
  <c r="G20" i="3"/>
  <c r="G21" i="3"/>
  <c r="E22" i="2"/>
  <c r="E23" i="2"/>
  <c r="E21" i="7"/>
  <c r="E20" i="7"/>
  <c r="F22" i="3"/>
  <c r="F23" i="3"/>
  <c r="H19" i="4"/>
  <c r="H27" i="4"/>
  <c r="H28" i="4" s="1"/>
  <c r="H30" i="4" s="1"/>
  <c r="F31" i="5"/>
  <c r="F32" i="5"/>
  <c r="E22" i="5"/>
  <c r="E23" i="5"/>
  <c r="E24" i="5" s="1"/>
  <c r="G31" i="4"/>
  <c r="G32" i="4"/>
  <c r="F31" i="8"/>
  <c r="F32" i="8"/>
  <c r="E33" i="6"/>
  <c r="E34" i="6"/>
  <c r="G19" i="2"/>
  <c r="G27" i="2"/>
  <c r="G28" i="2" s="1"/>
  <c r="G30" i="2" s="1"/>
  <c r="G19" i="6"/>
  <c r="G27" i="6"/>
  <c r="G28" i="6" s="1"/>
  <c r="G30" i="6" s="1"/>
  <c r="G19" i="8"/>
  <c r="G27" i="8"/>
  <c r="G28" i="8" s="1"/>
  <c r="G30" i="8" s="1"/>
  <c r="D23" i="7"/>
  <c r="D22" i="7"/>
  <c r="D24" i="7" s="1"/>
  <c r="D35" i="7"/>
  <c r="F24" i="4"/>
  <c r="F20" i="2"/>
  <c r="F21" i="2"/>
  <c r="E22" i="6"/>
  <c r="E23" i="6"/>
  <c r="G20" i="4"/>
  <c r="G21" i="4"/>
  <c r="F33" i="4"/>
  <c r="F34" i="4"/>
  <c r="F20" i="6"/>
  <c r="F21" i="6"/>
  <c r="E34" i="8"/>
  <c r="E33" i="8"/>
  <c r="F18" i="9"/>
  <c r="E32" i="9" s="1"/>
  <c r="C32" i="9"/>
  <c r="F15" i="9"/>
  <c r="E29" i="9" s="1"/>
  <c r="C29" i="9"/>
  <c r="F19" i="9"/>
  <c r="E33" i="9" s="1"/>
  <c r="C33" i="9"/>
  <c r="F21" i="9"/>
  <c r="E35" i="9" s="1"/>
  <c r="C35" i="9"/>
  <c r="M25" i="9"/>
  <c r="H3" i="8"/>
  <c r="G10" i="9"/>
  <c r="G21" i="9" s="1"/>
  <c r="F9" i="9"/>
  <c r="G3" i="7"/>
  <c r="H3" i="6"/>
  <c r="G8" i="9"/>
  <c r="G19" i="9" s="1"/>
  <c r="H3" i="5"/>
  <c r="G7" i="9"/>
  <c r="G18" i="9" s="1"/>
  <c r="I3" i="3"/>
  <c r="H6" i="9"/>
  <c r="H17" i="9" s="1"/>
  <c r="I3" i="4"/>
  <c r="H5" i="9"/>
  <c r="H16" i="9" s="1"/>
  <c r="H3" i="2"/>
  <c r="G4" i="9"/>
  <c r="G15" i="9" s="1"/>
  <c r="H10" i="8"/>
  <c r="I7" i="8"/>
  <c r="G14" i="8"/>
  <c r="G11" i="8"/>
  <c r="G12" i="8" s="1"/>
  <c r="I10" i="7"/>
  <c r="J7" i="7"/>
  <c r="H14" i="7"/>
  <c r="H11" i="7"/>
  <c r="H12" i="7" s="1"/>
  <c r="G10" i="6"/>
  <c r="H7" i="6"/>
  <c r="F11" i="6"/>
  <c r="F12" i="6" s="1"/>
  <c r="F14" i="6"/>
  <c r="H10" i="5"/>
  <c r="I7" i="5"/>
  <c r="G14" i="5"/>
  <c r="G11" i="5"/>
  <c r="G12" i="5" s="1"/>
  <c r="H10" i="4"/>
  <c r="I7" i="4"/>
  <c r="G14" i="4"/>
  <c r="G11" i="4"/>
  <c r="G12" i="4" s="1"/>
  <c r="H10" i="3"/>
  <c r="I7" i="3"/>
  <c r="G14" i="3"/>
  <c r="G11" i="3"/>
  <c r="G12" i="3" s="1"/>
  <c r="F11" i="2"/>
  <c r="F12" i="2" s="1"/>
  <c r="F14" i="2"/>
  <c r="G10" i="2"/>
  <c r="H7" i="2"/>
  <c r="E35" i="6" l="1"/>
  <c r="E24" i="8"/>
  <c r="F35" i="4"/>
  <c r="E35" i="8"/>
  <c r="F24" i="3"/>
  <c r="E24" i="2"/>
  <c r="G31" i="6"/>
  <c r="G32" i="6"/>
  <c r="H31" i="3"/>
  <c r="H32" i="3"/>
  <c r="I19" i="4"/>
  <c r="I27" i="4"/>
  <c r="I28" i="4" s="1"/>
  <c r="I30" i="4" s="1"/>
  <c r="F22" i="6"/>
  <c r="F23" i="6"/>
  <c r="G23" i="4"/>
  <c r="G22" i="4"/>
  <c r="G20" i="2"/>
  <c r="G21" i="2"/>
  <c r="E22" i="7"/>
  <c r="E23" i="7"/>
  <c r="E24" i="7" s="1"/>
  <c r="F34" i="2"/>
  <c r="F33" i="2"/>
  <c r="H19" i="2"/>
  <c r="H27" i="2"/>
  <c r="H28" i="2" s="1"/>
  <c r="H30" i="2" s="1"/>
  <c r="I19" i="3"/>
  <c r="I27" i="3"/>
  <c r="I28" i="3" s="1"/>
  <c r="I30" i="3" s="1"/>
  <c r="H19" i="6"/>
  <c r="H27" i="6"/>
  <c r="H28" i="6" s="1"/>
  <c r="H30" i="6" s="1"/>
  <c r="H19" i="8"/>
  <c r="H27" i="8"/>
  <c r="H28" i="8" s="1"/>
  <c r="H30" i="8" s="1"/>
  <c r="E24" i="6"/>
  <c r="F22" i="2"/>
  <c r="F24" i="2" s="1"/>
  <c r="F23" i="2"/>
  <c r="F33" i="8"/>
  <c r="F35" i="8" s="1"/>
  <c r="F34" i="8"/>
  <c r="H20" i="4"/>
  <c r="H21" i="4"/>
  <c r="G31" i="5"/>
  <c r="G32" i="5"/>
  <c r="F22" i="5"/>
  <c r="F24" i="5" s="1"/>
  <c r="F23" i="5"/>
  <c r="F20" i="7"/>
  <c r="F21" i="7"/>
  <c r="G19" i="7"/>
  <c r="G27" i="7"/>
  <c r="G28" i="7"/>
  <c r="G30" i="7" s="1"/>
  <c r="G31" i="8"/>
  <c r="G32" i="8"/>
  <c r="G20" i="6"/>
  <c r="G21" i="6"/>
  <c r="G23" i="3"/>
  <c r="G22" i="3"/>
  <c r="G24" i="3" s="1"/>
  <c r="G20" i="5"/>
  <c r="G21" i="5"/>
  <c r="H20" i="3"/>
  <c r="H21" i="3"/>
  <c r="E34" i="7"/>
  <c r="E33" i="7"/>
  <c r="H19" i="5"/>
  <c r="H27" i="5"/>
  <c r="H28" i="5" s="1"/>
  <c r="H30" i="5" s="1"/>
  <c r="G24" i="4"/>
  <c r="G20" i="8"/>
  <c r="G21" i="8"/>
  <c r="G31" i="2"/>
  <c r="G32" i="2"/>
  <c r="G34" i="4"/>
  <c r="G33" i="4"/>
  <c r="F33" i="5"/>
  <c r="F34" i="5"/>
  <c r="H32" i="4"/>
  <c r="H31" i="4"/>
  <c r="F22" i="8"/>
  <c r="F24" i="8" s="1"/>
  <c r="F23" i="8"/>
  <c r="G34" i="3"/>
  <c r="G33" i="3"/>
  <c r="F31" i="7"/>
  <c r="F32" i="7"/>
  <c r="F33" i="6"/>
  <c r="F34" i="6"/>
  <c r="E35" i="7"/>
  <c r="F20" i="9"/>
  <c r="E34" i="9" s="1"/>
  <c r="C34" i="9"/>
  <c r="N25" i="9"/>
  <c r="I3" i="8"/>
  <c r="H10" i="9"/>
  <c r="H21" i="9" s="1"/>
  <c r="H3" i="7"/>
  <c r="G9" i="9"/>
  <c r="G20" i="9" s="1"/>
  <c r="I3" i="6"/>
  <c r="H8" i="9"/>
  <c r="H19" i="9" s="1"/>
  <c r="I3" i="5"/>
  <c r="H7" i="9"/>
  <c r="H18" i="9" s="1"/>
  <c r="J3" i="3"/>
  <c r="I6" i="9"/>
  <c r="I17" i="9" s="1"/>
  <c r="J3" i="4"/>
  <c r="I5" i="9"/>
  <c r="I16" i="9" s="1"/>
  <c r="I3" i="2"/>
  <c r="H4" i="9"/>
  <c r="H15" i="9" s="1"/>
  <c r="I10" i="8"/>
  <c r="J7" i="8"/>
  <c r="H14" i="8"/>
  <c r="H11" i="8"/>
  <c r="H12" i="8" s="1"/>
  <c r="J10" i="7"/>
  <c r="K7" i="7"/>
  <c r="I11" i="7"/>
  <c r="I12" i="7" s="1"/>
  <c r="I14" i="7"/>
  <c r="H10" i="6"/>
  <c r="I7" i="6"/>
  <c r="G14" i="6"/>
  <c r="G11" i="6"/>
  <c r="G12" i="6" s="1"/>
  <c r="I10" i="5"/>
  <c r="J7" i="5"/>
  <c r="H14" i="5"/>
  <c r="H11" i="5"/>
  <c r="H12" i="5" s="1"/>
  <c r="I10" i="4"/>
  <c r="J7" i="4"/>
  <c r="H14" i="4"/>
  <c r="H11" i="4"/>
  <c r="H12" i="4" s="1"/>
  <c r="I10" i="3"/>
  <c r="J7" i="3"/>
  <c r="H14" i="3"/>
  <c r="H11" i="3"/>
  <c r="H12" i="3" s="1"/>
  <c r="H10" i="2"/>
  <c r="I7" i="2"/>
  <c r="G14" i="2"/>
  <c r="G11" i="2"/>
  <c r="G12" i="2" s="1"/>
  <c r="F35" i="2" l="1"/>
  <c r="F35" i="6"/>
  <c r="F35" i="5"/>
  <c r="G35" i="3"/>
  <c r="G35" i="4"/>
  <c r="H31" i="8"/>
  <c r="H32" i="8"/>
  <c r="I31" i="3"/>
  <c r="I32" i="3"/>
  <c r="I31" i="4"/>
  <c r="I32" i="4"/>
  <c r="H32" i="2"/>
  <c r="H31" i="2"/>
  <c r="I19" i="2"/>
  <c r="I27" i="2"/>
  <c r="I28" i="2" s="1"/>
  <c r="I30" i="2" s="1"/>
  <c r="I19" i="8"/>
  <c r="I27" i="8"/>
  <c r="I28" i="8" s="1"/>
  <c r="I30" i="8" s="1"/>
  <c r="F33" i="7"/>
  <c r="F34" i="7"/>
  <c r="G34" i="2"/>
  <c r="G33" i="2"/>
  <c r="H32" i="5"/>
  <c r="H31" i="5"/>
  <c r="G32" i="7"/>
  <c r="G31" i="7"/>
  <c r="F23" i="7"/>
  <c r="F22" i="7"/>
  <c r="G34" i="5"/>
  <c r="G33" i="5"/>
  <c r="H32" i="6"/>
  <c r="H31" i="6"/>
  <c r="I21" i="3"/>
  <c r="I20" i="3"/>
  <c r="F24" i="6"/>
  <c r="I19" i="6"/>
  <c r="I27" i="6"/>
  <c r="I28" i="6" s="1"/>
  <c r="I30" i="6" s="1"/>
  <c r="J19" i="4"/>
  <c r="J27" i="4"/>
  <c r="J28" i="4" s="1"/>
  <c r="J30" i="4" s="1"/>
  <c r="I19" i="5"/>
  <c r="I27" i="5"/>
  <c r="I28" i="5" s="1"/>
  <c r="I30" i="5" s="1"/>
  <c r="H19" i="7"/>
  <c r="H27" i="7"/>
  <c r="H28" i="7" s="1"/>
  <c r="H30" i="7" s="1"/>
  <c r="H33" i="4"/>
  <c r="H34" i="4"/>
  <c r="H35" i="4" s="1"/>
  <c r="G22" i="6"/>
  <c r="G23" i="6"/>
  <c r="H20" i="6"/>
  <c r="H21" i="6"/>
  <c r="G34" i="6"/>
  <c r="G33" i="6"/>
  <c r="G35" i="6" s="1"/>
  <c r="G22" i="8"/>
  <c r="G23" i="8"/>
  <c r="H20" i="5"/>
  <c r="H21" i="5"/>
  <c r="H22" i="3"/>
  <c r="H23" i="3"/>
  <c r="G23" i="5"/>
  <c r="G22" i="5"/>
  <c r="G24" i="5" s="1"/>
  <c r="G20" i="7"/>
  <c r="G21" i="7"/>
  <c r="H33" i="3"/>
  <c r="H34" i="3"/>
  <c r="J19" i="3"/>
  <c r="J27" i="3"/>
  <c r="J28" i="3" s="1"/>
  <c r="F35" i="7"/>
  <c r="G35" i="2"/>
  <c r="G33" i="8"/>
  <c r="G34" i="8"/>
  <c r="F24" i="7"/>
  <c r="G35" i="5"/>
  <c r="H22" i="4"/>
  <c r="H23" i="4"/>
  <c r="H20" i="8"/>
  <c r="H21" i="8"/>
  <c r="H20" i="2"/>
  <c r="H21" i="2"/>
  <c r="G23" i="2"/>
  <c r="G22" i="2"/>
  <c r="G24" i="2" s="1"/>
  <c r="I21" i="4"/>
  <c r="I20" i="4"/>
  <c r="J3" i="8"/>
  <c r="I10" i="9"/>
  <c r="I21" i="9" s="1"/>
  <c r="I3" i="7"/>
  <c r="H9" i="9"/>
  <c r="H20" i="9" s="1"/>
  <c r="J3" i="6"/>
  <c r="I8" i="9"/>
  <c r="I19" i="9" s="1"/>
  <c r="J3" i="5"/>
  <c r="I7" i="9"/>
  <c r="I18" i="9" s="1"/>
  <c r="K3" i="3"/>
  <c r="J6" i="9"/>
  <c r="J17" i="9" s="1"/>
  <c r="K3" i="4"/>
  <c r="J5" i="9"/>
  <c r="J16" i="9" s="1"/>
  <c r="J3" i="2"/>
  <c r="I4" i="9"/>
  <c r="I15" i="9" s="1"/>
  <c r="J10" i="8"/>
  <c r="K7" i="8"/>
  <c r="I11" i="8"/>
  <c r="I12" i="8" s="1"/>
  <c r="I14" i="8"/>
  <c r="K10" i="7"/>
  <c r="L7" i="7"/>
  <c r="J11" i="7"/>
  <c r="J12" i="7" s="1"/>
  <c r="J14" i="7"/>
  <c r="I10" i="6"/>
  <c r="J7" i="6"/>
  <c r="H14" i="6"/>
  <c r="H11" i="6"/>
  <c r="H12" i="6" s="1"/>
  <c r="K7" i="5"/>
  <c r="J10" i="5"/>
  <c r="I11" i="5"/>
  <c r="I12" i="5" s="1"/>
  <c r="I14" i="5"/>
  <c r="K7" i="4"/>
  <c r="J10" i="4"/>
  <c r="I11" i="4"/>
  <c r="I12" i="4" s="1"/>
  <c r="I14" i="4"/>
  <c r="K7" i="3"/>
  <c r="J10" i="3"/>
  <c r="I11" i="3"/>
  <c r="I12" i="3" s="1"/>
  <c r="I14" i="3"/>
  <c r="I10" i="2"/>
  <c r="J7" i="2"/>
  <c r="H14" i="2"/>
  <c r="H11" i="2"/>
  <c r="H12" i="2" s="1"/>
  <c r="H24" i="4" l="1"/>
  <c r="H24" i="3"/>
  <c r="G24" i="8"/>
  <c r="G24" i="6"/>
  <c r="H35" i="3"/>
  <c r="G35" i="8"/>
  <c r="J31" i="4"/>
  <c r="J32" i="4"/>
  <c r="I32" i="8"/>
  <c r="I31" i="8"/>
  <c r="J19" i="2"/>
  <c r="J27" i="2"/>
  <c r="J28" i="2" s="1"/>
  <c r="J30" i="2" s="1"/>
  <c r="K19" i="3"/>
  <c r="K27" i="3"/>
  <c r="K28" i="3" s="1"/>
  <c r="K30" i="3" s="1"/>
  <c r="J19" i="6"/>
  <c r="J27" i="6"/>
  <c r="J28" i="6" s="1"/>
  <c r="J30" i="6" s="1"/>
  <c r="J19" i="8"/>
  <c r="J27" i="8"/>
  <c r="J28" i="8" s="1"/>
  <c r="J30" i="8" s="1"/>
  <c r="H22" i="8"/>
  <c r="H23" i="8"/>
  <c r="I32" i="5"/>
  <c r="I31" i="5"/>
  <c r="I21" i="6"/>
  <c r="I20" i="6"/>
  <c r="G34" i="7"/>
  <c r="G33" i="7"/>
  <c r="I31" i="2"/>
  <c r="I32" i="2"/>
  <c r="I22" i="4"/>
  <c r="I23" i="4"/>
  <c r="J20" i="4"/>
  <c r="J21" i="4"/>
  <c r="H34" i="6"/>
  <c r="H33" i="6"/>
  <c r="I33" i="3"/>
  <c r="I34" i="3"/>
  <c r="K19" i="4"/>
  <c r="K27" i="4"/>
  <c r="K28" i="4" s="1"/>
  <c r="K30" i="4" s="1"/>
  <c r="J19" i="5"/>
  <c r="J27" i="5"/>
  <c r="J28" i="5" s="1"/>
  <c r="J30" i="5" s="1"/>
  <c r="I19" i="7"/>
  <c r="I27" i="7"/>
  <c r="I28" i="7" s="1"/>
  <c r="I30" i="7" s="1"/>
  <c r="I24" i="4"/>
  <c r="H22" i="2"/>
  <c r="H23" i="2"/>
  <c r="J30" i="3"/>
  <c r="G22" i="7"/>
  <c r="G23" i="7"/>
  <c r="H22" i="5"/>
  <c r="H23" i="5"/>
  <c r="H23" i="6"/>
  <c r="H22" i="6"/>
  <c r="H24" i="6" s="1"/>
  <c r="H32" i="7"/>
  <c r="H31" i="7"/>
  <c r="I21" i="5"/>
  <c r="I20" i="5"/>
  <c r="I32" i="6"/>
  <c r="I31" i="6"/>
  <c r="H35" i="6"/>
  <c r="I21" i="2"/>
  <c r="I20" i="2"/>
  <c r="I34" i="4"/>
  <c r="I33" i="4"/>
  <c r="H24" i="8"/>
  <c r="J20" i="3"/>
  <c r="J21" i="3"/>
  <c r="H20" i="7"/>
  <c r="H21" i="7"/>
  <c r="I22" i="3"/>
  <c r="I23" i="3"/>
  <c r="H33" i="5"/>
  <c r="H34" i="5"/>
  <c r="I21" i="8"/>
  <c r="I20" i="8"/>
  <c r="H34" i="2"/>
  <c r="H33" i="2"/>
  <c r="H35" i="2" s="1"/>
  <c r="H33" i="8"/>
  <c r="H34" i="8"/>
  <c r="K3" i="8"/>
  <c r="J10" i="9"/>
  <c r="J21" i="9" s="1"/>
  <c r="J3" i="7"/>
  <c r="I9" i="9"/>
  <c r="I20" i="9" s="1"/>
  <c r="K3" i="6"/>
  <c r="J8" i="9"/>
  <c r="J19" i="9" s="1"/>
  <c r="K3" i="5"/>
  <c r="J7" i="9"/>
  <c r="J18" i="9" s="1"/>
  <c r="L3" i="3"/>
  <c r="K6" i="9"/>
  <c r="K17" i="9" s="1"/>
  <c r="L3" i="4"/>
  <c r="K5" i="9"/>
  <c r="K16" i="9" s="1"/>
  <c r="K3" i="2"/>
  <c r="J4" i="9"/>
  <c r="J15" i="9" s="1"/>
  <c r="K10" i="8"/>
  <c r="L7" i="8"/>
  <c r="J11" i="8"/>
  <c r="J12" i="8" s="1"/>
  <c r="J14" i="8"/>
  <c r="L10" i="7"/>
  <c r="M7" i="7"/>
  <c r="K14" i="7"/>
  <c r="K11" i="7"/>
  <c r="K12" i="7" s="1"/>
  <c r="J10" i="6"/>
  <c r="K7" i="6"/>
  <c r="I11" i="6"/>
  <c r="I12" i="6" s="1"/>
  <c r="I14" i="6"/>
  <c r="J11" i="5"/>
  <c r="J12" i="5" s="1"/>
  <c r="J14" i="5"/>
  <c r="K10" i="5"/>
  <c r="L7" i="5"/>
  <c r="K10" i="4"/>
  <c r="L7" i="4"/>
  <c r="J11" i="4"/>
  <c r="J12" i="4" s="1"/>
  <c r="J14" i="4"/>
  <c r="J11" i="3"/>
  <c r="J12" i="3" s="1"/>
  <c r="J14" i="3"/>
  <c r="K10" i="3"/>
  <c r="L7" i="3"/>
  <c r="J10" i="2"/>
  <c r="K7" i="2"/>
  <c r="I11" i="2"/>
  <c r="I12" i="2" s="1"/>
  <c r="I14" i="2"/>
  <c r="G35" i="7" l="1"/>
  <c r="I35" i="4"/>
  <c r="H35" i="8"/>
  <c r="I24" i="3"/>
  <c r="H24" i="5"/>
  <c r="G24" i="7"/>
  <c r="H24" i="2"/>
  <c r="I35" i="3"/>
  <c r="H35" i="5"/>
  <c r="J31" i="5"/>
  <c r="J32" i="5"/>
  <c r="J31" i="2"/>
  <c r="J32" i="2"/>
  <c r="J31" i="8"/>
  <c r="J32" i="8"/>
  <c r="J22" i="3"/>
  <c r="J23" i="3"/>
  <c r="I34" i="6"/>
  <c r="I33" i="6"/>
  <c r="H33" i="7"/>
  <c r="H34" i="7"/>
  <c r="J31" i="3"/>
  <c r="J32" i="3"/>
  <c r="I32" i="7"/>
  <c r="I31" i="7"/>
  <c r="J31" i="6"/>
  <c r="J32" i="6"/>
  <c r="K20" i="3"/>
  <c r="K21" i="3"/>
  <c r="I33" i="8"/>
  <c r="I34" i="8"/>
  <c r="L19" i="4"/>
  <c r="L27" i="4"/>
  <c r="L28" i="4" s="1"/>
  <c r="L30" i="4" s="1"/>
  <c r="K19" i="5"/>
  <c r="K27" i="5"/>
  <c r="K28" i="5" s="1"/>
  <c r="K30" i="5" s="1"/>
  <c r="J19" i="7"/>
  <c r="J27" i="7"/>
  <c r="J28" i="7" s="1"/>
  <c r="J30" i="7" s="1"/>
  <c r="I22" i="2"/>
  <c r="I23" i="2"/>
  <c r="J20" i="5"/>
  <c r="J21" i="5"/>
  <c r="I33" i="2"/>
  <c r="I34" i="2"/>
  <c r="I33" i="5"/>
  <c r="I34" i="5"/>
  <c r="I35" i="5" s="1"/>
  <c r="H23" i="7"/>
  <c r="H22" i="7"/>
  <c r="I22" i="5"/>
  <c r="I23" i="5"/>
  <c r="I21" i="7"/>
  <c r="I20" i="7"/>
  <c r="K31" i="4"/>
  <c r="K32" i="4"/>
  <c r="J20" i="6"/>
  <c r="J21" i="6"/>
  <c r="K19" i="2"/>
  <c r="K27" i="2"/>
  <c r="K28" i="2" s="1"/>
  <c r="K30" i="2" s="1"/>
  <c r="L19" i="3"/>
  <c r="L27" i="3"/>
  <c r="L28" i="3" s="1"/>
  <c r="L30" i="3" s="1"/>
  <c r="K19" i="6"/>
  <c r="K27" i="6"/>
  <c r="K28" i="6" s="1"/>
  <c r="K30" i="6" s="1"/>
  <c r="K19" i="8"/>
  <c r="K27" i="8"/>
  <c r="K28" i="8" s="1"/>
  <c r="K30" i="8" s="1"/>
  <c r="I22" i="8"/>
  <c r="I23" i="8"/>
  <c r="J24" i="3"/>
  <c r="I24" i="5"/>
  <c r="K20" i="4"/>
  <c r="K21" i="4"/>
  <c r="J22" i="4"/>
  <c r="J23" i="4"/>
  <c r="I22" i="6"/>
  <c r="I23" i="6"/>
  <c r="I24" i="6" s="1"/>
  <c r="J20" i="8"/>
  <c r="J21" i="8"/>
  <c r="K32" i="3"/>
  <c r="K31" i="3"/>
  <c r="J20" i="2"/>
  <c r="J21" i="2"/>
  <c r="J34" i="4"/>
  <c r="J33" i="4"/>
  <c r="L3" i="8"/>
  <c r="K10" i="9"/>
  <c r="K21" i="9" s="1"/>
  <c r="K3" i="7"/>
  <c r="J9" i="9"/>
  <c r="J20" i="9" s="1"/>
  <c r="L3" i="6"/>
  <c r="K8" i="9"/>
  <c r="K19" i="9" s="1"/>
  <c r="L3" i="5"/>
  <c r="K7" i="9"/>
  <c r="K18" i="9" s="1"/>
  <c r="M3" i="3"/>
  <c r="L6" i="9"/>
  <c r="L17" i="9" s="1"/>
  <c r="M3" i="4"/>
  <c r="L5" i="9"/>
  <c r="L16" i="9" s="1"/>
  <c r="L3" i="2"/>
  <c r="K4" i="9"/>
  <c r="K15" i="9" s="1"/>
  <c r="L10" i="8"/>
  <c r="M7" i="8"/>
  <c r="K11" i="8"/>
  <c r="K12" i="8" s="1"/>
  <c r="K14" i="8"/>
  <c r="M10" i="7"/>
  <c r="N7" i="7"/>
  <c r="L14" i="7"/>
  <c r="L11" i="7"/>
  <c r="L12" i="7" s="1"/>
  <c r="K10" i="6"/>
  <c r="L7" i="6"/>
  <c r="J11" i="6"/>
  <c r="J12" i="6" s="1"/>
  <c r="J14" i="6"/>
  <c r="L10" i="5"/>
  <c r="M7" i="5"/>
  <c r="K11" i="5"/>
  <c r="K12" i="5" s="1"/>
  <c r="K14" i="5"/>
  <c r="L10" i="4"/>
  <c r="M7" i="4"/>
  <c r="K14" i="4"/>
  <c r="K11" i="4"/>
  <c r="K12" i="4" s="1"/>
  <c r="L10" i="3"/>
  <c r="M7" i="3"/>
  <c r="K14" i="3"/>
  <c r="K11" i="3"/>
  <c r="K12" i="3" s="1"/>
  <c r="K10" i="2"/>
  <c r="L7" i="2"/>
  <c r="J11" i="2"/>
  <c r="J12" i="2" s="1"/>
  <c r="J14" i="2"/>
  <c r="H24" i="7" l="1"/>
  <c r="I24" i="2"/>
  <c r="H35" i="7"/>
  <c r="J24" i="4"/>
  <c r="I35" i="8"/>
  <c r="I35" i="6"/>
  <c r="J35" i="4"/>
  <c r="I35" i="2"/>
  <c r="J31" i="7"/>
  <c r="J32" i="7"/>
  <c r="K32" i="8"/>
  <c r="K31" i="8"/>
  <c r="L31" i="3"/>
  <c r="L32" i="3"/>
  <c r="K20" i="2"/>
  <c r="K21" i="2"/>
  <c r="K32" i="5"/>
  <c r="K31" i="5"/>
  <c r="L20" i="4"/>
  <c r="L21" i="4"/>
  <c r="K23" i="3"/>
  <c r="K22" i="3"/>
  <c r="I34" i="7"/>
  <c r="I33" i="7"/>
  <c r="M19" i="4"/>
  <c r="M27" i="4"/>
  <c r="M28" i="4" s="1"/>
  <c r="M30" i="4" s="1"/>
  <c r="L19" i="5"/>
  <c r="L27" i="5"/>
  <c r="L28" i="5" s="1"/>
  <c r="L30" i="5" s="1"/>
  <c r="K19" i="7"/>
  <c r="K27" i="7"/>
  <c r="K28" i="7" s="1"/>
  <c r="K30" i="7" s="1"/>
  <c r="J22" i="2"/>
  <c r="J23" i="2"/>
  <c r="J23" i="8"/>
  <c r="J22" i="8"/>
  <c r="J24" i="8" s="1"/>
  <c r="K20" i="8"/>
  <c r="K21" i="8"/>
  <c r="I22" i="7"/>
  <c r="I23" i="7"/>
  <c r="I24" i="7" s="1"/>
  <c r="K20" i="5"/>
  <c r="K21" i="5"/>
  <c r="J34" i="2"/>
  <c r="J33" i="2"/>
  <c r="K33" i="3"/>
  <c r="K34" i="3"/>
  <c r="K31" i="6"/>
  <c r="K32" i="6"/>
  <c r="L20" i="3"/>
  <c r="L21" i="3"/>
  <c r="L31" i="4"/>
  <c r="L32" i="4"/>
  <c r="J34" i="6"/>
  <c r="J33" i="6"/>
  <c r="L19" i="2"/>
  <c r="L27" i="2"/>
  <c r="L28" i="2" s="1"/>
  <c r="L30" i="2" s="1"/>
  <c r="M19" i="3"/>
  <c r="M27" i="3"/>
  <c r="M28" i="3" s="1"/>
  <c r="M30" i="3" s="1"/>
  <c r="L19" i="6"/>
  <c r="L27" i="6"/>
  <c r="L28" i="6" s="1"/>
  <c r="L30" i="6" s="1"/>
  <c r="L19" i="8"/>
  <c r="L27" i="8"/>
  <c r="L28" i="8" s="1"/>
  <c r="L30" i="8" s="1"/>
  <c r="K23" i="4"/>
  <c r="K22" i="4"/>
  <c r="I24" i="8"/>
  <c r="K20" i="6"/>
  <c r="K21" i="6"/>
  <c r="K31" i="2"/>
  <c r="K32" i="2"/>
  <c r="J23" i="6"/>
  <c r="J22" i="6"/>
  <c r="K34" i="4"/>
  <c r="K33" i="4"/>
  <c r="J22" i="5"/>
  <c r="J23" i="5"/>
  <c r="J20" i="7"/>
  <c r="J21" i="7"/>
  <c r="K24" i="3"/>
  <c r="J33" i="3"/>
  <c r="J34" i="3"/>
  <c r="J33" i="8"/>
  <c r="J34" i="8"/>
  <c r="J33" i="5"/>
  <c r="J34" i="5"/>
  <c r="M3" i="8"/>
  <c r="L10" i="9"/>
  <c r="L21" i="9" s="1"/>
  <c r="L3" i="7"/>
  <c r="K9" i="9"/>
  <c r="K20" i="9" s="1"/>
  <c r="M3" i="6"/>
  <c r="L8" i="9"/>
  <c r="L19" i="9" s="1"/>
  <c r="M3" i="5"/>
  <c r="L7" i="9"/>
  <c r="L18" i="9" s="1"/>
  <c r="N3" i="3"/>
  <c r="M6" i="9"/>
  <c r="M17" i="9" s="1"/>
  <c r="N3" i="4"/>
  <c r="M5" i="9"/>
  <c r="M16" i="9" s="1"/>
  <c r="M3" i="2"/>
  <c r="L4" i="9"/>
  <c r="L15" i="9" s="1"/>
  <c r="M10" i="8"/>
  <c r="N7" i="8"/>
  <c r="L14" i="8"/>
  <c r="L11" i="8"/>
  <c r="L12" i="8" s="1"/>
  <c r="N10" i="7"/>
  <c r="O7" i="7"/>
  <c r="M11" i="7"/>
  <c r="M12" i="7" s="1"/>
  <c r="M14" i="7"/>
  <c r="L10" i="6"/>
  <c r="M7" i="6"/>
  <c r="K14" i="6"/>
  <c r="K11" i="6"/>
  <c r="K12" i="6" s="1"/>
  <c r="M10" i="5"/>
  <c r="N7" i="5"/>
  <c r="L14" i="5"/>
  <c r="L11" i="5"/>
  <c r="L12" i="5" s="1"/>
  <c r="M10" i="4"/>
  <c r="N7" i="4"/>
  <c r="L14" i="4"/>
  <c r="L11" i="4"/>
  <c r="L12" i="4" s="1"/>
  <c r="M10" i="3"/>
  <c r="N7" i="3"/>
  <c r="L14" i="3"/>
  <c r="L11" i="3"/>
  <c r="L12" i="3" s="1"/>
  <c r="L10" i="2"/>
  <c r="M7" i="2"/>
  <c r="K14" i="2"/>
  <c r="K11" i="2"/>
  <c r="K12" i="2" s="1"/>
  <c r="K35" i="3" l="1"/>
  <c r="J24" i="5"/>
  <c r="J24" i="6"/>
  <c r="J24" i="2"/>
  <c r="K24" i="4"/>
  <c r="I35" i="7"/>
  <c r="J35" i="8"/>
  <c r="K35" i="4"/>
  <c r="J35" i="2"/>
  <c r="J35" i="5"/>
  <c r="J35" i="3"/>
  <c r="M32" i="3"/>
  <c r="M31" i="3"/>
  <c r="J22" i="7"/>
  <c r="J23" i="7"/>
  <c r="K34" i="2"/>
  <c r="K33" i="2"/>
  <c r="L31" i="8"/>
  <c r="L32" i="8"/>
  <c r="L20" i="6"/>
  <c r="L21" i="6"/>
  <c r="L31" i="2"/>
  <c r="L32" i="2"/>
  <c r="M21" i="4"/>
  <c r="M20" i="4"/>
  <c r="K33" i="5"/>
  <c r="K34" i="5"/>
  <c r="N19" i="4"/>
  <c r="N27" i="4"/>
  <c r="N28" i="4" s="1"/>
  <c r="N30" i="4" s="1"/>
  <c r="M19" i="5"/>
  <c r="M27" i="5"/>
  <c r="M28" i="5" s="1"/>
  <c r="M30" i="5" s="1"/>
  <c r="L19" i="7"/>
  <c r="L27" i="7"/>
  <c r="L28" i="7" s="1"/>
  <c r="L30" i="7" s="1"/>
  <c r="L34" i="4"/>
  <c r="L33" i="4"/>
  <c r="L22" i="3"/>
  <c r="L23" i="3"/>
  <c r="K32" i="7"/>
  <c r="K31" i="7"/>
  <c r="L20" i="5"/>
  <c r="L21" i="5"/>
  <c r="L33" i="3"/>
  <c r="L34" i="3"/>
  <c r="L20" i="8"/>
  <c r="L21" i="8"/>
  <c r="L20" i="2"/>
  <c r="L21" i="2"/>
  <c r="K20" i="7"/>
  <c r="K21" i="7"/>
  <c r="M32" i="4"/>
  <c r="M31" i="4"/>
  <c r="K34" i="8"/>
  <c r="K33" i="8"/>
  <c r="M19" i="2"/>
  <c r="M27" i="2"/>
  <c r="M28" i="2" s="1"/>
  <c r="M30" i="2" s="1"/>
  <c r="N19" i="3"/>
  <c r="N27" i="3"/>
  <c r="N28" i="3" s="1"/>
  <c r="N30" i="3" s="1"/>
  <c r="M19" i="6"/>
  <c r="M27" i="6"/>
  <c r="M28" i="6" s="1"/>
  <c r="M30" i="6" s="1"/>
  <c r="M19" i="8"/>
  <c r="M27" i="8"/>
  <c r="M28" i="8" s="1"/>
  <c r="K35" i="2"/>
  <c r="K23" i="6"/>
  <c r="K22" i="6"/>
  <c r="L31" i="6"/>
  <c r="L32" i="6"/>
  <c r="M21" i="3"/>
  <c r="M20" i="3"/>
  <c r="J35" i="6"/>
  <c r="K34" i="6"/>
  <c r="K33" i="6"/>
  <c r="K23" i="5"/>
  <c r="K22" i="5"/>
  <c r="K23" i="8"/>
  <c r="K22" i="8"/>
  <c r="L31" i="5"/>
  <c r="L32" i="5"/>
  <c r="L22" i="4"/>
  <c r="L23" i="4"/>
  <c r="K23" i="2"/>
  <c r="K22" i="2"/>
  <c r="J34" i="7"/>
  <c r="J33" i="7"/>
  <c r="N3" i="8"/>
  <c r="M10" i="9"/>
  <c r="M21" i="9" s="1"/>
  <c r="M3" i="7"/>
  <c r="L9" i="9"/>
  <c r="L20" i="9" s="1"/>
  <c r="N3" i="6"/>
  <c r="M8" i="9"/>
  <c r="M19" i="9" s="1"/>
  <c r="N3" i="5"/>
  <c r="M7" i="9"/>
  <c r="M18" i="9" s="1"/>
  <c r="O3" i="3"/>
  <c r="N6" i="9"/>
  <c r="N17" i="9" s="1"/>
  <c r="O3" i="4"/>
  <c r="N5" i="9"/>
  <c r="N16" i="9" s="1"/>
  <c r="N3" i="2"/>
  <c r="M4" i="9"/>
  <c r="M15" i="9" s="1"/>
  <c r="O7" i="8"/>
  <c r="N10" i="8"/>
  <c r="M11" i="8"/>
  <c r="M12" i="8" s="1"/>
  <c r="M14" i="8"/>
  <c r="O10" i="7"/>
  <c r="P7" i="7"/>
  <c r="P10" i="7" s="1"/>
  <c r="N11" i="7"/>
  <c r="N12" i="7" s="1"/>
  <c r="N14" i="7"/>
  <c r="M10" i="6"/>
  <c r="N7" i="6"/>
  <c r="L14" i="6"/>
  <c r="L11" i="6"/>
  <c r="L12" i="6" s="1"/>
  <c r="N10" i="5"/>
  <c r="O7" i="5"/>
  <c r="M11" i="5"/>
  <c r="M12" i="5" s="1"/>
  <c r="M14" i="5"/>
  <c r="N10" i="4"/>
  <c r="O7" i="4"/>
  <c r="M11" i="4"/>
  <c r="M12" i="4" s="1"/>
  <c r="M14" i="4"/>
  <c r="N10" i="3"/>
  <c r="O7" i="3"/>
  <c r="M11" i="3"/>
  <c r="M12" i="3" s="1"/>
  <c r="M14" i="3"/>
  <c r="M10" i="2"/>
  <c r="N7" i="2"/>
  <c r="L14" i="2"/>
  <c r="L11" i="2"/>
  <c r="L12" i="2" s="1"/>
  <c r="J24" i="7" l="1"/>
  <c r="K24" i="6"/>
  <c r="L24" i="4"/>
  <c r="L35" i="3"/>
  <c r="L35" i="4"/>
  <c r="K24" i="2"/>
  <c r="K24" i="5"/>
  <c r="K35" i="5"/>
  <c r="K24" i="8"/>
  <c r="K35" i="6"/>
  <c r="K35" i="8"/>
  <c r="L24" i="3"/>
  <c r="J35" i="7"/>
  <c r="N32" i="3"/>
  <c r="N31" i="3"/>
  <c r="M31" i="2"/>
  <c r="M32" i="2"/>
  <c r="M32" i="5"/>
  <c r="M31" i="5"/>
  <c r="O5" i="9"/>
  <c r="O16" i="9" s="1"/>
  <c r="O19" i="4"/>
  <c r="O27" i="4"/>
  <c r="O28" i="4" s="1"/>
  <c r="O30" i="4" s="1"/>
  <c r="N19" i="5"/>
  <c r="N27" i="5"/>
  <c r="N28" i="5" s="1"/>
  <c r="N30" i="5" s="1"/>
  <c r="M19" i="7"/>
  <c r="M27" i="7"/>
  <c r="M28" i="7" s="1"/>
  <c r="M30" i="7" s="1"/>
  <c r="M31" i="6"/>
  <c r="M32" i="6"/>
  <c r="M21" i="2"/>
  <c r="M20" i="2"/>
  <c r="L22" i="2"/>
  <c r="L23" i="2"/>
  <c r="L22" i="5"/>
  <c r="L23" i="5"/>
  <c r="L20" i="7"/>
  <c r="L21" i="7"/>
  <c r="N32" i="4"/>
  <c r="N31" i="4"/>
  <c r="L34" i="6"/>
  <c r="L33" i="6"/>
  <c r="N20" i="3"/>
  <c r="N21" i="3"/>
  <c r="K34" i="7"/>
  <c r="K33" i="7"/>
  <c r="L34" i="2"/>
  <c r="L33" i="2"/>
  <c r="L34" i="8"/>
  <c r="L33" i="8"/>
  <c r="N19" i="2"/>
  <c r="N27" i="2"/>
  <c r="N28" i="2" s="1"/>
  <c r="N30" i="2" s="1"/>
  <c r="O6" i="9"/>
  <c r="O17" i="9" s="1"/>
  <c r="O19" i="3"/>
  <c r="O27" i="3"/>
  <c r="O28" i="3" s="1"/>
  <c r="O30" i="3" s="1"/>
  <c r="N19" i="6"/>
  <c r="N27" i="6"/>
  <c r="N28" i="6" s="1"/>
  <c r="N30" i="6" s="1"/>
  <c r="N19" i="8"/>
  <c r="N27" i="8"/>
  <c r="N28" i="8" s="1"/>
  <c r="N30" i="8" s="1"/>
  <c r="L33" i="5"/>
  <c r="L34" i="5"/>
  <c r="M23" i="3"/>
  <c r="M22" i="3"/>
  <c r="M30" i="8"/>
  <c r="M21" i="6"/>
  <c r="M20" i="6"/>
  <c r="L23" i="8"/>
  <c r="L22" i="8"/>
  <c r="L24" i="8" s="1"/>
  <c r="N20" i="4"/>
  <c r="N21" i="4"/>
  <c r="M23" i="4"/>
  <c r="M22" i="4"/>
  <c r="M24" i="4" s="1"/>
  <c r="M34" i="3"/>
  <c r="M33" i="3"/>
  <c r="M35" i="3" s="1"/>
  <c r="M21" i="8"/>
  <c r="M20" i="8"/>
  <c r="M33" i="4"/>
  <c r="M34" i="4"/>
  <c r="K22" i="7"/>
  <c r="K23" i="7"/>
  <c r="L24" i="2"/>
  <c r="L24" i="5"/>
  <c r="L31" i="7"/>
  <c r="L32" i="7"/>
  <c r="M21" i="5"/>
  <c r="M20" i="5"/>
  <c r="L22" i="6"/>
  <c r="L23" i="6"/>
  <c r="O3" i="8"/>
  <c r="N10" i="9"/>
  <c r="N21" i="9" s="1"/>
  <c r="N3" i="7"/>
  <c r="M9" i="9"/>
  <c r="M20" i="9" s="1"/>
  <c r="O3" i="6"/>
  <c r="N8" i="9"/>
  <c r="N19" i="9" s="1"/>
  <c r="O3" i="5"/>
  <c r="N7" i="9"/>
  <c r="N18" i="9" s="1"/>
  <c r="N4" i="9"/>
  <c r="N15" i="9" s="1"/>
  <c r="N11" i="8"/>
  <c r="N12" i="8" s="1"/>
  <c r="N14" i="8"/>
  <c r="O10" i="8"/>
  <c r="P7" i="8"/>
  <c r="P10" i="8" s="1"/>
  <c r="P14" i="7"/>
  <c r="P11" i="7"/>
  <c r="P12" i="7" s="1"/>
  <c r="O14" i="7"/>
  <c r="O11" i="7"/>
  <c r="O12" i="7" s="1"/>
  <c r="N10" i="6"/>
  <c r="O7" i="6"/>
  <c r="M11" i="6"/>
  <c r="M12" i="6" s="1"/>
  <c r="M14" i="6"/>
  <c r="O10" i="5"/>
  <c r="P7" i="5"/>
  <c r="P10" i="5" s="1"/>
  <c r="N11" i="5"/>
  <c r="N12" i="5" s="1"/>
  <c r="N14" i="5"/>
  <c r="O10" i="4"/>
  <c r="P7" i="4"/>
  <c r="P10" i="4" s="1"/>
  <c r="N11" i="4"/>
  <c r="N12" i="4" s="1"/>
  <c r="N14" i="4"/>
  <c r="O10" i="3"/>
  <c r="P7" i="3"/>
  <c r="P10" i="3" s="1"/>
  <c r="N11" i="3"/>
  <c r="N12" i="3" s="1"/>
  <c r="N14" i="3"/>
  <c r="N10" i="2"/>
  <c r="O7" i="2"/>
  <c r="M11" i="2"/>
  <c r="M12" i="2" s="1"/>
  <c r="M14" i="2"/>
  <c r="K24" i="7" l="1"/>
  <c r="M24" i="3"/>
  <c r="M35" i="4"/>
  <c r="K35" i="7"/>
  <c r="L24" i="6"/>
  <c r="L35" i="2"/>
  <c r="L35" i="5"/>
  <c r="L35" i="8"/>
  <c r="L35" i="6"/>
  <c r="N31" i="8"/>
  <c r="N32" i="8"/>
  <c r="M31" i="7"/>
  <c r="M32" i="7"/>
  <c r="M23" i="5"/>
  <c r="M22" i="5"/>
  <c r="M22" i="6"/>
  <c r="M23" i="6"/>
  <c r="N20" i="6"/>
  <c r="N21" i="6"/>
  <c r="N31" i="2"/>
  <c r="N32" i="2"/>
  <c r="L23" i="7"/>
  <c r="L22" i="7"/>
  <c r="N20" i="5"/>
  <c r="N21" i="5"/>
  <c r="O7" i="9"/>
  <c r="O18" i="9" s="1"/>
  <c r="O19" i="5"/>
  <c r="O27" i="5"/>
  <c r="O28" i="5" s="1"/>
  <c r="O30" i="5" s="1"/>
  <c r="N19" i="7"/>
  <c r="N27" i="7"/>
  <c r="N28" i="7" s="1"/>
  <c r="N30" i="7" s="1"/>
  <c r="M24" i="5"/>
  <c r="N20" i="8"/>
  <c r="N21" i="8"/>
  <c r="D40" i="3"/>
  <c r="D43" i="9" s="1"/>
  <c r="O31" i="3"/>
  <c r="O32" i="3"/>
  <c r="N33" i="4"/>
  <c r="N34" i="4"/>
  <c r="M34" i="6"/>
  <c r="M33" i="6"/>
  <c r="M21" i="7"/>
  <c r="M20" i="7"/>
  <c r="O31" i="4"/>
  <c r="O32" i="4"/>
  <c r="D40" i="4"/>
  <c r="M33" i="5"/>
  <c r="M34" i="5"/>
  <c r="M33" i="2"/>
  <c r="M34" i="2"/>
  <c r="M22" i="8"/>
  <c r="M23" i="8"/>
  <c r="M32" i="8"/>
  <c r="M31" i="8"/>
  <c r="N32" i="6"/>
  <c r="N31" i="6"/>
  <c r="O20" i="3"/>
  <c r="O21" i="3"/>
  <c r="B40" i="3"/>
  <c r="B43" i="9" s="1"/>
  <c r="N20" i="2"/>
  <c r="N21" i="2"/>
  <c r="N35" i="4"/>
  <c r="M23" i="2"/>
  <c r="M22" i="2"/>
  <c r="N32" i="5"/>
  <c r="N31" i="5"/>
  <c r="O20" i="4"/>
  <c r="O21" i="4"/>
  <c r="B40" i="4"/>
  <c r="M35" i="5"/>
  <c r="N34" i="3"/>
  <c r="N35" i="3" s="1"/>
  <c r="N33" i="3"/>
  <c r="O4" i="9"/>
  <c r="O15" i="9" s="1"/>
  <c r="O19" i="2"/>
  <c r="O27" i="2"/>
  <c r="O28" i="2" s="1"/>
  <c r="O30" i="2" s="1"/>
  <c r="O8" i="9"/>
  <c r="O19" i="9" s="1"/>
  <c r="O19" i="6"/>
  <c r="O27" i="6"/>
  <c r="O28" i="6" s="1"/>
  <c r="O30" i="6" s="1"/>
  <c r="O10" i="9"/>
  <c r="O21" i="9" s="1"/>
  <c r="O19" i="8"/>
  <c r="O27" i="8"/>
  <c r="O28" i="8" s="1"/>
  <c r="O30" i="8" s="1"/>
  <c r="L34" i="7"/>
  <c r="L33" i="7"/>
  <c r="L35" i="7" s="1"/>
  <c r="M24" i="8"/>
  <c r="N22" i="4"/>
  <c r="N23" i="4"/>
  <c r="N22" i="3"/>
  <c r="N24" i="3" s="1"/>
  <c r="N23" i="3"/>
  <c r="L24" i="7"/>
  <c r="M24" i="2"/>
  <c r="D40" i="2"/>
  <c r="D41" i="9" s="1"/>
  <c r="O3" i="7"/>
  <c r="N9" i="9"/>
  <c r="N20" i="9" s="1"/>
  <c r="P14" i="8"/>
  <c r="P11" i="8"/>
  <c r="P12" i="8" s="1"/>
  <c r="O14" i="8"/>
  <c r="O11" i="8"/>
  <c r="O12" i="8" s="1"/>
  <c r="O10" i="6"/>
  <c r="P7" i="6"/>
  <c r="P10" i="6" s="1"/>
  <c r="N11" i="6"/>
  <c r="N12" i="6" s="1"/>
  <c r="N14" i="6"/>
  <c r="P14" i="5"/>
  <c r="P11" i="5"/>
  <c r="P12" i="5" s="1"/>
  <c r="O14" i="5"/>
  <c r="O11" i="5"/>
  <c r="O12" i="5" s="1"/>
  <c r="P14" i="4"/>
  <c r="P11" i="4"/>
  <c r="P12" i="4" s="1"/>
  <c r="O14" i="4"/>
  <c r="O11" i="4"/>
  <c r="O12" i="4" s="1"/>
  <c r="P14" i="3"/>
  <c r="P11" i="3"/>
  <c r="P12" i="3" s="1"/>
  <c r="O14" i="3"/>
  <c r="O11" i="3"/>
  <c r="O12" i="3" s="1"/>
  <c r="O10" i="2"/>
  <c r="P7" i="2"/>
  <c r="P10" i="2" s="1"/>
  <c r="N11" i="2"/>
  <c r="N12" i="2" s="1"/>
  <c r="N14" i="2"/>
  <c r="B7" i="1"/>
  <c r="B10" i="1" s="1"/>
  <c r="B14" i="1" s="1"/>
  <c r="C5" i="1"/>
  <c r="C3" i="1"/>
  <c r="D4" i="1"/>
  <c r="E4" i="1" s="1"/>
  <c r="F4" i="1" s="1"/>
  <c r="G4" i="1" s="1"/>
  <c r="H4" i="1" s="1"/>
  <c r="I4" i="1" s="1"/>
  <c r="J4" i="1" s="1"/>
  <c r="K4" i="1" s="1"/>
  <c r="M24" i="6" l="1"/>
  <c r="D5" i="1"/>
  <c r="E5" i="1" s="1"/>
  <c r="F5" i="1" s="1"/>
  <c r="C6" i="1"/>
  <c r="D3" i="1"/>
  <c r="C19" i="1"/>
  <c r="C11" i="9"/>
  <c r="C22" i="9" s="1"/>
  <c r="C27" i="1"/>
  <c r="C28" i="1"/>
  <c r="C30" i="1" s="1"/>
  <c r="N24" i="4"/>
  <c r="M35" i="2"/>
  <c r="M35" i="6"/>
  <c r="D40" i="6"/>
  <c r="D45" i="9" s="1"/>
  <c r="O32" i="6"/>
  <c r="O31" i="6"/>
  <c r="O9" i="9"/>
  <c r="O20" i="9" s="1"/>
  <c r="O19" i="7"/>
  <c r="O27" i="7"/>
  <c r="O28" i="7" s="1"/>
  <c r="O30" i="7" s="1"/>
  <c r="O32" i="8"/>
  <c r="O31" i="8"/>
  <c r="O20" i="2"/>
  <c r="O21" i="2"/>
  <c r="B40" i="2"/>
  <c r="B41" i="9" s="1"/>
  <c r="N33" i="5"/>
  <c r="N34" i="5"/>
  <c r="N22" i="8"/>
  <c r="N23" i="8"/>
  <c r="N20" i="7"/>
  <c r="N21" i="7"/>
  <c r="O20" i="8"/>
  <c r="O21" i="8"/>
  <c r="B40" i="8"/>
  <c r="B47" i="9" s="1"/>
  <c r="O20" i="6"/>
  <c r="O21" i="6"/>
  <c r="B40" i="6"/>
  <c r="B45" i="9" s="1"/>
  <c r="B42" i="9"/>
  <c r="D40" i="8"/>
  <c r="D47" i="9" s="1"/>
  <c r="O34" i="4"/>
  <c r="O33" i="4"/>
  <c r="O34" i="3"/>
  <c r="O33" i="3"/>
  <c r="O31" i="5"/>
  <c r="O32" i="5"/>
  <c r="N22" i="6"/>
  <c r="N23" i="6"/>
  <c r="O23" i="3"/>
  <c r="O22" i="3"/>
  <c r="M33" i="8"/>
  <c r="M34" i="8"/>
  <c r="M22" i="7"/>
  <c r="M23" i="7"/>
  <c r="N31" i="7"/>
  <c r="N32" i="7"/>
  <c r="O20" i="5"/>
  <c r="O21" i="5"/>
  <c r="B40" i="5"/>
  <c r="B44" i="9" s="1"/>
  <c r="N22" i="5"/>
  <c r="N23" i="5"/>
  <c r="N33" i="8"/>
  <c r="N34" i="8"/>
  <c r="O31" i="2"/>
  <c r="O32" i="2"/>
  <c r="O23" i="4"/>
  <c r="O22" i="4"/>
  <c r="O24" i="4" s="1"/>
  <c r="C40" i="4" s="1"/>
  <c r="N22" i="2"/>
  <c r="N23" i="2"/>
  <c r="N34" i="6"/>
  <c r="N33" i="6"/>
  <c r="N35" i="6" s="1"/>
  <c r="D42" i="9"/>
  <c r="N24" i="8"/>
  <c r="N34" i="2"/>
  <c r="N33" i="2"/>
  <c r="M33" i="7"/>
  <c r="M34" i="7"/>
  <c r="D40" i="5"/>
  <c r="D44" i="9" s="1"/>
  <c r="P14" i="6"/>
  <c r="P11" i="6"/>
  <c r="P12" i="6" s="1"/>
  <c r="O14" i="6"/>
  <c r="O11" i="6"/>
  <c r="O12" i="6" s="1"/>
  <c r="P14" i="2"/>
  <c r="P11" i="2"/>
  <c r="P12" i="2" s="1"/>
  <c r="O14" i="2"/>
  <c r="O11" i="2"/>
  <c r="O12" i="2" s="1"/>
  <c r="B11" i="1"/>
  <c r="B12" i="1" s="1"/>
  <c r="E3" i="1"/>
  <c r="C32" i="1" l="1"/>
  <c r="C31" i="1"/>
  <c r="D11" i="9"/>
  <c r="D22" i="9" s="1"/>
  <c r="D19" i="1"/>
  <c r="D27" i="1"/>
  <c r="D28" i="1"/>
  <c r="D30" i="1" s="1"/>
  <c r="C20" i="1"/>
  <c r="C21" i="1"/>
  <c r="F3" i="1"/>
  <c r="E11" i="9"/>
  <c r="E22" i="9" s="1"/>
  <c r="E19" i="1"/>
  <c r="E27" i="1"/>
  <c r="E28" i="1"/>
  <c r="E30" i="1" s="1"/>
  <c r="M35" i="8"/>
  <c r="N24" i="6"/>
  <c r="M35" i="7"/>
  <c r="M24" i="7"/>
  <c r="O24" i="3"/>
  <c r="C40" i="3" s="1"/>
  <c r="C43" i="9" s="1"/>
  <c r="N35" i="5"/>
  <c r="N35" i="2"/>
  <c r="N24" i="2"/>
  <c r="N24" i="5"/>
  <c r="O35" i="3"/>
  <c r="E40" i="3" s="1"/>
  <c r="E43" i="9" s="1"/>
  <c r="N35" i="8"/>
  <c r="O35" i="4"/>
  <c r="E40" i="4" s="1"/>
  <c r="C42" i="9"/>
  <c r="N33" i="7"/>
  <c r="N35" i="7" s="1"/>
  <c r="N34" i="7"/>
  <c r="N23" i="7"/>
  <c r="N22" i="7"/>
  <c r="O34" i="6"/>
  <c r="O35" i="6" s="1"/>
  <c r="E40" i="6" s="1"/>
  <c r="E45" i="9" s="1"/>
  <c r="O33" i="6"/>
  <c r="O22" i="8"/>
  <c r="O23" i="8"/>
  <c r="D40" i="7"/>
  <c r="D46" i="9" s="1"/>
  <c r="O32" i="7"/>
  <c r="O31" i="7"/>
  <c r="O34" i="2"/>
  <c r="O33" i="2"/>
  <c r="O23" i="5"/>
  <c r="O22" i="5"/>
  <c r="O24" i="5" s="1"/>
  <c r="C40" i="5" s="1"/>
  <c r="C44" i="9" s="1"/>
  <c r="O34" i="5"/>
  <c r="O33" i="5"/>
  <c r="O23" i="6"/>
  <c r="O22" i="6"/>
  <c r="O24" i="6" s="1"/>
  <c r="C40" i="6" s="1"/>
  <c r="C45" i="9" s="1"/>
  <c r="O23" i="2"/>
  <c r="O22" i="2"/>
  <c r="O24" i="2" s="1"/>
  <c r="C40" i="2" s="1"/>
  <c r="C41" i="9" s="1"/>
  <c r="O20" i="7"/>
  <c r="O21" i="7"/>
  <c r="B40" i="7"/>
  <c r="B46" i="9" s="1"/>
  <c r="O34" i="8"/>
  <c r="O33" i="8"/>
  <c r="C7" i="1"/>
  <c r="C10" i="1" s="1"/>
  <c r="D6" i="1"/>
  <c r="O24" i="8" l="1"/>
  <c r="C40" i="8" s="1"/>
  <c r="C47" i="9" s="1"/>
  <c r="C23" i="1"/>
  <c r="C22" i="1"/>
  <c r="E31" i="1"/>
  <c r="E32" i="1"/>
  <c r="G3" i="1"/>
  <c r="F11" i="9"/>
  <c r="F19" i="1"/>
  <c r="F27" i="1"/>
  <c r="F28" i="1" s="1"/>
  <c r="F30" i="1" s="1"/>
  <c r="D31" i="1"/>
  <c r="D32" i="1"/>
  <c r="C34" i="1"/>
  <c r="C35" i="1" s="1"/>
  <c r="C33" i="1"/>
  <c r="E21" i="1"/>
  <c r="E20" i="1"/>
  <c r="D21" i="1"/>
  <c r="D20" i="1"/>
  <c r="C24" i="1"/>
  <c r="N24" i="7"/>
  <c r="E42" i="9"/>
  <c r="O35" i="8"/>
  <c r="E40" i="8" s="1"/>
  <c r="E47" i="9" s="1"/>
  <c r="O35" i="5"/>
  <c r="E40" i="5" s="1"/>
  <c r="E44" i="9" s="1"/>
  <c r="O35" i="2"/>
  <c r="E40" i="2" s="1"/>
  <c r="E41" i="9" s="1"/>
  <c r="O23" i="7"/>
  <c r="O22" i="7"/>
  <c r="O34" i="7"/>
  <c r="O33" i="7"/>
  <c r="O35" i="7" s="1"/>
  <c r="E40" i="7" s="1"/>
  <c r="E46" i="9" s="1"/>
  <c r="D7" i="1"/>
  <c r="D10" i="1" s="1"/>
  <c r="E6" i="1"/>
  <c r="C14" i="1"/>
  <c r="C11" i="1"/>
  <c r="C12" i="1" s="1"/>
  <c r="O24" i="7" l="1"/>
  <c r="C40" i="7" s="1"/>
  <c r="C46" i="9" s="1"/>
  <c r="F32" i="1"/>
  <c r="F31" i="1"/>
  <c r="F21" i="1"/>
  <c r="F20" i="1"/>
  <c r="E33" i="1"/>
  <c r="E34" i="1"/>
  <c r="E22" i="1"/>
  <c r="E23" i="1"/>
  <c r="E24" i="1" s="1"/>
  <c r="D33" i="1"/>
  <c r="D35" i="1" s="1"/>
  <c r="D34" i="1"/>
  <c r="C36" i="9"/>
  <c r="F22" i="9"/>
  <c r="E36" i="9" s="1"/>
  <c r="D24" i="1"/>
  <c r="E35" i="1"/>
  <c r="D22" i="1"/>
  <c r="D23" i="1"/>
  <c r="H3" i="1"/>
  <c r="G11" i="9"/>
  <c r="G22" i="9" s="1"/>
  <c r="G19" i="1"/>
  <c r="G27" i="1"/>
  <c r="G28" i="1" s="1"/>
  <c r="G30" i="1" s="1"/>
  <c r="F6" i="1"/>
  <c r="E7" i="1"/>
  <c r="E10" i="1" s="1"/>
  <c r="D14" i="1"/>
  <c r="D11" i="1"/>
  <c r="D12" i="1" s="1"/>
  <c r="I3" i="1" l="1"/>
  <c r="H11" i="9"/>
  <c r="H22" i="9" s="1"/>
  <c r="H19" i="1"/>
  <c r="H27" i="1"/>
  <c r="H28" i="1" s="1"/>
  <c r="H30" i="1" s="1"/>
  <c r="F33" i="1"/>
  <c r="F34" i="1"/>
  <c r="F24" i="1"/>
  <c r="G32" i="1"/>
  <c r="G31" i="1"/>
  <c r="G20" i="1"/>
  <c r="G21" i="1"/>
  <c r="F22" i="1"/>
  <c r="F23" i="1"/>
  <c r="F35" i="1"/>
  <c r="E14" i="1"/>
  <c r="E11" i="1"/>
  <c r="E12" i="1" s="1"/>
  <c r="G7" i="1"/>
  <c r="F7" i="1"/>
  <c r="F10" i="1" s="1"/>
  <c r="G23" i="1" l="1"/>
  <c r="G22" i="1"/>
  <c r="G24" i="1" s="1"/>
  <c r="H21" i="1"/>
  <c r="H20" i="1"/>
  <c r="G34" i="1"/>
  <c r="G33" i="1"/>
  <c r="G35" i="1" s="1"/>
  <c r="H32" i="1"/>
  <c r="H31" i="1"/>
  <c r="J3" i="1"/>
  <c r="I19" i="1"/>
  <c r="I11" i="9"/>
  <c r="I22" i="9" s="1"/>
  <c r="I27" i="1"/>
  <c r="I28" i="1" s="1"/>
  <c r="I30" i="1" s="1"/>
  <c r="H7" i="1"/>
  <c r="G10" i="1"/>
  <c r="F14" i="1"/>
  <c r="F11" i="1"/>
  <c r="F12" i="1" s="1"/>
  <c r="H34" i="1" l="1"/>
  <c r="H33" i="1"/>
  <c r="H35" i="1" s="1"/>
  <c r="K3" i="1"/>
  <c r="J11" i="9"/>
  <c r="J22" i="9" s="1"/>
  <c r="J19" i="1"/>
  <c r="J27" i="1"/>
  <c r="J28" i="1" s="1"/>
  <c r="J30" i="1" s="1"/>
  <c r="I31" i="1"/>
  <c r="I32" i="1"/>
  <c r="I21" i="1"/>
  <c r="I20" i="1"/>
  <c r="H22" i="1"/>
  <c r="H24" i="1" s="1"/>
  <c r="H23" i="1"/>
  <c r="G14" i="1"/>
  <c r="G11" i="1"/>
  <c r="G12" i="1" s="1"/>
  <c r="I7" i="1"/>
  <c r="H10" i="1"/>
  <c r="J31" i="1" l="1"/>
  <c r="J32" i="1"/>
  <c r="I22" i="1"/>
  <c r="I24" i="1" s="1"/>
  <c r="I23" i="1"/>
  <c r="J21" i="1"/>
  <c r="J20" i="1"/>
  <c r="I33" i="1"/>
  <c r="I35" i="1" s="1"/>
  <c r="I34" i="1"/>
  <c r="L3" i="1"/>
  <c r="K19" i="1"/>
  <c r="K11" i="9"/>
  <c r="K22" i="9" s="1"/>
  <c r="K27" i="1"/>
  <c r="K28" i="1" s="1"/>
  <c r="K30" i="1" s="1"/>
  <c r="H14" i="1"/>
  <c r="H11" i="1"/>
  <c r="H12" i="1" s="1"/>
  <c r="J7" i="1"/>
  <c r="I10" i="1"/>
  <c r="J23" i="1" l="1"/>
  <c r="J22" i="1"/>
  <c r="J24" i="1" s="1"/>
  <c r="K20" i="1"/>
  <c r="K21" i="1"/>
  <c r="J34" i="1"/>
  <c r="J33" i="1"/>
  <c r="J35" i="1" s="1"/>
  <c r="K32" i="1"/>
  <c r="K31" i="1"/>
  <c r="M3" i="1"/>
  <c r="L11" i="9"/>
  <c r="L22" i="9" s="1"/>
  <c r="L19" i="1"/>
  <c r="L27" i="1"/>
  <c r="L28" i="1" s="1"/>
  <c r="L30" i="1" s="1"/>
  <c r="K7" i="1"/>
  <c r="J10" i="1"/>
  <c r="I14" i="1"/>
  <c r="I11" i="1"/>
  <c r="I12" i="1" s="1"/>
  <c r="L21" i="1" l="1"/>
  <c r="L20" i="1"/>
  <c r="K35" i="1"/>
  <c r="K23" i="1"/>
  <c r="K22" i="1"/>
  <c r="N3" i="1"/>
  <c r="M11" i="9"/>
  <c r="M22" i="9" s="1"/>
  <c r="M19" i="1"/>
  <c r="M27" i="1"/>
  <c r="M28" i="1" s="1"/>
  <c r="M30" i="1" s="1"/>
  <c r="L31" i="1"/>
  <c r="L32" i="1"/>
  <c r="K34" i="1"/>
  <c r="K33" i="1"/>
  <c r="K24" i="1"/>
  <c r="J14" i="1"/>
  <c r="J11" i="1"/>
  <c r="J12" i="1" s="1"/>
  <c r="L7" i="1"/>
  <c r="K10" i="1"/>
  <c r="L34" i="1" l="1"/>
  <c r="L33" i="1"/>
  <c r="L35" i="1" s="1"/>
  <c r="O3" i="1"/>
  <c r="N11" i="9"/>
  <c r="N22" i="9" s="1"/>
  <c r="N19" i="1"/>
  <c r="N27" i="1"/>
  <c r="N28" i="1" s="1"/>
  <c r="N30" i="1" s="1"/>
  <c r="M32" i="1"/>
  <c r="M31" i="1"/>
  <c r="L22" i="1"/>
  <c r="L24" i="1" s="1"/>
  <c r="L23" i="1"/>
  <c r="M21" i="1"/>
  <c r="M20" i="1"/>
  <c r="K14" i="1"/>
  <c r="K11" i="1"/>
  <c r="K12" i="1" s="1"/>
  <c r="M7" i="1"/>
  <c r="L10" i="1"/>
  <c r="N32" i="1" l="1"/>
  <c r="N31" i="1"/>
  <c r="P3" i="1"/>
  <c r="O11" i="9"/>
  <c r="O22" i="9" s="1"/>
  <c r="O19" i="1"/>
  <c r="O27" i="1"/>
  <c r="O28" i="1" s="1"/>
  <c r="O30" i="1" s="1"/>
  <c r="N21" i="1"/>
  <c r="N20" i="1"/>
  <c r="M22" i="1"/>
  <c r="M23" i="1"/>
  <c r="M24" i="1" s="1"/>
  <c r="M34" i="1"/>
  <c r="M33" i="1"/>
  <c r="M35" i="1" s="1"/>
  <c r="L14" i="1"/>
  <c r="L11" i="1"/>
  <c r="L12" i="1" s="1"/>
  <c r="N7" i="1"/>
  <c r="M10" i="1"/>
  <c r="O20" i="1" l="1"/>
  <c r="O21" i="1"/>
  <c r="N22" i="1"/>
  <c r="N23" i="1"/>
  <c r="N24" i="1" s="1"/>
  <c r="O31" i="1"/>
  <c r="O32" i="1"/>
  <c r="N33" i="1"/>
  <c r="N35" i="1" s="1"/>
  <c r="N34" i="1"/>
  <c r="P27" i="1"/>
  <c r="P28" i="1" s="1"/>
  <c r="P30" i="1" s="1"/>
  <c r="P11" i="9"/>
  <c r="P19" i="1"/>
  <c r="O7" i="1"/>
  <c r="N10" i="1"/>
  <c r="M14" i="1"/>
  <c r="M11" i="1"/>
  <c r="M12" i="1" s="1"/>
  <c r="P31" i="1" l="1"/>
  <c r="P32" i="1"/>
  <c r="O35" i="1"/>
  <c r="P21" i="1"/>
  <c r="P20" i="1"/>
  <c r="O24" i="1"/>
  <c r="O33" i="1"/>
  <c r="O34" i="1"/>
  <c r="P22" i="9"/>
  <c r="F36" i="9" s="1"/>
  <c r="D36" i="9"/>
  <c r="O23" i="1"/>
  <c r="O22" i="1"/>
  <c r="N14" i="1"/>
  <c r="N11" i="1"/>
  <c r="N12" i="1" s="1"/>
  <c r="P7" i="1"/>
  <c r="P10" i="1" s="1"/>
  <c r="O10" i="1"/>
  <c r="P22" i="1" l="1"/>
  <c r="P23" i="1"/>
  <c r="P24" i="1" s="1"/>
  <c r="P34" i="1"/>
  <c r="P33" i="1"/>
  <c r="P35" i="1" s="1"/>
  <c r="O14" i="1"/>
  <c r="O11" i="1"/>
  <c r="O12" i="1" s="1"/>
  <c r="P14" i="1"/>
  <c r="P11" i="1"/>
  <c r="P12" i="1" s="1"/>
</calcChain>
</file>

<file path=xl/comments1.xml><?xml version="1.0" encoding="utf-8"?>
<comments xmlns="http://schemas.openxmlformats.org/spreadsheetml/2006/main">
  <authors>
    <author>Ade Cahyat (GIZ-GELAMAI)</author>
  </authors>
  <commentList>
    <comment ref="A4" authorId="0" shapeId="0">
      <text>
        <r>
          <rPr>
            <sz val="9"/>
            <color indexed="81"/>
            <rFont val="Tahoma"/>
            <family val="2"/>
          </rPr>
          <t xml:space="preserve">diasumsikan penanaman baru selesai tahun 2025
</t>
        </r>
      </text>
    </comment>
    <comment ref="A9" authorId="0" shapeId="0">
      <text>
        <r>
          <rPr>
            <sz val="9"/>
            <color indexed="81"/>
            <rFont val="Tahoma"/>
            <family val="2"/>
          </rPr>
          <t xml:space="preserve">0,386 = selisih produktivitas 2016 dg produktivitas 2030 dibagi 14
</t>
        </r>
      </text>
    </comment>
    <comment ref="A11" authorId="0" shapeId="0">
      <text>
        <r>
          <rPr>
            <sz val="9"/>
            <color indexed="81"/>
            <rFont val="Tahoma"/>
            <family val="2"/>
          </rPr>
          <t xml:space="preserve">21 kwh/ton TBS diolah dari data Vijaya et al 2008
</t>
        </r>
      </text>
    </comment>
    <comment ref="A12" authorId="0" shapeId="0">
      <text>
        <r>
          <rPr>
            <sz val="9"/>
            <color indexed="81"/>
            <rFont val="Tahoma"/>
            <family val="2"/>
          </rPr>
          <t xml:space="preserve">6329= 365 hari x 24 jam x 85% faktor efisiensi x 85% faktor efektifitas
</t>
        </r>
      </text>
    </comment>
    <comment ref="A14" authorId="0" shapeId="0">
      <text>
        <r>
          <rPr>
            <sz val="9"/>
            <color indexed="81"/>
            <rFont val="Tahoma"/>
            <family val="2"/>
          </rPr>
          <t xml:space="preserve">170 ribu ton tbs per MW dari rata2 hasil praFS GELAMAI
</t>
        </r>
      </text>
    </comment>
  </commentList>
</comments>
</file>

<file path=xl/comments2.xml><?xml version="1.0" encoding="utf-8"?>
<comments xmlns="http://schemas.openxmlformats.org/spreadsheetml/2006/main">
  <authors>
    <author>Ade Cahyat (GIZ-GELAMAI)</author>
  </authors>
  <commentList>
    <comment ref="A4" authorId="0" shapeId="0">
      <text>
        <r>
          <rPr>
            <sz val="9"/>
            <color indexed="81"/>
            <rFont val="Tahoma"/>
            <family val="2"/>
          </rPr>
          <t xml:space="preserve">diasumsikan penanaman baru selesai tahun 2025
</t>
        </r>
      </text>
    </comment>
    <comment ref="A9" authorId="0" shapeId="0">
      <text>
        <r>
          <rPr>
            <sz val="9"/>
            <color indexed="81"/>
            <rFont val="Tahoma"/>
            <family val="2"/>
          </rPr>
          <t xml:space="preserve">0,386 = selisih produktivitas 2016 dg produktivitas 2030 dibagi 14
</t>
        </r>
      </text>
    </comment>
    <comment ref="A11" authorId="0" shapeId="0">
      <text>
        <r>
          <rPr>
            <sz val="9"/>
            <color indexed="81"/>
            <rFont val="Tahoma"/>
            <family val="2"/>
          </rPr>
          <t xml:space="preserve">21 kwh/ton TBS diolah dari data Vijaya et al 2008
</t>
        </r>
      </text>
    </comment>
    <comment ref="A12" authorId="0" shapeId="0">
      <text>
        <r>
          <rPr>
            <sz val="9"/>
            <color indexed="81"/>
            <rFont val="Tahoma"/>
            <family val="2"/>
          </rPr>
          <t xml:space="preserve">6329= 365 hari x 24 jam x 85% faktor efisiensi x 85% faktor efektifitas
</t>
        </r>
      </text>
    </comment>
    <comment ref="A14" authorId="0" shapeId="0">
      <text>
        <r>
          <rPr>
            <sz val="9"/>
            <color indexed="81"/>
            <rFont val="Tahoma"/>
            <family val="2"/>
          </rPr>
          <t xml:space="preserve">170 ribu ton tbs per MW dari rata2 hasil praFS GELAMAI
</t>
        </r>
      </text>
    </comment>
  </commentList>
</comments>
</file>

<file path=xl/comments3.xml><?xml version="1.0" encoding="utf-8"?>
<comments xmlns="http://schemas.openxmlformats.org/spreadsheetml/2006/main">
  <authors>
    <author>Ade Cahyat (GIZ-GELAMAI)</author>
  </authors>
  <commentList>
    <comment ref="A4" authorId="0" shapeId="0">
      <text>
        <r>
          <rPr>
            <sz val="9"/>
            <color indexed="81"/>
            <rFont val="Tahoma"/>
            <family val="2"/>
          </rPr>
          <t xml:space="preserve">diasumsikan penanaman baru selesai tahun 2025
</t>
        </r>
      </text>
    </comment>
    <comment ref="A9" authorId="0" shapeId="0">
      <text>
        <r>
          <rPr>
            <sz val="9"/>
            <color indexed="81"/>
            <rFont val="Tahoma"/>
            <family val="2"/>
          </rPr>
          <t xml:space="preserve">0,386 = selisih produktivitas 2016 dg produktivitas 2030 dibagi 14
</t>
        </r>
      </text>
    </comment>
    <comment ref="A11" authorId="0" shapeId="0">
      <text>
        <r>
          <rPr>
            <sz val="9"/>
            <color indexed="81"/>
            <rFont val="Tahoma"/>
            <family val="2"/>
          </rPr>
          <t xml:space="preserve">21 kwh/ton TBS diolah dari data Vijaya et al 2008
</t>
        </r>
      </text>
    </comment>
    <comment ref="A12" authorId="0" shapeId="0">
      <text>
        <r>
          <rPr>
            <sz val="9"/>
            <color indexed="81"/>
            <rFont val="Tahoma"/>
            <family val="2"/>
          </rPr>
          <t xml:space="preserve">6329= 365 hari x 24 jam x 85% faktor efisiensi x 85% faktor efektifitas
</t>
        </r>
      </text>
    </comment>
    <comment ref="A14" authorId="0" shapeId="0">
      <text>
        <r>
          <rPr>
            <sz val="9"/>
            <color indexed="81"/>
            <rFont val="Tahoma"/>
            <family val="2"/>
          </rPr>
          <t xml:space="preserve">170 ribu ton tbs per MW dari rata2 hasil praFS GELAMAI
</t>
        </r>
      </text>
    </comment>
  </commentList>
</comments>
</file>

<file path=xl/comments4.xml><?xml version="1.0" encoding="utf-8"?>
<comments xmlns="http://schemas.openxmlformats.org/spreadsheetml/2006/main">
  <authors>
    <author>Ade Cahyat (GIZ-GELAMAI)</author>
  </authors>
  <commentList>
    <comment ref="A4" authorId="0" shapeId="0">
      <text>
        <r>
          <rPr>
            <sz val="9"/>
            <color indexed="81"/>
            <rFont val="Tahoma"/>
            <family val="2"/>
          </rPr>
          <t xml:space="preserve">diasumsikan penanaman baru selesai tahun 2025
</t>
        </r>
      </text>
    </comment>
    <comment ref="A9" authorId="0" shapeId="0">
      <text>
        <r>
          <rPr>
            <sz val="9"/>
            <color indexed="81"/>
            <rFont val="Tahoma"/>
            <family val="2"/>
          </rPr>
          <t xml:space="preserve">0,386 = selisih produktivitas 2016 dg produktivitas 2030 dibagi 14
</t>
        </r>
      </text>
    </comment>
    <comment ref="A11" authorId="0" shapeId="0">
      <text>
        <r>
          <rPr>
            <sz val="9"/>
            <color indexed="81"/>
            <rFont val="Tahoma"/>
            <family val="2"/>
          </rPr>
          <t xml:space="preserve">21 kwh/ton TBS diolah dari data Vijaya et al 2008
</t>
        </r>
      </text>
    </comment>
    <comment ref="A12" authorId="0" shapeId="0">
      <text>
        <r>
          <rPr>
            <sz val="9"/>
            <color indexed="81"/>
            <rFont val="Tahoma"/>
            <family val="2"/>
          </rPr>
          <t xml:space="preserve">6329= 365 hari x 24 jam x 85% faktor efisiensi x 85% faktor efektifitas
</t>
        </r>
      </text>
    </comment>
    <comment ref="A14" authorId="0" shapeId="0">
      <text>
        <r>
          <rPr>
            <sz val="9"/>
            <color indexed="81"/>
            <rFont val="Tahoma"/>
            <family val="2"/>
          </rPr>
          <t xml:space="preserve">170 ribu ton tbs per MW dari rata2 hasil praFS GELAMAI
</t>
        </r>
      </text>
    </comment>
  </commentList>
</comments>
</file>

<file path=xl/comments5.xml><?xml version="1.0" encoding="utf-8"?>
<comments xmlns="http://schemas.openxmlformats.org/spreadsheetml/2006/main">
  <authors>
    <author>Ade Cahyat (GIZ-GELAMAI)</author>
  </authors>
  <commentList>
    <comment ref="A4" authorId="0" shapeId="0">
      <text>
        <r>
          <rPr>
            <sz val="9"/>
            <color indexed="81"/>
            <rFont val="Tahoma"/>
            <family val="2"/>
          </rPr>
          <t xml:space="preserve">diasumsikan penanaman baru selesai tahun 2025
</t>
        </r>
      </text>
    </comment>
    <comment ref="A9" authorId="0" shapeId="0">
      <text>
        <r>
          <rPr>
            <sz val="9"/>
            <color indexed="81"/>
            <rFont val="Tahoma"/>
            <family val="2"/>
          </rPr>
          <t xml:space="preserve">0,386 = selisih produktivitas 2016 dg produktivitas 2030 dibagi 14
</t>
        </r>
      </text>
    </comment>
    <comment ref="A11" authorId="0" shapeId="0">
      <text>
        <r>
          <rPr>
            <sz val="9"/>
            <color indexed="81"/>
            <rFont val="Tahoma"/>
            <family val="2"/>
          </rPr>
          <t xml:space="preserve">21 kwh/ton TBS diolah dari data Vijaya et al 2008
</t>
        </r>
      </text>
    </comment>
    <comment ref="A12" authorId="0" shapeId="0">
      <text>
        <r>
          <rPr>
            <sz val="9"/>
            <color indexed="81"/>
            <rFont val="Tahoma"/>
            <family val="2"/>
          </rPr>
          <t xml:space="preserve">6329= 365 hari x 24 jam x 85% faktor efisiensi x 85% faktor efektifitas
</t>
        </r>
      </text>
    </comment>
    <comment ref="A14" authorId="0" shapeId="0">
      <text>
        <r>
          <rPr>
            <sz val="9"/>
            <color indexed="81"/>
            <rFont val="Tahoma"/>
            <family val="2"/>
          </rPr>
          <t xml:space="preserve">170 ribu ton tbs per MW dari rata2 hasil praFS GELAMAI
</t>
        </r>
      </text>
    </comment>
  </commentList>
</comments>
</file>

<file path=xl/comments6.xml><?xml version="1.0" encoding="utf-8"?>
<comments xmlns="http://schemas.openxmlformats.org/spreadsheetml/2006/main">
  <authors>
    <author>Ade Cahyat (GIZ-GELAMAI)</author>
  </authors>
  <commentList>
    <comment ref="A4" authorId="0" shapeId="0">
      <text>
        <r>
          <rPr>
            <sz val="9"/>
            <color indexed="81"/>
            <rFont val="Tahoma"/>
            <family val="2"/>
          </rPr>
          <t xml:space="preserve">diasumsikan penanaman baru selesai tahun 2025
</t>
        </r>
      </text>
    </comment>
    <comment ref="A9" authorId="0" shapeId="0">
      <text>
        <r>
          <rPr>
            <sz val="9"/>
            <color indexed="81"/>
            <rFont val="Tahoma"/>
            <family val="2"/>
          </rPr>
          <t xml:space="preserve">0,386 = selisih produktivitas 2016 dg produktivitas 2030 dibagi 14
</t>
        </r>
      </text>
    </comment>
    <comment ref="A11" authorId="0" shapeId="0">
      <text>
        <r>
          <rPr>
            <sz val="9"/>
            <color indexed="81"/>
            <rFont val="Tahoma"/>
            <family val="2"/>
          </rPr>
          <t xml:space="preserve">21 kwh/ton TBS diolah dari data Vijaya et al 2008
</t>
        </r>
      </text>
    </comment>
    <comment ref="A12" authorId="0" shapeId="0">
      <text>
        <r>
          <rPr>
            <sz val="9"/>
            <color indexed="81"/>
            <rFont val="Tahoma"/>
            <family val="2"/>
          </rPr>
          <t xml:space="preserve">6329= 365 hari x 24 jam x 85% faktor efisiensi x 85% faktor efektifitas
</t>
        </r>
      </text>
    </comment>
    <comment ref="A14" authorId="0" shapeId="0">
      <text>
        <r>
          <rPr>
            <sz val="9"/>
            <color indexed="81"/>
            <rFont val="Tahoma"/>
            <family val="2"/>
          </rPr>
          <t xml:space="preserve">170 ribu ton tbs per MW dari rata2 hasil praFS GELAMAI
</t>
        </r>
      </text>
    </comment>
  </commentList>
</comments>
</file>

<file path=xl/comments7.xml><?xml version="1.0" encoding="utf-8"?>
<comments xmlns="http://schemas.openxmlformats.org/spreadsheetml/2006/main">
  <authors>
    <author>Ade Cahyat (GIZ-GELAMAI)</author>
  </authors>
  <commentList>
    <comment ref="A4" authorId="0" shapeId="0">
      <text>
        <r>
          <rPr>
            <sz val="9"/>
            <color indexed="81"/>
            <rFont val="Tahoma"/>
            <family val="2"/>
          </rPr>
          <t xml:space="preserve">diasumsikan penanaman baru selesai tahun 2025
</t>
        </r>
      </text>
    </comment>
    <comment ref="A9" authorId="0" shapeId="0">
      <text>
        <r>
          <rPr>
            <sz val="9"/>
            <color indexed="81"/>
            <rFont val="Tahoma"/>
            <family val="2"/>
          </rPr>
          <t xml:space="preserve">0,386 = selisih produktivitas 2016 dg produktivitas 2030 dibagi 14
</t>
        </r>
      </text>
    </comment>
    <comment ref="A11" authorId="0" shapeId="0">
      <text>
        <r>
          <rPr>
            <sz val="9"/>
            <color indexed="81"/>
            <rFont val="Tahoma"/>
            <family val="2"/>
          </rPr>
          <t xml:space="preserve">21 kwh/ton TBS diolah dari data Vijaya et al 2008
</t>
        </r>
      </text>
    </comment>
    <comment ref="A12" authorId="0" shapeId="0">
      <text>
        <r>
          <rPr>
            <sz val="9"/>
            <color indexed="81"/>
            <rFont val="Tahoma"/>
            <family val="2"/>
          </rPr>
          <t xml:space="preserve">6329= 365 hari x 24 jam x 85% faktor efisiensi x 85% faktor efektifitas
</t>
        </r>
      </text>
    </comment>
    <comment ref="A14" authorId="0" shapeId="0">
      <text>
        <r>
          <rPr>
            <sz val="9"/>
            <color indexed="81"/>
            <rFont val="Tahoma"/>
            <family val="2"/>
          </rPr>
          <t xml:space="preserve">170 ribu ton tbs per MW dari rata2 hasil praFS GELAMAI
</t>
        </r>
      </text>
    </comment>
  </commentList>
</comments>
</file>

<file path=xl/comments8.xml><?xml version="1.0" encoding="utf-8"?>
<comments xmlns="http://schemas.openxmlformats.org/spreadsheetml/2006/main">
  <authors>
    <author>Ade Cahyat (GIZ-GELAMAI)</author>
  </authors>
  <commentList>
    <comment ref="A4" authorId="0" shapeId="0">
      <text>
        <r>
          <rPr>
            <sz val="9"/>
            <color indexed="81"/>
            <rFont val="Tahoma"/>
            <family val="2"/>
          </rPr>
          <t xml:space="preserve">diasumsikan penanaman baru selesai tahun 2025
</t>
        </r>
      </text>
    </comment>
    <comment ref="A9" authorId="0" shapeId="0">
      <text>
        <r>
          <rPr>
            <sz val="9"/>
            <color indexed="81"/>
            <rFont val="Tahoma"/>
            <family val="2"/>
          </rPr>
          <t xml:space="preserve">0,386 = selisih produktivitas 2016 dg produktivitas 2030 dibagi 14
</t>
        </r>
      </text>
    </comment>
    <comment ref="A11" authorId="0" shapeId="0">
      <text>
        <r>
          <rPr>
            <sz val="9"/>
            <color indexed="81"/>
            <rFont val="Tahoma"/>
            <family val="2"/>
          </rPr>
          <t xml:space="preserve">21 kwh/ton TBS diolah dari data Vijaya et al 2008
</t>
        </r>
      </text>
    </comment>
    <comment ref="A12" authorId="0" shapeId="0">
      <text>
        <r>
          <rPr>
            <sz val="9"/>
            <color indexed="81"/>
            <rFont val="Tahoma"/>
            <family val="2"/>
          </rPr>
          <t xml:space="preserve">6329= 365 hari x 24 jam x 85% faktor efisiensi x 85% faktor efektifitas
</t>
        </r>
      </text>
    </comment>
    <comment ref="A14" authorId="0" shapeId="0">
      <text>
        <r>
          <rPr>
            <sz val="9"/>
            <color indexed="81"/>
            <rFont val="Tahoma"/>
            <family val="2"/>
          </rPr>
          <t xml:space="preserve">170 ribu ton tbs per MW dari rata2 hasil praFS GELAMAI
</t>
        </r>
      </text>
    </comment>
  </commentList>
</comments>
</file>

<file path=xl/sharedStrings.xml><?xml version="1.0" encoding="utf-8"?>
<sst xmlns="http://schemas.openxmlformats.org/spreadsheetml/2006/main" count="348" uniqueCount="90">
  <si>
    <t>Luas (ha)</t>
  </si>
  <si>
    <t>TBM lama (ha)</t>
  </si>
  <si>
    <t>Penanaman baru (ha)</t>
  </si>
  <si>
    <t>TM +TBM lama (ha)</t>
  </si>
  <si>
    <t>TM baru (ha)</t>
  </si>
  <si>
    <t>Produktivitas (ton TBS/ha)</t>
  </si>
  <si>
    <t>Produksi (ton TBS/tahun)</t>
  </si>
  <si>
    <t>Kebutuhan listrik (MWh)</t>
  </si>
  <si>
    <t>Kapasitas pembangkit untuk kebutuhan listrik</t>
  </si>
  <si>
    <t>Perkirakan kapasitas PLTBg POME (MW)</t>
  </si>
  <si>
    <t>TBM (ha)</t>
  </si>
  <si>
    <t>TM  (ha)</t>
  </si>
  <si>
    <t>TBM  (ha)</t>
  </si>
  <si>
    <t>TM (ha)</t>
  </si>
  <si>
    <t>Berau</t>
  </si>
  <si>
    <t>Kutai Timur</t>
  </si>
  <si>
    <t>Kutai Kartanegara</t>
  </si>
  <si>
    <t>Kutai Barat</t>
  </si>
  <si>
    <t>Paser</t>
  </si>
  <si>
    <t>PPU</t>
  </si>
  <si>
    <t>Mahulu</t>
  </si>
  <si>
    <t>Kalimantan Timur</t>
  </si>
  <si>
    <t xml:space="preserve">Luas tanam </t>
  </si>
  <si>
    <t>Luas tanam yang menerapkan pemupukan tepat</t>
  </si>
  <si>
    <t xml:space="preserve">% yang menerapkan </t>
  </si>
  <si>
    <t>Tahun</t>
  </si>
  <si>
    <t>Luas kebun sawit tertanam (ha)</t>
  </si>
  <si>
    <t xml:space="preserve">Penggunaan pupuk urea </t>
  </si>
  <si>
    <t>Pemupukan urea</t>
  </si>
  <si>
    <t>Emisi langsung N2O tanah</t>
  </si>
  <si>
    <t>Emisi tidak langsung N2O</t>
  </si>
  <si>
    <t>Total emisi GRK</t>
  </si>
  <si>
    <t>Faktor emisi</t>
  </si>
  <si>
    <t xml:space="preserve">Tingkat emisi </t>
  </si>
  <si>
    <t>FE managed soil</t>
  </si>
  <si>
    <t>Emisi t N2O-N</t>
  </si>
  <si>
    <t>Emisi N2O</t>
  </si>
  <si>
    <t>Emisi CO2eq</t>
  </si>
  <si>
    <t xml:space="preserve">Emisi </t>
  </si>
  <si>
    <t xml:space="preserve"> ton urea/tahun</t>
  </si>
  <si>
    <t>ton N/tahun</t>
  </si>
  <si>
    <t>ton C/ton urea</t>
  </si>
  <si>
    <t>ton CO2</t>
  </si>
  <si>
    <t>ton N2O-N/ton N</t>
  </si>
  <si>
    <t>ton N2O-N</t>
  </si>
  <si>
    <t>ton N2O</t>
  </si>
  <si>
    <t>ton CO2eq</t>
  </si>
  <si>
    <t>t N2O-N</t>
  </si>
  <si>
    <t>t N2O</t>
  </si>
  <si>
    <t>t CO2eq</t>
  </si>
  <si>
    <t>Proporsi luas kebun besar dan kebun rakyat</t>
  </si>
  <si>
    <t>Smallholders</t>
  </si>
  <si>
    <t>%</t>
  </si>
  <si>
    <t xml:space="preserve">Penggunaan pupuk </t>
  </si>
  <si>
    <t>N</t>
  </si>
  <si>
    <t>Urea (kg/ha/t)</t>
  </si>
  <si>
    <t>smallholders</t>
  </si>
  <si>
    <t>large</t>
  </si>
  <si>
    <t>Ideal</t>
  </si>
  <si>
    <t xml:space="preserve">gabungan </t>
  </si>
  <si>
    <t>Faktor emisi pemupukan (ton C/ton urea)</t>
  </si>
  <si>
    <t>Ton urea</t>
  </si>
  <si>
    <t>ton N</t>
  </si>
  <si>
    <t>Pemupukan urea CO2 (ton Co2)</t>
  </si>
  <si>
    <t>Emisi olah tanah langsung N2O (CO2eq)</t>
  </si>
  <si>
    <t>Emisi olah tanah tidak langsung N2O (CO2eq)</t>
  </si>
  <si>
    <t>Jumlah emisi GRK (CO2eq)</t>
  </si>
  <si>
    <t>Faktor emisi olah tanah langsung ton N2O-N/ton N</t>
  </si>
  <si>
    <t>Faktor emisi olah tanah tidak langsung  ton N2O-N/ton N</t>
  </si>
  <si>
    <t>Penggunaan pupuk BAU (ton urea/ha/tahun)</t>
  </si>
  <si>
    <t>Penggunaan pupuk mitigasi (ton urea/ha/tahun)</t>
  </si>
  <si>
    <t>Baseline BAU</t>
  </si>
  <si>
    <t xml:space="preserve">Mitigasi </t>
  </si>
  <si>
    <r>
      <t xml:space="preserve">Luasan yang </t>
    </r>
    <r>
      <rPr>
        <b/>
        <sz val="11"/>
        <color theme="1"/>
        <rFont val="Calibri"/>
        <family val="2"/>
        <scheme val="minor"/>
      </rPr>
      <t xml:space="preserve">menerapkan </t>
    </r>
    <r>
      <rPr>
        <sz val="11"/>
        <color theme="1"/>
        <rFont val="Calibri"/>
        <family val="2"/>
        <scheme val="minor"/>
      </rPr>
      <t>pemupukan tepat</t>
    </r>
  </si>
  <si>
    <r>
      <t xml:space="preserve">Luasan yang </t>
    </r>
    <r>
      <rPr>
        <b/>
        <sz val="11"/>
        <color theme="1"/>
        <rFont val="Calibri"/>
        <family val="2"/>
        <scheme val="minor"/>
      </rPr>
      <t>tidak</t>
    </r>
    <r>
      <rPr>
        <sz val="11"/>
        <color theme="1"/>
        <rFont val="Calibri"/>
        <family val="2"/>
        <scheme val="minor"/>
      </rPr>
      <t xml:space="preserve"> menerapakan pemupukan tepat</t>
    </r>
  </si>
  <si>
    <t>Luas tanam saat ini (ha)</t>
  </si>
  <si>
    <t>Proyeksi Luas tanam seluruhnya (ha)</t>
  </si>
  <si>
    <t>Taget Luas tanam menerapkan pemupukan tepat (ha)</t>
  </si>
  <si>
    <t xml:space="preserve">Juridiksi </t>
  </si>
  <si>
    <t>Pupuk urea</t>
  </si>
  <si>
    <t>Emisi</t>
  </si>
  <si>
    <t>Kumulatif 2016-2030</t>
  </si>
  <si>
    <t>Target</t>
  </si>
  <si>
    <t>Urea (ton)</t>
  </si>
  <si>
    <t>Emisi (ton Co2eq)</t>
  </si>
  <si>
    <t xml:space="preserve">Jurisdiksi </t>
  </si>
  <si>
    <t>Pengurangan</t>
  </si>
  <si>
    <t>Jumlah emisi GRK (ton CO2eq)</t>
  </si>
  <si>
    <r>
      <t xml:space="preserve">Luasan yang </t>
    </r>
    <r>
      <rPr>
        <b/>
        <sz val="11"/>
        <color theme="1"/>
        <rFont val="Calibri"/>
        <family val="2"/>
        <scheme val="minor"/>
      </rPr>
      <t>tidak</t>
    </r>
    <r>
      <rPr>
        <sz val="11"/>
        <color theme="1"/>
        <rFont val="Calibri"/>
        <family val="2"/>
        <scheme val="minor"/>
      </rPr>
      <t xml:space="preserve"> menerapkan pemupukan tepat</t>
    </r>
  </si>
  <si>
    <t>ton/ha/tahun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</si>
</sst>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"/>
    <numFmt numFmtId="167" formatCode="0.000"/>
    <numFmt numFmtId="168" formatCode="_(* #,##0.0_);_(* \(#,##0.0\);_(* &quot;-&quot;??_);_(@_)"/>
    <numFmt numFmtId="169" formatCode="_(* #,##0_);_(* \(#,##0\);_(* &quot;-&quot;?_);_(@_)"/>
    <numFmt numFmtId="170" formatCode="_(* #,##0.000000_);_(* \(#,##0.000000\);_(* &quot;-&quot;??_);_(@_)"/>
    <numFmt numFmtId="171" formatCode="_-* #,##0_-;\-* #,##0_-;_-* &quot;-&quot;??_-;_-@_-"/>
    <numFmt numFmtId="172" formatCode="0.00000"/>
    <numFmt numFmtId="173" formatCode="#,##0_ ;\-#,##0\ "/>
    <numFmt numFmtId="17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4" fillId="0" borderId="0"/>
    <xf numFmtId="164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7">
    <xf numFmtId="0" fontId="0" fillId="0" borderId="0" xfId="0"/>
    <xf numFmtId="165" fontId="0" fillId="0" borderId="0" xfId="1" applyNumberFormat="1" applyFont="1"/>
    <xf numFmtId="165" fontId="0" fillId="0" borderId="0" xfId="0" applyNumberFormat="1"/>
    <xf numFmtId="2" fontId="0" fillId="0" borderId="0" xfId="0" applyNumberFormat="1"/>
    <xf numFmtId="9" fontId="0" fillId="0" borderId="0" xfId="0" applyNumberFormat="1"/>
    <xf numFmtId="166" fontId="0" fillId="0" borderId="0" xfId="0" applyNumberFormat="1"/>
    <xf numFmtId="167" fontId="0" fillId="0" borderId="0" xfId="0" applyNumberFormat="1"/>
    <xf numFmtId="41" fontId="0" fillId="0" borderId="0" xfId="2" applyFont="1"/>
    <xf numFmtId="41" fontId="0" fillId="0" borderId="0" xfId="0" applyNumberFormat="1"/>
    <xf numFmtId="0" fontId="0" fillId="0" borderId="0" xfId="0" applyAlignment="1">
      <alignment horizontal="left" indent="1"/>
    </xf>
    <xf numFmtId="0" fontId="5" fillId="0" borderId="0" xfId="0" applyFont="1" applyAlignment="1">
      <alignment horizontal="center" vertical="center"/>
    </xf>
    <xf numFmtId="171" fontId="0" fillId="0" borderId="0" xfId="0" applyNumberFormat="1"/>
    <xf numFmtId="0" fontId="5" fillId="0" borderId="0" xfId="0" applyFont="1"/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73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65" fontId="0" fillId="0" borderId="0" xfId="0" applyNumberFormat="1" applyAlignment="1">
      <alignment vertical="center"/>
    </xf>
    <xf numFmtId="41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173" fontId="0" fillId="0" borderId="0" xfId="2" applyNumberFormat="1" applyFont="1" applyAlignment="1">
      <alignment horizontal="right" vertical="center"/>
    </xf>
    <xf numFmtId="0" fontId="6" fillId="0" borderId="0" xfId="3" applyFont="1" applyAlignment="1">
      <alignment vertical="center"/>
    </xf>
    <xf numFmtId="165" fontId="7" fillId="0" borderId="0" xfId="4" applyNumberFormat="1" applyFont="1" applyFill="1" applyAlignment="1">
      <alignment vertical="center"/>
    </xf>
    <xf numFmtId="0" fontId="7" fillId="0" borderId="0" xfId="3" applyFont="1" applyFill="1" applyAlignment="1">
      <alignment vertical="center"/>
    </xf>
    <xf numFmtId="0" fontId="7" fillId="0" borderId="0" xfId="3" applyFont="1" applyAlignment="1">
      <alignment vertical="center"/>
    </xf>
    <xf numFmtId="0" fontId="7" fillId="0" borderId="0" xfId="3" applyFont="1" applyAlignment="1">
      <alignment vertical="center" wrapText="1"/>
    </xf>
    <xf numFmtId="41" fontId="7" fillId="0" borderId="0" xfId="5" applyFont="1" applyFill="1" applyAlignment="1">
      <alignment vertical="center"/>
    </xf>
    <xf numFmtId="9" fontId="7" fillId="0" borderId="0" xfId="3" applyNumberFormat="1" applyFont="1" applyFill="1" applyAlignment="1">
      <alignment vertical="center"/>
    </xf>
    <xf numFmtId="0" fontId="6" fillId="0" borderId="0" xfId="3" applyFont="1" applyFill="1" applyAlignment="1">
      <alignment horizontal="center" vertical="center"/>
    </xf>
    <xf numFmtId="1" fontId="7" fillId="0" borderId="0" xfId="3" applyNumberFormat="1" applyFont="1" applyFill="1" applyAlignment="1">
      <alignment vertical="center"/>
    </xf>
    <xf numFmtId="0" fontId="7" fillId="0" borderId="0" xfId="3" applyFont="1" applyAlignment="1">
      <alignment horizontal="center" vertical="center"/>
    </xf>
    <xf numFmtId="0" fontId="7" fillId="0" borderId="0" xfId="3" applyFont="1" applyFill="1" applyBorder="1" applyAlignment="1">
      <alignment horizontal="center" vertical="center" wrapText="1"/>
    </xf>
    <xf numFmtId="0" fontId="7" fillId="0" borderId="0" xfId="3" applyFont="1" applyAlignment="1">
      <alignment horizontal="center" vertical="center" wrapText="1"/>
    </xf>
    <xf numFmtId="0" fontId="7" fillId="0" borderId="0" xfId="3" applyFont="1" applyBorder="1" applyAlignment="1">
      <alignment horizontal="center" vertical="center" wrapText="1"/>
    </xf>
    <xf numFmtId="0" fontId="7" fillId="0" borderId="0" xfId="3" applyFont="1" applyFill="1" applyBorder="1" applyAlignment="1">
      <alignment vertical="center"/>
    </xf>
    <xf numFmtId="165" fontId="7" fillId="0" borderId="0" xfId="4" applyNumberFormat="1" applyFont="1" applyFill="1" applyBorder="1" applyAlignment="1">
      <alignment vertical="center"/>
    </xf>
    <xf numFmtId="0" fontId="7" fillId="0" borderId="0" xfId="3" applyFont="1" applyBorder="1" applyAlignment="1">
      <alignment vertical="center"/>
    </xf>
    <xf numFmtId="41" fontId="7" fillId="0" borderId="0" xfId="5" applyFont="1" applyBorder="1" applyAlignment="1">
      <alignment vertical="center"/>
    </xf>
    <xf numFmtId="168" fontId="7" fillId="0" borderId="0" xfId="3" applyNumberFormat="1" applyFont="1" applyBorder="1" applyAlignment="1">
      <alignment vertical="center"/>
    </xf>
    <xf numFmtId="169" fontId="7" fillId="0" borderId="0" xfId="3" applyNumberFormat="1" applyFont="1" applyBorder="1" applyAlignment="1">
      <alignment vertical="center"/>
    </xf>
    <xf numFmtId="170" fontId="7" fillId="0" borderId="0" xfId="3" applyNumberFormat="1" applyFont="1" applyBorder="1" applyAlignment="1">
      <alignment horizontal="left" vertical="center"/>
    </xf>
    <xf numFmtId="164" fontId="7" fillId="0" borderId="0" xfId="3" applyNumberFormat="1" applyFont="1" applyBorder="1" applyAlignment="1">
      <alignment vertical="center"/>
    </xf>
    <xf numFmtId="165" fontId="7" fillId="0" borderId="0" xfId="3" applyNumberFormat="1" applyFont="1" applyBorder="1" applyAlignment="1">
      <alignment vertical="center"/>
    </xf>
    <xf numFmtId="164" fontId="7" fillId="0" borderId="0" xfId="3" applyNumberFormat="1" applyFont="1" applyFill="1" applyAlignment="1">
      <alignment vertical="center"/>
    </xf>
    <xf numFmtId="0" fontId="6" fillId="0" borderId="0" xfId="3" applyNumberFormat="1" applyFont="1" applyFill="1" applyAlignment="1">
      <alignment horizontal="center" vertical="center"/>
    </xf>
    <xf numFmtId="0" fontId="7" fillId="0" borderId="0" xfId="3" applyNumberFormat="1" applyFont="1" applyFill="1" applyAlignment="1">
      <alignment horizontal="center" vertical="center"/>
    </xf>
    <xf numFmtId="0" fontId="7" fillId="0" borderId="0" xfId="3" applyFont="1" applyFill="1" applyAlignment="1">
      <alignment horizontal="center" vertical="center"/>
    </xf>
    <xf numFmtId="2" fontId="7" fillId="0" borderId="0" xfId="4" applyNumberFormat="1" applyFont="1" applyFill="1" applyAlignment="1">
      <alignment horizontal="center" vertical="center"/>
    </xf>
    <xf numFmtId="172" fontId="7" fillId="0" borderId="0" xfId="4" applyNumberFormat="1" applyFont="1" applyFill="1" applyAlignment="1">
      <alignment horizontal="center" vertical="center"/>
    </xf>
    <xf numFmtId="41" fontId="7" fillId="0" borderId="0" xfId="5" applyFont="1" applyAlignment="1">
      <alignment vertical="center"/>
    </xf>
    <xf numFmtId="41" fontId="7" fillId="0" borderId="0" xfId="3" applyNumberFormat="1" applyFont="1" applyAlignment="1">
      <alignment vertical="center"/>
    </xf>
    <xf numFmtId="0" fontId="7" fillId="0" borderId="0" xfId="3" applyFont="1" applyFill="1" applyAlignment="1">
      <alignment vertical="center" wrapText="1"/>
    </xf>
    <xf numFmtId="0" fontId="0" fillId="0" borderId="0" xfId="0" applyAlignment="1">
      <alignment horizontal="center" vertical="center"/>
    </xf>
    <xf numFmtId="43" fontId="0" fillId="0" borderId="0" xfId="0" applyNumberFormat="1"/>
    <xf numFmtId="171" fontId="0" fillId="0" borderId="0" xfId="0" applyNumberFormat="1" applyAlignment="1">
      <alignment vertical="center"/>
    </xf>
    <xf numFmtId="174" fontId="0" fillId="0" borderId="0" xfId="6" applyNumberFormat="1" applyFont="1"/>
    <xf numFmtId="0" fontId="7" fillId="0" borderId="0" xfId="3" applyFont="1" applyAlignment="1">
      <alignment horizontal="center" vertical="center" wrapText="1"/>
    </xf>
    <xf numFmtId="0" fontId="6" fillId="0" borderId="0" xfId="3" applyFont="1" applyAlignment="1">
      <alignment horizontal="center" vertical="center" wrapText="1"/>
    </xf>
    <xf numFmtId="0" fontId="6" fillId="0" borderId="0" xfId="3" applyFont="1" applyBorder="1" applyAlignment="1">
      <alignment horizontal="center" vertical="center" wrapText="1"/>
    </xf>
    <xf numFmtId="0" fontId="7" fillId="0" borderId="0" xfId="3" applyFont="1" applyFill="1" applyBorder="1" applyAlignment="1">
      <alignment horizontal="center" vertical="center" wrapText="1"/>
    </xf>
    <xf numFmtId="0" fontId="7" fillId="2" borderId="0" xfId="3" applyFont="1" applyFill="1" applyAlignment="1">
      <alignment horizontal="center" vertical="center"/>
    </xf>
    <xf numFmtId="0" fontId="7" fillId="3" borderId="0" xfId="3" applyFont="1" applyFill="1" applyAlignment="1">
      <alignment horizontal="center" vertical="center"/>
    </xf>
    <xf numFmtId="0" fontId="7" fillId="4" borderId="0" xfId="3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/>
    </xf>
    <xf numFmtId="0" fontId="5" fillId="0" borderId="0" xfId="0" applyFont="1" applyAlignment="1">
      <alignment horizontal="center" vertical="center" wrapText="1"/>
    </xf>
  </cellXfs>
  <cellStyles count="7">
    <cellStyle name="Comma" xfId="1" builtinId="3"/>
    <cellStyle name="Comma [0]" xfId="2" builtinId="6"/>
    <cellStyle name="Comma [0] 2" xfId="5"/>
    <cellStyle name="Comma 2" xfId="4"/>
    <cellStyle name="Normal" xfId="0" builtinId="0"/>
    <cellStyle name="Normal 3" xfId="3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T-Admin\AppData\Local\Microsoft\Windows\INetCache\Content.Outlook\DMHPQ7IF\Amazing%20GHG%20Calculator_GR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T-Admin\Documents\Revisi%20RADGRK\FGD\Perkebunan\Usulan%20target%20sektor%20perkebunan%20201709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ndahuluan"/>
      <sheetName val="1A1"/>
      <sheetName val="1A2"/>
      <sheetName val="1A3"/>
      <sheetName val="1A4"/>
      <sheetName val="R_Energi"/>
      <sheetName val="2A"/>
      <sheetName val="2B"/>
      <sheetName val="2C"/>
      <sheetName val="2D"/>
      <sheetName val="2E"/>
      <sheetName val="2F"/>
      <sheetName val="R_IPPU"/>
      <sheetName val="3A"/>
      <sheetName val="3B"/>
      <sheetName val="3C1"/>
      <sheetName val="3C2"/>
      <sheetName val="3C3"/>
      <sheetName val="3C4"/>
      <sheetName val="3C5"/>
      <sheetName val="3C6"/>
      <sheetName val="R_AFOLU"/>
      <sheetName val="PARAMETER SAMPAH"/>
      <sheetName val="MCF"/>
      <sheetName val="DATA AKTIVITAS  TPA"/>
      <sheetName val="Dry_Matter_Content"/>
      <sheetName val="Amnt_Deposited"/>
      <sheetName val="RECOVERY CH4"/>
      <sheetName val="4A EMISI CH4 TPA"/>
      <sheetName val="4B"/>
      <sheetName val="4C"/>
      <sheetName val="4D"/>
      <sheetName val="R_Limbah"/>
      <sheetName val="RANGKUMAN"/>
      <sheetName val="Sheet1"/>
      <sheetName val="Instruction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2">
          <cell r="D2" t="str">
            <v>Purbalingga</v>
          </cell>
        </row>
        <row r="3">
          <cell r="D3" t="str">
            <v>Central Java</v>
          </cell>
        </row>
        <row r="4">
          <cell r="D4" t="str">
            <v>Indonesia</v>
          </cell>
        </row>
        <row r="11">
          <cell r="E11">
            <v>1997</v>
          </cell>
        </row>
        <row r="30">
          <cell r="E30">
            <v>0.5</v>
          </cell>
        </row>
        <row r="51">
          <cell r="E51">
            <v>0.5</v>
          </cell>
        </row>
        <row r="53">
          <cell r="E53">
            <v>1.3333333333333333</v>
          </cell>
        </row>
        <row r="55">
          <cell r="E55">
            <v>0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W5">
            <v>3</v>
          </cell>
        </row>
        <row r="6">
          <cell r="P6">
            <v>0.38</v>
          </cell>
          <cell r="Q6" t="str">
            <v>0.20-0.50</v>
          </cell>
          <cell r="R6">
            <v>0.15</v>
          </cell>
          <cell r="S6" t="str">
            <v>0.08-0.20</v>
          </cell>
        </row>
        <row r="7">
          <cell r="P7">
            <v>0.44</v>
          </cell>
          <cell r="Q7" t="str">
            <v>0.40-0.50</v>
          </cell>
          <cell r="R7">
            <v>0.4</v>
          </cell>
          <cell r="S7" t="str">
            <v>0.36-0.45</v>
          </cell>
        </row>
        <row r="8">
          <cell r="D8">
            <v>0.04</v>
          </cell>
          <cell r="E8" t="str">
            <v>0.03–0.05</v>
          </cell>
          <cell r="F8">
            <v>0.06</v>
          </cell>
          <cell r="G8" t="str">
            <v>0.05–0.07</v>
          </cell>
          <cell r="H8">
            <v>4.4999999999999998E-2</v>
          </cell>
          <cell r="I8" t="str">
            <v>0.04–0.06</v>
          </cell>
          <cell r="J8">
            <v>7.0000000000000007E-2</v>
          </cell>
          <cell r="K8" t="str">
            <v>0.06–0.085</v>
          </cell>
          <cell r="P8">
            <v>0.49</v>
          </cell>
          <cell r="Q8" t="str">
            <v>0.45-0.55</v>
          </cell>
          <cell r="R8">
            <v>0.2</v>
          </cell>
          <cell r="S8" t="str">
            <v>0.18-0.22</v>
          </cell>
        </row>
        <row r="9">
          <cell r="D9">
            <v>0.02</v>
          </cell>
          <cell r="E9" t="str">
            <v>0.01–0.03</v>
          </cell>
          <cell r="F9">
            <v>0.03</v>
          </cell>
          <cell r="G9" t="str">
            <v>0.02–0.04</v>
          </cell>
          <cell r="H9">
            <v>2.5000000000000001E-2</v>
          </cell>
          <cell r="I9" t="str">
            <v>0.02–0.04</v>
          </cell>
          <cell r="J9">
            <v>3.5000000000000003E-2</v>
          </cell>
          <cell r="K9" t="str">
            <v>0.03–0.05</v>
          </cell>
          <cell r="P9">
            <v>0.3</v>
          </cell>
          <cell r="Q9" t="str">
            <v>0.25-0.50</v>
          </cell>
          <cell r="R9">
            <v>0.24</v>
          </cell>
          <cell r="S9" t="str">
            <v>0.20-0.40</v>
          </cell>
        </row>
        <row r="10">
          <cell r="D10">
            <v>0.05</v>
          </cell>
          <cell r="E10" t="str">
            <v>0.04–0.06</v>
          </cell>
          <cell r="F10">
            <v>0.1</v>
          </cell>
          <cell r="G10" t="str">
            <v>0.06–0.1</v>
          </cell>
          <cell r="H10">
            <v>6.5000000000000002E-2</v>
          </cell>
          <cell r="I10" t="str">
            <v>0.05–0.08</v>
          </cell>
          <cell r="J10">
            <v>0.17</v>
          </cell>
          <cell r="K10" t="str">
            <v>0.15–0.2</v>
          </cell>
          <cell r="P10">
            <v>0.47</v>
          </cell>
          <cell r="Q10" t="str">
            <v>0.47</v>
          </cell>
          <cell r="R10">
            <v>0.39</v>
          </cell>
          <cell r="S10" t="str">
            <v>0.39</v>
          </cell>
        </row>
        <row r="11">
          <cell r="D11">
            <v>0.06</v>
          </cell>
          <cell r="E11" t="str">
            <v>0.05–0.08</v>
          </cell>
          <cell r="F11">
            <v>0.185</v>
          </cell>
          <cell r="G11" t="str">
            <v>0.1–0.2</v>
          </cell>
          <cell r="H11">
            <v>8.5000000000000006E-2</v>
          </cell>
          <cell r="I11" t="str">
            <v>0.07–0.1</v>
          </cell>
          <cell r="J11">
            <v>0.4</v>
          </cell>
          <cell r="K11" t="str">
            <v xml:space="preserve">0.17–0.7 </v>
          </cell>
          <cell r="P11">
            <v>0.5</v>
          </cell>
          <cell r="Q11" t="str">
            <v>0.46-0.54</v>
          </cell>
          <cell r="R11">
            <v>0.43</v>
          </cell>
          <cell r="S11" t="str">
            <v>0.39-0.46</v>
          </cell>
        </row>
        <row r="12">
          <cell r="D12">
            <v>0.05</v>
          </cell>
          <cell r="E12" t="str">
            <v>0.04–0.06</v>
          </cell>
          <cell r="F12">
            <v>0.09</v>
          </cell>
          <cell r="G12" t="str">
            <v>0.08–0.1</v>
          </cell>
          <cell r="H12">
            <v>6.5000000000000002E-2</v>
          </cell>
          <cell r="I12" t="str">
            <v>0.05–0.08</v>
          </cell>
          <cell r="J12">
            <v>0.17</v>
          </cell>
          <cell r="K12" t="str">
            <v>0.15–0.2</v>
          </cell>
          <cell r="P12">
            <v>0.6</v>
          </cell>
          <cell r="Q12" t="str">
            <v>0.44-0.80</v>
          </cell>
          <cell r="R12">
            <v>0.24</v>
          </cell>
          <cell r="S12" t="str">
            <v>0.18-0.32</v>
          </cell>
        </row>
        <row r="13">
          <cell r="P13">
            <v>0</v>
          </cell>
          <cell r="Q13">
            <v>0</v>
          </cell>
          <cell r="R13">
            <v>0</v>
          </cell>
          <cell r="S13">
            <v>0</v>
          </cell>
        </row>
        <row r="14">
          <cell r="P14">
            <v>0</v>
          </cell>
          <cell r="Q14">
            <v>0</v>
          </cell>
          <cell r="R14">
            <v>0</v>
          </cell>
          <cell r="S14">
            <v>0</v>
          </cell>
        </row>
        <row r="15"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G17">
            <v>4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</row>
        <row r="18">
          <cell r="P18">
            <v>0</v>
          </cell>
          <cell r="Q18" t="str">
            <v>N.A</v>
          </cell>
          <cell r="R18">
            <v>0.05</v>
          </cell>
          <cell r="S18" t="str">
            <v>0.04-0.05</v>
          </cell>
        </row>
        <row r="19">
          <cell r="P19">
            <v>0</v>
          </cell>
          <cell r="Q19" t="str">
            <v>N.A</v>
          </cell>
          <cell r="R19">
            <v>0.18</v>
          </cell>
          <cell r="S19" t="str">
            <v>0.12-0.28</v>
          </cell>
        </row>
        <row r="20">
          <cell r="P20">
            <v>0</v>
          </cell>
          <cell r="Q20" t="str">
            <v>N.A</v>
          </cell>
          <cell r="R20">
            <v>0.15</v>
          </cell>
          <cell r="S20" t="str">
            <v>0-0.54</v>
          </cell>
        </row>
        <row r="23">
          <cell r="O23">
            <v>1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Disbun"/>
      <sheetName val="Proyeksi"/>
      <sheetName val="Usulan target sektor perkebunan"/>
      <sheetName val="Sheet1"/>
    </sheetNames>
    <sheetDataSet>
      <sheetData sheetId="0"/>
      <sheetData sheetId="1">
        <row r="39">
          <cell r="F39">
            <v>245470.54054343028</v>
          </cell>
        </row>
        <row r="44">
          <cell r="F44">
            <v>540349.56352147006</v>
          </cell>
        </row>
        <row r="49">
          <cell r="F49">
            <v>260324.8472292198</v>
          </cell>
        </row>
        <row r="54">
          <cell r="F54">
            <v>329151.9953246548</v>
          </cell>
        </row>
        <row r="59">
          <cell r="F59">
            <v>216548.6111819926</v>
          </cell>
        </row>
        <row r="64">
          <cell r="F64">
            <v>46328.967143389636</v>
          </cell>
        </row>
        <row r="69">
          <cell r="F69">
            <v>104564.23029124213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58"/>
  <sheetViews>
    <sheetView topLeftCell="A31" zoomScaleNormal="100" workbookViewId="0">
      <selection activeCell="B36" sqref="B36"/>
    </sheetView>
  </sheetViews>
  <sheetFormatPr defaultColWidth="11.42578125" defaultRowHeight="15" x14ac:dyDescent="0.25"/>
  <cols>
    <col min="1" max="1" width="25.42578125" style="25" customWidth="1"/>
    <col min="2" max="2" width="16.7109375" style="23" customWidth="1"/>
    <col min="3" max="3" width="12.85546875" style="23" customWidth="1"/>
    <col min="4" max="5" width="11.42578125" style="23"/>
    <col min="6" max="6" width="16.140625" style="24" customWidth="1"/>
    <col min="7" max="7" width="15.140625" style="24" customWidth="1"/>
    <col min="8" max="8" width="15.5703125" style="24" customWidth="1"/>
    <col min="9" max="10" width="11.42578125" style="24"/>
    <col min="11" max="11" width="13.42578125" style="24" customWidth="1"/>
    <col min="12" max="15" width="11.42578125" style="24"/>
    <col min="16" max="16" width="13.5703125" style="24" customWidth="1"/>
    <col min="17" max="19" width="11.42578125" style="24"/>
    <col min="20" max="20" width="14.85546875" style="24" customWidth="1"/>
    <col min="21" max="21" width="15" style="24" customWidth="1"/>
    <col min="22" max="22" width="16.42578125" style="24" customWidth="1"/>
    <col min="23" max="27" width="11.42578125" style="24"/>
    <col min="28" max="28" width="14.42578125" style="24" customWidth="1"/>
    <col min="29" max="29" width="13.140625" style="24" customWidth="1"/>
    <col min="30" max="30" width="17.140625" style="24" customWidth="1"/>
    <col min="31" max="31" width="12" style="24" bestFit="1" customWidth="1"/>
    <col min="32" max="35" width="11.42578125" style="24"/>
    <col min="36" max="36" width="17.7109375" style="24" customWidth="1"/>
    <col min="37" max="37" width="15" style="24" customWidth="1"/>
    <col min="38" max="38" width="16.7109375" style="24" customWidth="1"/>
    <col min="39" max="43" width="11.42578125" style="24"/>
    <col min="44" max="45" width="15.7109375" style="24" customWidth="1"/>
    <col min="46" max="46" width="16" style="24" customWidth="1"/>
    <col min="47" max="217" width="11.42578125" style="24"/>
    <col min="218" max="220" width="16.7109375" style="24" customWidth="1"/>
    <col min="221" max="221" width="17.42578125" style="24" bestFit="1" customWidth="1"/>
    <col min="222" max="224" width="16.7109375" style="24" customWidth="1"/>
    <col min="225" max="473" width="11.42578125" style="24"/>
    <col min="474" max="476" width="16.7109375" style="24" customWidth="1"/>
    <col min="477" max="477" width="17.42578125" style="24" bestFit="1" customWidth="1"/>
    <col min="478" max="480" width="16.7109375" style="24" customWidth="1"/>
    <col min="481" max="729" width="11.42578125" style="24"/>
    <col min="730" max="732" width="16.7109375" style="24" customWidth="1"/>
    <col min="733" max="733" width="17.42578125" style="24" bestFit="1" customWidth="1"/>
    <col min="734" max="736" width="16.7109375" style="24" customWidth="1"/>
    <col min="737" max="985" width="11.42578125" style="24"/>
    <col min="986" max="988" width="16.7109375" style="24" customWidth="1"/>
    <col min="989" max="989" width="17.42578125" style="24" bestFit="1" customWidth="1"/>
    <col min="990" max="992" width="16.7109375" style="24" customWidth="1"/>
    <col min="993" max="1241" width="11.42578125" style="24"/>
    <col min="1242" max="1244" width="16.7109375" style="24" customWidth="1"/>
    <col min="1245" max="1245" width="17.42578125" style="24" bestFit="1" customWidth="1"/>
    <col min="1246" max="1248" width="16.7109375" style="24" customWidth="1"/>
    <col min="1249" max="1497" width="11.42578125" style="24"/>
    <col min="1498" max="1500" width="16.7109375" style="24" customWidth="1"/>
    <col min="1501" max="1501" width="17.42578125" style="24" bestFit="1" customWidth="1"/>
    <col min="1502" max="1504" width="16.7109375" style="24" customWidth="1"/>
    <col min="1505" max="1753" width="11.42578125" style="24"/>
    <col min="1754" max="1756" width="16.7109375" style="24" customWidth="1"/>
    <col min="1757" max="1757" width="17.42578125" style="24" bestFit="1" customWidth="1"/>
    <col min="1758" max="1760" width="16.7109375" style="24" customWidth="1"/>
    <col min="1761" max="2009" width="11.42578125" style="24"/>
    <col min="2010" max="2012" width="16.7109375" style="24" customWidth="1"/>
    <col min="2013" max="2013" width="17.42578125" style="24" bestFit="1" customWidth="1"/>
    <col min="2014" max="2016" width="16.7109375" style="24" customWidth="1"/>
    <col min="2017" max="2265" width="11.42578125" style="24"/>
    <col min="2266" max="2268" width="16.7109375" style="24" customWidth="1"/>
    <col min="2269" max="2269" width="17.42578125" style="24" bestFit="1" customWidth="1"/>
    <col min="2270" max="2272" width="16.7109375" style="24" customWidth="1"/>
    <col min="2273" max="2521" width="11.42578125" style="24"/>
    <col min="2522" max="2524" width="16.7109375" style="24" customWidth="1"/>
    <col min="2525" max="2525" width="17.42578125" style="24" bestFit="1" customWidth="1"/>
    <col min="2526" max="2528" width="16.7109375" style="24" customWidth="1"/>
    <col min="2529" max="2777" width="11.42578125" style="24"/>
    <col min="2778" max="2780" width="16.7109375" style="24" customWidth="1"/>
    <col min="2781" max="2781" width="17.42578125" style="24" bestFit="1" customWidth="1"/>
    <col min="2782" max="2784" width="16.7109375" style="24" customWidth="1"/>
    <col min="2785" max="3033" width="11.42578125" style="24"/>
    <col min="3034" max="3036" width="16.7109375" style="24" customWidth="1"/>
    <col min="3037" max="3037" width="17.42578125" style="24" bestFit="1" customWidth="1"/>
    <col min="3038" max="3040" width="16.7109375" style="24" customWidth="1"/>
    <col min="3041" max="3289" width="11.42578125" style="24"/>
    <col min="3290" max="3292" width="16.7109375" style="24" customWidth="1"/>
    <col min="3293" max="3293" width="17.42578125" style="24" bestFit="1" customWidth="1"/>
    <col min="3294" max="3296" width="16.7109375" style="24" customWidth="1"/>
    <col min="3297" max="3545" width="11.42578125" style="24"/>
    <col min="3546" max="3548" width="16.7109375" style="24" customWidth="1"/>
    <col min="3549" max="3549" width="17.42578125" style="24" bestFit="1" customWidth="1"/>
    <col min="3550" max="3552" width="16.7109375" style="24" customWidth="1"/>
    <col min="3553" max="3801" width="11.42578125" style="24"/>
    <col min="3802" max="3804" width="16.7109375" style="24" customWidth="1"/>
    <col min="3805" max="3805" width="17.42578125" style="24" bestFit="1" customWidth="1"/>
    <col min="3806" max="3808" width="16.7109375" style="24" customWidth="1"/>
    <col min="3809" max="4057" width="11.42578125" style="24"/>
    <col min="4058" max="4060" width="16.7109375" style="24" customWidth="1"/>
    <col min="4061" max="4061" width="17.42578125" style="24" bestFit="1" customWidth="1"/>
    <col min="4062" max="4064" width="16.7109375" style="24" customWidth="1"/>
    <col min="4065" max="4313" width="11.42578125" style="24"/>
    <col min="4314" max="4316" width="16.7109375" style="24" customWidth="1"/>
    <col min="4317" max="4317" width="17.42578125" style="24" bestFit="1" customWidth="1"/>
    <col min="4318" max="4320" width="16.7109375" style="24" customWidth="1"/>
    <col min="4321" max="4569" width="11.42578125" style="24"/>
    <col min="4570" max="4572" width="16.7109375" style="24" customWidth="1"/>
    <col min="4573" max="4573" width="17.42578125" style="24" bestFit="1" customWidth="1"/>
    <col min="4574" max="4576" width="16.7109375" style="24" customWidth="1"/>
    <col min="4577" max="4825" width="11.42578125" style="24"/>
    <col min="4826" max="4828" width="16.7109375" style="24" customWidth="1"/>
    <col min="4829" max="4829" width="17.42578125" style="24" bestFit="1" customWidth="1"/>
    <col min="4830" max="4832" width="16.7109375" style="24" customWidth="1"/>
    <col min="4833" max="5081" width="11.42578125" style="24"/>
    <col min="5082" max="5084" width="16.7109375" style="24" customWidth="1"/>
    <col min="5085" max="5085" width="17.42578125" style="24" bestFit="1" customWidth="1"/>
    <col min="5086" max="5088" width="16.7109375" style="24" customWidth="1"/>
    <col min="5089" max="5337" width="11.42578125" style="24"/>
    <col min="5338" max="5340" width="16.7109375" style="24" customWidth="1"/>
    <col min="5341" max="5341" width="17.42578125" style="24" bestFit="1" customWidth="1"/>
    <col min="5342" max="5344" width="16.7109375" style="24" customWidth="1"/>
    <col min="5345" max="5593" width="11.42578125" style="24"/>
    <col min="5594" max="5596" width="16.7109375" style="24" customWidth="1"/>
    <col min="5597" max="5597" width="17.42578125" style="24" bestFit="1" customWidth="1"/>
    <col min="5598" max="5600" width="16.7109375" style="24" customWidth="1"/>
    <col min="5601" max="5849" width="11.42578125" style="24"/>
    <col min="5850" max="5852" width="16.7109375" style="24" customWidth="1"/>
    <col min="5853" max="5853" width="17.42578125" style="24" bestFit="1" customWidth="1"/>
    <col min="5854" max="5856" width="16.7109375" style="24" customWidth="1"/>
    <col min="5857" max="6105" width="11.42578125" style="24"/>
    <col min="6106" max="6108" width="16.7109375" style="24" customWidth="1"/>
    <col min="6109" max="6109" width="17.42578125" style="24" bestFit="1" customWidth="1"/>
    <col min="6110" max="6112" width="16.7109375" style="24" customWidth="1"/>
    <col min="6113" max="6361" width="11.42578125" style="24"/>
    <col min="6362" max="6364" width="16.7109375" style="24" customWidth="1"/>
    <col min="6365" max="6365" width="17.42578125" style="24" bestFit="1" customWidth="1"/>
    <col min="6366" max="6368" width="16.7109375" style="24" customWidth="1"/>
    <col min="6369" max="6617" width="11.42578125" style="24"/>
    <col min="6618" max="6620" width="16.7109375" style="24" customWidth="1"/>
    <col min="6621" max="6621" width="17.42578125" style="24" bestFit="1" customWidth="1"/>
    <col min="6622" max="6624" width="16.7109375" style="24" customWidth="1"/>
    <col min="6625" max="6873" width="11.42578125" style="24"/>
    <col min="6874" max="6876" width="16.7109375" style="24" customWidth="1"/>
    <col min="6877" max="6877" width="17.42578125" style="24" bestFit="1" customWidth="1"/>
    <col min="6878" max="6880" width="16.7109375" style="24" customWidth="1"/>
    <col min="6881" max="7129" width="11.42578125" style="24"/>
    <col min="7130" max="7132" width="16.7109375" style="24" customWidth="1"/>
    <col min="7133" max="7133" width="17.42578125" style="24" bestFit="1" customWidth="1"/>
    <col min="7134" max="7136" width="16.7109375" style="24" customWidth="1"/>
    <col min="7137" max="7385" width="11.42578125" style="24"/>
    <col min="7386" max="7388" width="16.7109375" style="24" customWidth="1"/>
    <col min="7389" max="7389" width="17.42578125" style="24" bestFit="1" customWidth="1"/>
    <col min="7390" max="7392" width="16.7109375" style="24" customWidth="1"/>
    <col min="7393" max="7641" width="11.42578125" style="24"/>
    <col min="7642" max="7644" width="16.7109375" style="24" customWidth="1"/>
    <col min="7645" max="7645" width="17.42578125" style="24" bestFit="1" customWidth="1"/>
    <col min="7646" max="7648" width="16.7109375" style="24" customWidth="1"/>
    <col min="7649" max="7897" width="11.42578125" style="24"/>
    <col min="7898" max="7900" width="16.7109375" style="24" customWidth="1"/>
    <col min="7901" max="7901" width="17.42578125" style="24" bestFit="1" customWidth="1"/>
    <col min="7902" max="7904" width="16.7109375" style="24" customWidth="1"/>
    <col min="7905" max="8153" width="11.42578125" style="24"/>
    <col min="8154" max="8156" width="16.7109375" style="24" customWidth="1"/>
    <col min="8157" max="8157" width="17.42578125" style="24" bestFit="1" customWidth="1"/>
    <col min="8158" max="8160" width="16.7109375" style="24" customWidth="1"/>
    <col min="8161" max="8409" width="11.42578125" style="24"/>
    <col min="8410" max="8412" width="16.7109375" style="24" customWidth="1"/>
    <col min="8413" max="8413" width="17.42578125" style="24" bestFit="1" customWidth="1"/>
    <col min="8414" max="8416" width="16.7109375" style="24" customWidth="1"/>
    <col min="8417" max="8665" width="11.42578125" style="24"/>
    <col min="8666" max="8668" width="16.7109375" style="24" customWidth="1"/>
    <col min="8669" max="8669" width="17.42578125" style="24" bestFit="1" customWidth="1"/>
    <col min="8670" max="8672" width="16.7109375" style="24" customWidth="1"/>
    <col min="8673" max="8921" width="11.42578125" style="24"/>
    <col min="8922" max="8924" width="16.7109375" style="24" customWidth="1"/>
    <col min="8925" max="8925" width="17.42578125" style="24" bestFit="1" customWidth="1"/>
    <col min="8926" max="8928" width="16.7109375" style="24" customWidth="1"/>
    <col min="8929" max="9177" width="11.42578125" style="24"/>
    <col min="9178" max="9180" width="16.7109375" style="24" customWidth="1"/>
    <col min="9181" max="9181" width="17.42578125" style="24" bestFit="1" customWidth="1"/>
    <col min="9182" max="9184" width="16.7109375" style="24" customWidth="1"/>
    <col min="9185" max="9433" width="11.42578125" style="24"/>
    <col min="9434" max="9436" width="16.7109375" style="24" customWidth="1"/>
    <col min="9437" max="9437" width="17.42578125" style="24" bestFit="1" customWidth="1"/>
    <col min="9438" max="9440" width="16.7109375" style="24" customWidth="1"/>
    <col min="9441" max="9689" width="11.42578125" style="24"/>
    <col min="9690" max="9692" width="16.7109375" style="24" customWidth="1"/>
    <col min="9693" max="9693" width="17.42578125" style="24" bestFit="1" customWidth="1"/>
    <col min="9694" max="9696" width="16.7109375" style="24" customWidth="1"/>
    <col min="9697" max="9945" width="11.42578125" style="24"/>
    <col min="9946" max="9948" width="16.7109375" style="24" customWidth="1"/>
    <col min="9949" max="9949" width="17.42578125" style="24" bestFit="1" customWidth="1"/>
    <col min="9950" max="9952" width="16.7109375" style="24" customWidth="1"/>
    <col min="9953" max="10201" width="11.42578125" style="24"/>
    <col min="10202" max="10204" width="16.7109375" style="24" customWidth="1"/>
    <col min="10205" max="10205" width="17.42578125" style="24" bestFit="1" customWidth="1"/>
    <col min="10206" max="10208" width="16.7109375" style="24" customWidth="1"/>
    <col min="10209" max="10457" width="11.42578125" style="24"/>
    <col min="10458" max="10460" width="16.7109375" style="24" customWidth="1"/>
    <col min="10461" max="10461" width="17.42578125" style="24" bestFit="1" customWidth="1"/>
    <col min="10462" max="10464" width="16.7109375" style="24" customWidth="1"/>
    <col min="10465" max="10713" width="11.42578125" style="24"/>
    <col min="10714" max="10716" width="16.7109375" style="24" customWidth="1"/>
    <col min="10717" max="10717" width="17.42578125" style="24" bestFit="1" customWidth="1"/>
    <col min="10718" max="10720" width="16.7109375" style="24" customWidth="1"/>
    <col min="10721" max="10969" width="11.42578125" style="24"/>
    <col min="10970" max="10972" width="16.7109375" style="24" customWidth="1"/>
    <col min="10973" max="10973" width="17.42578125" style="24" bestFit="1" customWidth="1"/>
    <col min="10974" max="10976" width="16.7109375" style="24" customWidth="1"/>
    <col min="10977" max="11225" width="11.42578125" style="24"/>
    <col min="11226" max="11228" width="16.7109375" style="24" customWidth="1"/>
    <col min="11229" max="11229" width="17.42578125" style="24" bestFit="1" customWidth="1"/>
    <col min="11230" max="11232" width="16.7109375" style="24" customWidth="1"/>
    <col min="11233" max="11481" width="11.42578125" style="24"/>
    <col min="11482" max="11484" width="16.7109375" style="24" customWidth="1"/>
    <col min="11485" max="11485" width="17.42578125" style="24" bestFit="1" customWidth="1"/>
    <col min="11486" max="11488" width="16.7109375" style="24" customWidth="1"/>
    <col min="11489" max="11737" width="11.42578125" style="24"/>
    <col min="11738" max="11740" width="16.7109375" style="24" customWidth="1"/>
    <col min="11741" max="11741" width="17.42578125" style="24" bestFit="1" customWidth="1"/>
    <col min="11742" max="11744" width="16.7109375" style="24" customWidth="1"/>
    <col min="11745" max="11993" width="11.42578125" style="24"/>
    <col min="11994" max="11996" width="16.7109375" style="24" customWidth="1"/>
    <col min="11997" max="11997" width="17.42578125" style="24" bestFit="1" customWidth="1"/>
    <col min="11998" max="12000" width="16.7109375" style="24" customWidth="1"/>
    <col min="12001" max="12249" width="11.42578125" style="24"/>
    <col min="12250" max="12252" width="16.7109375" style="24" customWidth="1"/>
    <col min="12253" max="12253" width="17.42578125" style="24" bestFit="1" customWidth="1"/>
    <col min="12254" max="12256" width="16.7109375" style="24" customWidth="1"/>
    <col min="12257" max="12505" width="11.42578125" style="24"/>
    <col min="12506" max="12508" width="16.7109375" style="24" customWidth="1"/>
    <col min="12509" max="12509" width="17.42578125" style="24" bestFit="1" customWidth="1"/>
    <col min="12510" max="12512" width="16.7109375" style="24" customWidth="1"/>
    <col min="12513" max="12761" width="11.42578125" style="24"/>
    <col min="12762" max="12764" width="16.7109375" style="24" customWidth="1"/>
    <col min="12765" max="12765" width="17.42578125" style="24" bestFit="1" customWidth="1"/>
    <col min="12766" max="12768" width="16.7109375" style="24" customWidth="1"/>
    <col min="12769" max="13017" width="11.42578125" style="24"/>
    <col min="13018" max="13020" width="16.7109375" style="24" customWidth="1"/>
    <col min="13021" max="13021" width="17.42578125" style="24" bestFit="1" customWidth="1"/>
    <col min="13022" max="13024" width="16.7109375" style="24" customWidth="1"/>
    <col min="13025" max="13273" width="11.42578125" style="24"/>
    <col min="13274" max="13276" width="16.7109375" style="24" customWidth="1"/>
    <col min="13277" max="13277" width="17.42578125" style="24" bestFit="1" customWidth="1"/>
    <col min="13278" max="13280" width="16.7109375" style="24" customWidth="1"/>
    <col min="13281" max="13529" width="11.42578125" style="24"/>
    <col min="13530" max="13532" width="16.7109375" style="24" customWidth="1"/>
    <col min="13533" max="13533" width="17.42578125" style="24" bestFit="1" customWidth="1"/>
    <col min="13534" max="13536" width="16.7109375" style="24" customWidth="1"/>
    <col min="13537" max="13785" width="11.42578125" style="24"/>
    <col min="13786" max="13788" width="16.7109375" style="24" customWidth="1"/>
    <col min="13789" max="13789" width="17.42578125" style="24" bestFit="1" customWidth="1"/>
    <col min="13790" max="13792" width="16.7109375" style="24" customWidth="1"/>
    <col min="13793" max="14041" width="11.42578125" style="24"/>
    <col min="14042" max="14044" width="16.7109375" style="24" customWidth="1"/>
    <col min="14045" max="14045" width="17.42578125" style="24" bestFit="1" customWidth="1"/>
    <col min="14046" max="14048" width="16.7109375" style="24" customWidth="1"/>
    <col min="14049" max="14297" width="11.42578125" style="24"/>
    <col min="14298" max="14300" width="16.7109375" style="24" customWidth="1"/>
    <col min="14301" max="14301" width="17.42578125" style="24" bestFit="1" customWidth="1"/>
    <col min="14302" max="14304" width="16.7109375" style="24" customWidth="1"/>
    <col min="14305" max="14553" width="11.42578125" style="24"/>
    <col min="14554" max="14556" width="16.7109375" style="24" customWidth="1"/>
    <col min="14557" max="14557" width="17.42578125" style="24" bestFit="1" customWidth="1"/>
    <col min="14558" max="14560" width="16.7109375" style="24" customWidth="1"/>
    <col min="14561" max="14809" width="11.42578125" style="24"/>
    <col min="14810" max="14812" width="16.7109375" style="24" customWidth="1"/>
    <col min="14813" max="14813" width="17.42578125" style="24" bestFit="1" customWidth="1"/>
    <col min="14814" max="14816" width="16.7109375" style="24" customWidth="1"/>
    <col min="14817" max="15065" width="11.42578125" style="24"/>
    <col min="15066" max="15068" width="16.7109375" style="24" customWidth="1"/>
    <col min="15069" max="15069" width="17.42578125" style="24" bestFit="1" customWidth="1"/>
    <col min="15070" max="15072" width="16.7109375" style="24" customWidth="1"/>
    <col min="15073" max="15321" width="11.42578125" style="24"/>
    <col min="15322" max="15324" width="16.7109375" style="24" customWidth="1"/>
    <col min="15325" max="15325" width="17.42578125" style="24" bestFit="1" customWidth="1"/>
    <col min="15326" max="15328" width="16.7109375" style="24" customWidth="1"/>
    <col min="15329" max="15577" width="11.42578125" style="24"/>
    <col min="15578" max="15580" width="16.7109375" style="24" customWidth="1"/>
    <col min="15581" max="15581" width="17.42578125" style="24" bestFit="1" customWidth="1"/>
    <col min="15582" max="15584" width="16.7109375" style="24" customWidth="1"/>
    <col min="15585" max="15833" width="11.42578125" style="24"/>
    <col min="15834" max="15836" width="16.7109375" style="24" customWidth="1"/>
    <col min="15837" max="15837" width="17.42578125" style="24" bestFit="1" customWidth="1"/>
    <col min="15838" max="15840" width="16.7109375" style="24" customWidth="1"/>
    <col min="15841" max="16089" width="11.42578125" style="24"/>
    <col min="16090" max="16092" width="16.7109375" style="24" customWidth="1"/>
    <col min="16093" max="16093" width="17.42578125" style="24" bestFit="1" customWidth="1"/>
    <col min="16094" max="16096" width="16.7109375" style="24" customWidth="1"/>
    <col min="16097" max="16384" width="11.42578125" style="24"/>
  </cols>
  <sheetData>
    <row r="1" spans="1:16" x14ac:dyDescent="0.25">
      <c r="A1" s="21" t="s">
        <v>50</v>
      </c>
      <c r="B1" s="22"/>
    </row>
    <row r="2" spans="1:16" x14ac:dyDescent="0.25">
      <c r="A2" s="25" t="s">
        <v>21</v>
      </c>
      <c r="B2" s="26">
        <v>1312977</v>
      </c>
    </row>
    <row r="3" spans="1:16" x14ac:dyDescent="0.25">
      <c r="A3" s="25" t="s">
        <v>51</v>
      </c>
      <c r="B3" s="26">
        <v>416972</v>
      </c>
    </row>
    <row r="4" spans="1:16" x14ac:dyDescent="0.25">
      <c r="A4" s="25" t="s">
        <v>52</v>
      </c>
      <c r="B4" s="27">
        <f>B3/B2</f>
        <v>0.31757753563086027</v>
      </c>
    </row>
    <row r="5" spans="1:16" x14ac:dyDescent="0.25">
      <c r="B5" s="27"/>
    </row>
    <row r="6" spans="1:16" x14ac:dyDescent="0.25">
      <c r="A6" s="21" t="s">
        <v>53</v>
      </c>
    </row>
    <row r="7" spans="1:16" x14ac:dyDescent="0.25">
      <c r="B7" s="28" t="s">
        <v>54</v>
      </c>
      <c r="C7" s="28" t="s">
        <v>55</v>
      </c>
    </row>
    <row r="8" spans="1:16" x14ac:dyDescent="0.25">
      <c r="A8" s="23" t="s">
        <v>56</v>
      </c>
      <c r="B8" s="23">
        <v>166</v>
      </c>
      <c r="C8" s="29">
        <f>B8*100/46</f>
        <v>360.86956521739131</v>
      </c>
    </row>
    <row r="9" spans="1:16" x14ac:dyDescent="0.25">
      <c r="A9" s="23" t="s">
        <v>57</v>
      </c>
      <c r="B9" s="23">
        <v>140</v>
      </c>
      <c r="C9" s="29">
        <f t="shared" ref="C9:C10" si="0">B9*100/46</f>
        <v>304.3478260869565</v>
      </c>
    </row>
    <row r="10" spans="1:16" x14ac:dyDescent="0.25">
      <c r="A10" s="25" t="s">
        <v>58</v>
      </c>
      <c r="B10" s="23">
        <v>110</v>
      </c>
      <c r="C10" s="29">
        <f t="shared" si="0"/>
        <v>239.13043478260869</v>
      </c>
    </row>
    <row r="11" spans="1:16" x14ac:dyDescent="0.25">
      <c r="A11" s="25" t="s">
        <v>59</v>
      </c>
      <c r="C11" s="29">
        <f>(B4*C8)+(68%*C9)</f>
        <v>321.56058894504957</v>
      </c>
    </row>
    <row r="12" spans="1:16" x14ac:dyDescent="0.25">
      <c r="C12" s="29"/>
    </row>
    <row r="14" spans="1:16" ht="18" customHeight="1" x14ac:dyDescent="0.25">
      <c r="A14" s="57" t="s">
        <v>25</v>
      </c>
      <c r="B14" s="59" t="s">
        <v>26</v>
      </c>
      <c r="C14" s="59" t="s">
        <v>27</v>
      </c>
      <c r="D14" s="59"/>
      <c r="E14" s="59"/>
      <c r="F14" s="60" t="s">
        <v>28</v>
      </c>
      <c r="G14" s="60"/>
      <c r="H14" s="61" t="s">
        <v>29</v>
      </c>
      <c r="I14" s="61"/>
      <c r="J14" s="61"/>
      <c r="K14" s="61"/>
      <c r="L14" s="62" t="s">
        <v>30</v>
      </c>
      <c r="M14" s="62"/>
      <c r="N14" s="62"/>
      <c r="O14" s="62"/>
      <c r="P14" s="56" t="s">
        <v>31</v>
      </c>
    </row>
    <row r="15" spans="1:16" ht="12.75" customHeight="1" x14ac:dyDescent="0.25">
      <c r="A15" s="57"/>
      <c r="B15" s="59"/>
      <c r="C15" s="59"/>
      <c r="D15" s="59"/>
      <c r="E15" s="59"/>
      <c r="F15" s="30" t="s">
        <v>32</v>
      </c>
      <c r="G15" s="30" t="s">
        <v>33</v>
      </c>
      <c r="H15" s="24" t="s">
        <v>34</v>
      </c>
      <c r="I15" s="24" t="s">
        <v>35</v>
      </c>
      <c r="J15" s="24" t="s">
        <v>36</v>
      </c>
      <c r="K15" s="24" t="s">
        <v>37</v>
      </c>
      <c r="L15" s="24" t="s">
        <v>32</v>
      </c>
      <c r="M15" s="56" t="s">
        <v>38</v>
      </c>
      <c r="N15" s="56"/>
      <c r="O15" s="56"/>
      <c r="P15" s="56"/>
    </row>
    <row r="16" spans="1:16" s="25" customFormat="1" ht="30" x14ac:dyDescent="0.25">
      <c r="A16" s="58"/>
      <c r="B16" s="59"/>
      <c r="C16" s="51" t="s">
        <v>89</v>
      </c>
      <c r="D16" s="51" t="s">
        <v>39</v>
      </c>
      <c r="E16" s="31" t="s">
        <v>40</v>
      </c>
      <c r="F16" s="32" t="s">
        <v>41</v>
      </c>
      <c r="G16" s="32" t="s">
        <v>42</v>
      </c>
      <c r="H16" s="32" t="s">
        <v>43</v>
      </c>
      <c r="I16" s="25" t="s">
        <v>44</v>
      </c>
      <c r="J16" s="25" t="s">
        <v>45</v>
      </c>
      <c r="K16" s="25" t="s">
        <v>46</v>
      </c>
      <c r="M16" s="32" t="s">
        <v>47</v>
      </c>
      <c r="N16" s="32" t="s">
        <v>48</v>
      </c>
      <c r="O16" s="32" t="s">
        <v>49</v>
      </c>
      <c r="P16" s="32" t="s">
        <v>46</v>
      </c>
    </row>
    <row r="17" spans="1:17" x14ac:dyDescent="0.25">
      <c r="A17" s="33">
        <v>2016</v>
      </c>
      <c r="B17" s="24">
        <v>1150078</v>
      </c>
      <c r="C17" s="34">
        <v>322</v>
      </c>
      <c r="D17" s="35">
        <f>B17*C17/10^3</f>
        <v>370325.11599999998</v>
      </c>
      <c r="E17" s="35">
        <f>D17*46%</f>
        <v>170349.55335999999</v>
      </c>
      <c r="F17" s="36">
        <v>0.2</v>
      </c>
      <c r="G17" s="37">
        <f>D17*F17*44/12</f>
        <v>271571.75173333334</v>
      </c>
      <c r="H17" s="36">
        <v>0.01</v>
      </c>
      <c r="I17" s="38">
        <f>(E17*H17)</f>
        <v>1703.4955336</v>
      </c>
      <c r="J17" s="39">
        <f>I17*44/28</f>
        <v>2676.9215528</v>
      </c>
      <c r="K17" s="39">
        <f>J17*298</f>
        <v>797722.62273439998</v>
      </c>
      <c r="L17" s="40">
        <f>(0.0075*0.3)+(0.1*0.01)</f>
        <v>3.2499999999999999E-3</v>
      </c>
      <c r="M17" s="41">
        <f>E17*L17</f>
        <v>553.63604841999995</v>
      </c>
      <c r="N17" s="42">
        <f>M17*44/28</f>
        <v>869.99950465999996</v>
      </c>
      <c r="O17" s="42">
        <f>N17*298</f>
        <v>259259.85238867998</v>
      </c>
      <c r="P17" s="42">
        <f>O17+K17+G17</f>
        <v>1328554.2268564133</v>
      </c>
      <c r="Q17" s="36"/>
    </row>
    <row r="18" spans="1:17" x14ac:dyDescent="0.25">
      <c r="A18" s="33">
        <v>2017</v>
      </c>
      <c r="B18" s="24">
        <v>1218278</v>
      </c>
      <c r="C18" s="34">
        <v>322</v>
      </c>
      <c r="D18" s="35">
        <f t="shared" ref="D18:D31" si="1">B18*C18/10^3</f>
        <v>392285.516</v>
      </c>
      <c r="E18" s="35">
        <f t="shared" ref="E18:E31" si="2">D18*46%</f>
        <v>180451.33736</v>
      </c>
      <c r="F18" s="36">
        <v>0.2</v>
      </c>
      <c r="G18" s="37">
        <f t="shared" ref="G18:G31" si="3">D18*F18*44/12</f>
        <v>287676.04506666667</v>
      </c>
      <c r="H18" s="36">
        <v>0.01</v>
      </c>
      <c r="I18" s="38">
        <f t="shared" ref="I18:I31" si="4">(E18*H18)</f>
        <v>1804.5133736</v>
      </c>
      <c r="J18" s="39">
        <f t="shared" ref="J18:J31" si="5">I18*44/28</f>
        <v>2835.6638727999998</v>
      </c>
      <c r="K18" s="39">
        <f t="shared" ref="K18:K31" si="6">J18*298</f>
        <v>845027.83409439994</v>
      </c>
      <c r="L18" s="40">
        <f t="shared" ref="L18:L31" si="7">(0.0075*0.3)+(0.1*0.01)</f>
        <v>3.2499999999999999E-3</v>
      </c>
      <c r="M18" s="41">
        <f t="shared" ref="M18:M31" si="8">E18*L18</f>
        <v>586.46684642000002</v>
      </c>
      <c r="N18" s="42">
        <f t="shared" ref="N18:N31" si="9">M18*44/28</f>
        <v>921.59075866000001</v>
      </c>
      <c r="O18" s="42">
        <f t="shared" ref="O18:O31" si="10">N18*298</f>
        <v>274634.04608067998</v>
      </c>
      <c r="P18" s="42">
        <f t="shared" ref="P18:P31" si="11">O18+K18+G18</f>
        <v>1407337.9252417465</v>
      </c>
      <c r="Q18" s="36"/>
    </row>
    <row r="19" spans="1:17" x14ac:dyDescent="0.25">
      <c r="A19" s="33">
        <v>2018</v>
      </c>
      <c r="B19" s="24">
        <v>1286478</v>
      </c>
      <c r="C19" s="34">
        <v>322</v>
      </c>
      <c r="D19" s="35">
        <f t="shared" si="1"/>
        <v>414245.91600000003</v>
      </c>
      <c r="E19" s="35">
        <f t="shared" si="2"/>
        <v>190553.12136000002</v>
      </c>
      <c r="F19" s="36">
        <v>0.2</v>
      </c>
      <c r="G19" s="37">
        <f t="shared" si="3"/>
        <v>303780.33840000007</v>
      </c>
      <c r="H19" s="36">
        <v>0.01</v>
      </c>
      <c r="I19" s="38">
        <f t="shared" si="4"/>
        <v>1905.5312136000002</v>
      </c>
      <c r="J19" s="39">
        <f t="shared" si="5"/>
        <v>2994.4061928000006</v>
      </c>
      <c r="K19" s="39">
        <f t="shared" si="6"/>
        <v>892333.04545440013</v>
      </c>
      <c r="L19" s="40">
        <f t="shared" si="7"/>
        <v>3.2499999999999999E-3</v>
      </c>
      <c r="M19" s="41">
        <f t="shared" si="8"/>
        <v>619.29764441999998</v>
      </c>
      <c r="N19" s="42">
        <f t="shared" si="9"/>
        <v>973.18201265999994</v>
      </c>
      <c r="O19" s="42">
        <f t="shared" si="10"/>
        <v>290008.23977267998</v>
      </c>
      <c r="P19" s="42">
        <f t="shared" si="11"/>
        <v>1486121.6236270801</v>
      </c>
      <c r="Q19" s="36"/>
    </row>
    <row r="20" spans="1:17" x14ac:dyDescent="0.25">
      <c r="A20" s="33">
        <v>2019</v>
      </c>
      <c r="B20" s="24">
        <v>1354678</v>
      </c>
      <c r="C20" s="34">
        <v>322</v>
      </c>
      <c r="D20" s="35">
        <f t="shared" si="1"/>
        <v>436206.31599999999</v>
      </c>
      <c r="E20" s="35">
        <f t="shared" si="2"/>
        <v>200654.90536</v>
      </c>
      <c r="F20" s="36">
        <v>0.2</v>
      </c>
      <c r="G20" s="37">
        <f t="shared" si="3"/>
        <v>319884.63173333334</v>
      </c>
      <c r="H20" s="36">
        <v>0.01</v>
      </c>
      <c r="I20" s="38">
        <f t="shared" si="4"/>
        <v>2006.5490536</v>
      </c>
      <c r="J20" s="39">
        <f t="shared" si="5"/>
        <v>3153.1485127999999</v>
      </c>
      <c r="K20" s="39">
        <f t="shared" si="6"/>
        <v>939638.25681439997</v>
      </c>
      <c r="L20" s="40">
        <f t="shared" si="7"/>
        <v>3.2499999999999999E-3</v>
      </c>
      <c r="M20" s="41">
        <f t="shared" si="8"/>
        <v>652.12844241999994</v>
      </c>
      <c r="N20" s="42">
        <f t="shared" si="9"/>
        <v>1024.77326666</v>
      </c>
      <c r="O20" s="42">
        <f t="shared" si="10"/>
        <v>305382.43346467998</v>
      </c>
      <c r="P20" s="42">
        <f t="shared" si="11"/>
        <v>1564905.3220124133</v>
      </c>
    </row>
    <row r="21" spans="1:17" x14ac:dyDescent="0.25">
      <c r="A21" s="33">
        <v>2020</v>
      </c>
      <c r="B21" s="24">
        <v>1422878</v>
      </c>
      <c r="C21" s="34">
        <v>322</v>
      </c>
      <c r="D21" s="35">
        <f t="shared" si="1"/>
        <v>458166.71600000001</v>
      </c>
      <c r="E21" s="35">
        <f t="shared" si="2"/>
        <v>210756.68936000002</v>
      </c>
      <c r="F21" s="36">
        <v>0.2</v>
      </c>
      <c r="G21" s="37">
        <f t="shared" si="3"/>
        <v>335988.92506666668</v>
      </c>
      <c r="H21" s="36">
        <v>0.01</v>
      </c>
      <c r="I21" s="38">
        <f t="shared" si="4"/>
        <v>2107.5668936000002</v>
      </c>
      <c r="J21" s="39">
        <f t="shared" si="5"/>
        <v>3311.8908328000002</v>
      </c>
      <c r="K21" s="39">
        <f t="shared" si="6"/>
        <v>986943.46817440004</v>
      </c>
      <c r="L21" s="40">
        <f t="shared" si="7"/>
        <v>3.2499999999999999E-3</v>
      </c>
      <c r="M21" s="41">
        <f t="shared" si="8"/>
        <v>684.95924042000001</v>
      </c>
      <c r="N21" s="42">
        <f t="shared" si="9"/>
        <v>1076.3645206599999</v>
      </c>
      <c r="O21" s="42">
        <f t="shared" si="10"/>
        <v>320756.62715667998</v>
      </c>
      <c r="P21" s="42">
        <f t="shared" si="11"/>
        <v>1643689.0203977467</v>
      </c>
    </row>
    <row r="22" spans="1:17" x14ac:dyDescent="0.25">
      <c r="A22" s="33">
        <v>2021</v>
      </c>
      <c r="B22" s="24">
        <v>1491078</v>
      </c>
      <c r="C22" s="34">
        <v>322</v>
      </c>
      <c r="D22" s="35">
        <f t="shared" si="1"/>
        <v>480127.11599999998</v>
      </c>
      <c r="E22" s="35">
        <f t="shared" si="2"/>
        <v>220858.47336</v>
      </c>
      <c r="F22" s="36">
        <v>0.2</v>
      </c>
      <c r="G22" s="37">
        <f t="shared" si="3"/>
        <v>352093.21840000007</v>
      </c>
      <c r="H22" s="36">
        <v>0.01</v>
      </c>
      <c r="I22" s="38">
        <f t="shared" si="4"/>
        <v>2208.5847336000002</v>
      </c>
      <c r="J22" s="39">
        <f t="shared" si="5"/>
        <v>3470.6331528000005</v>
      </c>
      <c r="K22" s="39">
        <f t="shared" si="6"/>
        <v>1034248.6795344001</v>
      </c>
      <c r="L22" s="40">
        <f t="shared" si="7"/>
        <v>3.2499999999999999E-3</v>
      </c>
      <c r="M22" s="41">
        <f t="shared" si="8"/>
        <v>717.79003841999997</v>
      </c>
      <c r="N22" s="42">
        <f t="shared" si="9"/>
        <v>1127.9557746599999</v>
      </c>
      <c r="O22" s="42">
        <f t="shared" si="10"/>
        <v>336130.82084867998</v>
      </c>
      <c r="P22" s="42">
        <f t="shared" si="11"/>
        <v>1722472.7187830801</v>
      </c>
    </row>
    <row r="23" spans="1:17" x14ac:dyDescent="0.25">
      <c r="A23" s="33">
        <v>2022</v>
      </c>
      <c r="B23" s="24">
        <v>1559278</v>
      </c>
      <c r="C23" s="34">
        <v>322</v>
      </c>
      <c r="D23" s="35">
        <f t="shared" si="1"/>
        <v>502087.516</v>
      </c>
      <c r="E23" s="35">
        <f t="shared" si="2"/>
        <v>230960.25736000002</v>
      </c>
      <c r="F23" s="36">
        <v>0.2</v>
      </c>
      <c r="G23" s="37">
        <f t="shared" si="3"/>
        <v>368197.51173333335</v>
      </c>
      <c r="H23" s="36">
        <v>0.01</v>
      </c>
      <c r="I23" s="38">
        <f t="shared" si="4"/>
        <v>2309.6025736000001</v>
      </c>
      <c r="J23" s="39">
        <f t="shared" si="5"/>
        <v>3629.3754727999999</v>
      </c>
      <c r="K23" s="39">
        <f t="shared" si="6"/>
        <v>1081553.8908944</v>
      </c>
      <c r="L23" s="40">
        <f t="shared" si="7"/>
        <v>3.2499999999999999E-3</v>
      </c>
      <c r="M23" s="41">
        <f t="shared" si="8"/>
        <v>750.62083642000005</v>
      </c>
      <c r="N23" s="42">
        <f t="shared" si="9"/>
        <v>1179.54702866</v>
      </c>
      <c r="O23" s="42">
        <f t="shared" si="10"/>
        <v>351505.01454067999</v>
      </c>
      <c r="P23" s="42">
        <f t="shared" si="11"/>
        <v>1801256.4171684133</v>
      </c>
    </row>
    <row r="24" spans="1:17" x14ac:dyDescent="0.25">
      <c r="A24" s="33">
        <v>2023</v>
      </c>
      <c r="B24" s="24">
        <v>1627478</v>
      </c>
      <c r="C24" s="34">
        <v>322</v>
      </c>
      <c r="D24" s="35">
        <f t="shared" si="1"/>
        <v>524047.91600000003</v>
      </c>
      <c r="E24" s="35">
        <f t="shared" si="2"/>
        <v>241062.04136000003</v>
      </c>
      <c r="F24" s="36">
        <v>0.2</v>
      </c>
      <c r="G24" s="37">
        <f t="shared" si="3"/>
        <v>384301.80506666674</v>
      </c>
      <c r="H24" s="36">
        <v>0.01</v>
      </c>
      <c r="I24" s="38">
        <f t="shared" si="4"/>
        <v>2410.6204136000006</v>
      </c>
      <c r="J24" s="39">
        <f t="shared" si="5"/>
        <v>3788.1177928000006</v>
      </c>
      <c r="K24" s="39">
        <f t="shared" si="6"/>
        <v>1128859.1022544003</v>
      </c>
      <c r="L24" s="40">
        <f t="shared" si="7"/>
        <v>3.2499999999999999E-3</v>
      </c>
      <c r="M24" s="41">
        <f t="shared" si="8"/>
        <v>783.45163442000012</v>
      </c>
      <c r="N24" s="42">
        <f t="shared" si="9"/>
        <v>1231.1382826600002</v>
      </c>
      <c r="O24" s="42">
        <f t="shared" si="10"/>
        <v>366879.20823268004</v>
      </c>
      <c r="P24" s="42">
        <f t="shared" si="11"/>
        <v>1880040.1155537472</v>
      </c>
    </row>
    <row r="25" spans="1:17" x14ac:dyDescent="0.25">
      <c r="A25" s="33">
        <v>2024</v>
      </c>
      <c r="B25" s="24">
        <v>1695678</v>
      </c>
      <c r="C25" s="34">
        <v>322</v>
      </c>
      <c r="D25" s="35">
        <f t="shared" si="1"/>
        <v>546008.31599999999</v>
      </c>
      <c r="E25" s="35">
        <f t="shared" si="2"/>
        <v>251163.82536000002</v>
      </c>
      <c r="F25" s="36">
        <v>0.2</v>
      </c>
      <c r="G25" s="37">
        <f t="shared" si="3"/>
        <v>400406.09840000002</v>
      </c>
      <c r="H25" s="36">
        <v>0.01</v>
      </c>
      <c r="I25" s="38">
        <f t="shared" si="4"/>
        <v>2511.6382536000001</v>
      </c>
      <c r="J25" s="39">
        <f t="shared" si="5"/>
        <v>3946.8601128</v>
      </c>
      <c r="K25" s="39">
        <f t="shared" si="6"/>
        <v>1176164.3136144001</v>
      </c>
      <c r="L25" s="40">
        <f t="shared" si="7"/>
        <v>3.2499999999999999E-3</v>
      </c>
      <c r="M25" s="41">
        <f t="shared" si="8"/>
        <v>816.28243241999996</v>
      </c>
      <c r="N25" s="42">
        <f t="shared" si="9"/>
        <v>1282.7295366599999</v>
      </c>
      <c r="O25" s="42">
        <f t="shared" si="10"/>
        <v>382253.40192467999</v>
      </c>
      <c r="P25" s="42">
        <f t="shared" si="11"/>
        <v>1958823.8139390801</v>
      </c>
    </row>
    <row r="26" spans="1:17" x14ac:dyDescent="0.25">
      <c r="A26" s="33">
        <v>2025</v>
      </c>
      <c r="B26" s="24">
        <v>1763878</v>
      </c>
      <c r="C26" s="34">
        <v>322</v>
      </c>
      <c r="D26" s="35">
        <f t="shared" si="1"/>
        <v>567968.71600000001</v>
      </c>
      <c r="E26" s="35">
        <f t="shared" si="2"/>
        <v>261265.60936000003</v>
      </c>
      <c r="F26" s="36">
        <v>0.2</v>
      </c>
      <c r="G26" s="37">
        <f t="shared" si="3"/>
        <v>416510.39173333341</v>
      </c>
      <c r="H26" s="36">
        <v>0.01</v>
      </c>
      <c r="I26" s="38">
        <f t="shared" si="4"/>
        <v>2612.6560936000005</v>
      </c>
      <c r="J26" s="39">
        <f t="shared" si="5"/>
        <v>4105.6024328000003</v>
      </c>
      <c r="K26" s="39">
        <f t="shared" si="6"/>
        <v>1223469.5249744002</v>
      </c>
      <c r="L26" s="40">
        <f t="shared" si="7"/>
        <v>3.2499999999999999E-3</v>
      </c>
      <c r="M26" s="41">
        <f t="shared" si="8"/>
        <v>849.11323042000004</v>
      </c>
      <c r="N26" s="42">
        <f t="shared" si="9"/>
        <v>1334.3207906600001</v>
      </c>
      <c r="O26" s="42">
        <f t="shared" si="10"/>
        <v>397627.59561667999</v>
      </c>
      <c r="P26" s="42">
        <f t="shared" si="11"/>
        <v>2037607.5123244138</v>
      </c>
    </row>
    <row r="27" spans="1:17" x14ac:dyDescent="0.25">
      <c r="A27" s="33">
        <v>2026</v>
      </c>
      <c r="B27" s="24">
        <v>1763878</v>
      </c>
      <c r="C27" s="34">
        <v>322</v>
      </c>
      <c r="D27" s="35">
        <f t="shared" si="1"/>
        <v>567968.71600000001</v>
      </c>
      <c r="E27" s="35">
        <f t="shared" si="2"/>
        <v>261265.60936000003</v>
      </c>
      <c r="F27" s="36">
        <v>0.2</v>
      </c>
      <c r="G27" s="37">
        <f t="shared" si="3"/>
        <v>416510.39173333341</v>
      </c>
      <c r="H27" s="36">
        <v>0.01</v>
      </c>
      <c r="I27" s="38">
        <f t="shared" si="4"/>
        <v>2612.6560936000005</v>
      </c>
      <c r="J27" s="39">
        <f t="shared" si="5"/>
        <v>4105.6024328000003</v>
      </c>
      <c r="K27" s="39">
        <f t="shared" si="6"/>
        <v>1223469.5249744002</v>
      </c>
      <c r="L27" s="40">
        <f t="shared" si="7"/>
        <v>3.2499999999999999E-3</v>
      </c>
      <c r="M27" s="41">
        <f t="shared" si="8"/>
        <v>849.11323042000004</v>
      </c>
      <c r="N27" s="42">
        <f t="shared" si="9"/>
        <v>1334.3207906600001</v>
      </c>
      <c r="O27" s="42">
        <f t="shared" si="10"/>
        <v>397627.59561667999</v>
      </c>
      <c r="P27" s="42">
        <f t="shared" si="11"/>
        <v>2037607.5123244138</v>
      </c>
    </row>
    <row r="28" spans="1:17" x14ac:dyDescent="0.25">
      <c r="A28" s="33">
        <v>2027</v>
      </c>
      <c r="B28" s="24">
        <v>1763878</v>
      </c>
      <c r="C28" s="34">
        <v>322</v>
      </c>
      <c r="D28" s="35">
        <f t="shared" si="1"/>
        <v>567968.71600000001</v>
      </c>
      <c r="E28" s="35">
        <f t="shared" si="2"/>
        <v>261265.60936000003</v>
      </c>
      <c r="F28" s="36">
        <v>0.2</v>
      </c>
      <c r="G28" s="37">
        <f t="shared" si="3"/>
        <v>416510.39173333341</v>
      </c>
      <c r="H28" s="36">
        <v>0.01</v>
      </c>
      <c r="I28" s="38">
        <f t="shared" si="4"/>
        <v>2612.6560936000005</v>
      </c>
      <c r="J28" s="39">
        <f t="shared" si="5"/>
        <v>4105.6024328000003</v>
      </c>
      <c r="K28" s="39">
        <f t="shared" si="6"/>
        <v>1223469.5249744002</v>
      </c>
      <c r="L28" s="40">
        <f t="shared" si="7"/>
        <v>3.2499999999999999E-3</v>
      </c>
      <c r="M28" s="41">
        <f t="shared" si="8"/>
        <v>849.11323042000004</v>
      </c>
      <c r="N28" s="42">
        <f t="shared" si="9"/>
        <v>1334.3207906600001</v>
      </c>
      <c r="O28" s="42">
        <f t="shared" si="10"/>
        <v>397627.59561667999</v>
      </c>
      <c r="P28" s="42">
        <f t="shared" si="11"/>
        <v>2037607.5123244138</v>
      </c>
    </row>
    <row r="29" spans="1:17" x14ac:dyDescent="0.25">
      <c r="A29" s="33">
        <v>2028</v>
      </c>
      <c r="B29" s="24">
        <v>1763878</v>
      </c>
      <c r="C29" s="34">
        <v>322</v>
      </c>
      <c r="D29" s="35">
        <f t="shared" si="1"/>
        <v>567968.71600000001</v>
      </c>
      <c r="E29" s="35">
        <f t="shared" si="2"/>
        <v>261265.60936000003</v>
      </c>
      <c r="F29" s="36">
        <v>0.2</v>
      </c>
      <c r="G29" s="37">
        <f t="shared" si="3"/>
        <v>416510.39173333341</v>
      </c>
      <c r="H29" s="36">
        <v>0.01</v>
      </c>
      <c r="I29" s="38">
        <f t="shared" si="4"/>
        <v>2612.6560936000005</v>
      </c>
      <c r="J29" s="39">
        <f t="shared" si="5"/>
        <v>4105.6024328000003</v>
      </c>
      <c r="K29" s="39">
        <f t="shared" si="6"/>
        <v>1223469.5249744002</v>
      </c>
      <c r="L29" s="40">
        <f t="shared" si="7"/>
        <v>3.2499999999999999E-3</v>
      </c>
      <c r="M29" s="41">
        <f t="shared" si="8"/>
        <v>849.11323042000004</v>
      </c>
      <c r="N29" s="42">
        <f t="shared" si="9"/>
        <v>1334.3207906600001</v>
      </c>
      <c r="O29" s="42">
        <f t="shared" si="10"/>
        <v>397627.59561667999</v>
      </c>
      <c r="P29" s="42">
        <f t="shared" si="11"/>
        <v>2037607.5123244138</v>
      </c>
    </row>
    <row r="30" spans="1:17" x14ac:dyDescent="0.25">
      <c r="A30" s="33">
        <v>2029</v>
      </c>
      <c r="B30" s="24">
        <v>1763878</v>
      </c>
      <c r="C30" s="34">
        <v>322</v>
      </c>
      <c r="D30" s="35">
        <f t="shared" si="1"/>
        <v>567968.71600000001</v>
      </c>
      <c r="E30" s="35">
        <f t="shared" si="2"/>
        <v>261265.60936000003</v>
      </c>
      <c r="F30" s="36">
        <v>0.2</v>
      </c>
      <c r="G30" s="37">
        <f t="shared" si="3"/>
        <v>416510.39173333341</v>
      </c>
      <c r="H30" s="36">
        <v>0.01</v>
      </c>
      <c r="I30" s="38">
        <f t="shared" si="4"/>
        <v>2612.6560936000005</v>
      </c>
      <c r="J30" s="39">
        <f t="shared" si="5"/>
        <v>4105.6024328000003</v>
      </c>
      <c r="K30" s="39">
        <f t="shared" si="6"/>
        <v>1223469.5249744002</v>
      </c>
      <c r="L30" s="40">
        <f t="shared" si="7"/>
        <v>3.2499999999999999E-3</v>
      </c>
      <c r="M30" s="41">
        <f t="shared" si="8"/>
        <v>849.11323042000004</v>
      </c>
      <c r="N30" s="42">
        <f t="shared" si="9"/>
        <v>1334.3207906600001</v>
      </c>
      <c r="O30" s="42">
        <f t="shared" si="10"/>
        <v>397627.59561667999</v>
      </c>
      <c r="P30" s="42">
        <f t="shared" si="11"/>
        <v>2037607.5123244138</v>
      </c>
    </row>
    <row r="31" spans="1:17" s="36" customFormat="1" x14ac:dyDescent="0.25">
      <c r="A31" s="33">
        <v>2030</v>
      </c>
      <c r="B31" s="24">
        <v>1763878</v>
      </c>
      <c r="C31" s="34">
        <v>322</v>
      </c>
      <c r="D31" s="35">
        <f t="shared" si="1"/>
        <v>567968.71600000001</v>
      </c>
      <c r="E31" s="35">
        <f t="shared" si="2"/>
        <v>261265.60936000003</v>
      </c>
      <c r="F31" s="36">
        <v>0.2</v>
      </c>
      <c r="G31" s="37">
        <f t="shared" si="3"/>
        <v>416510.39173333341</v>
      </c>
      <c r="H31" s="36">
        <v>0.01</v>
      </c>
      <c r="I31" s="38">
        <f t="shared" si="4"/>
        <v>2612.6560936000005</v>
      </c>
      <c r="J31" s="39">
        <f t="shared" si="5"/>
        <v>4105.6024328000003</v>
      </c>
      <c r="K31" s="39">
        <f t="shared" si="6"/>
        <v>1223469.5249744002</v>
      </c>
      <c r="L31" s="40">
        <f t="shared" si="7"/>
        <v>3.2499999999999999E-3</v>
      </c>
      <c r="M31" s="41">
        <f t="shared" si="8"/>
        <v>849.11323042000004</v>
      </c>
      <c r="N31" s="42">
        <f t="shared" si="9"/>
        <v>1334.3207906600001</v>
      </c>
      <c r="O31" s="42">
        <f t="shared" si="10"/>
        <v>397627.59561667999</v>
      </c>
      <c r="P31" s="42">
        <f t="shared" si="11"/>
        <v>2037607.5123244138</v>
      </c>
    </row>
    <row r="32" spans="1:17" s="23" customFormat="1" x14ac:dyDescent="0.25">
      <c r="A32" s="25"/>
      <c r="B32" s="43"/>
      <c r="C32" s="43"/>
      <c r="F32" s="24"/>
      <c r="G32" s="24"/>
      <c r="H32" s="24"/>
      <c r="I32" s="24"/>
      <c r="J32" s="24"/>
      <c r="K32" s="24"/>
      <c r="L32" s="24"/>
      <c r="M32" s="24"/>
      <c r="N32" s="24"/>
      <c r="O32" s="24"/>
    </row>
    <row r="33" spans="1:16" x14ac:dyDescent="0.25">
      <c r="B33" s="22"/>
      <c r="C33" s="22"/>
    </row>
    <row r="34" spans="1:16" x14ac:dyDescent="0.25">
      <c r="B34" s="44">
        <f>'Kalimantan Timur'!B2</f>
        <v>2016</v>
      </c>
      <c r="C34" s="44">
        <f>'Kalimantan Timur'!C2</f>
        <v>2017</v>
      </c>
      <c r="D34" s="44">
        <f>'Kalimantan Timur'!D2</f>
        <v>2018</v>
      </c>
      <c r="E34" s="44">
        <f>'Kalimantan Timur'!E2</f>
        <v>2019</v>
      </c>
      <c r="F34" s="44">
        <f>'Kalimantan Timur'!F2</f>
        <v>2020</v>
      </c>
      <c r="G34" s="44">
        <f>'Kalimantan Timur'!G2</f>
        <v>2021</v>
      </c>
      <c r="H34" s="44">
        <f>'Kalimantan Timur'!H2</f>
        <v>2022</v>
      </c>
      <c r="I34" s="44">
        <f>'Kalimantan Timur'!I2</f>
        <v>2023</v>
      </c>
      <c r="J34" s="44">
        <f>'Kalimantan Timur'!J2</f>
        <v>2024</v>
      </c>
      <c r="K34" s="44">
        <f>'Kalimantan Timur'!K2</f>
        <v>2025</v>
      </c>
      <c r="L34" s="44">
        <f>'Kalimantan Timur'!L2</f>
        <v>2026</v>
      </c>
      <c r="M34" s="44">
        <f>'Kalimantan Timur'!M2</f>
        <v>2027</v>
      </c>
      <c r="N34" s="44">
        <f>'Kalimantan Timur'!N2</f>
        <v>2028</v>
      </c>
      <c r="O34" s="44">
        <f>'Kalimantan Timur'!O2</f>
        <v>2029</v>
      </c>
      <c r="P34" s="44">
        <f>'Kalimantan Timur'!P2</f>
        <v>2030</v>
      </c>
    </row>
    <row r="35" spans="1:16" ht="30" x14ac:dyDescent="0.25">
      <c r="A35" s="25" t="s">
        <v>69</v>
      </c>
      <c r="B35" s="45">
        <f>322/10^3</f>
        <v>0.32200000000000001</v>
      </c>
      <c r="C35" s="45">
        <f t="shared" ref="C35:P35" si="12">322/10^3</f>
        <v>0.32200000000000001</v>
      </c>
      <c r="D35" s="45">
        <f t="shared" si="12"/>
        <v>0.32200000000000001</v>
      </c>
      <c r="E35" s="45">
        <f t="shared" si="12"/>
        <v>0.32200000000000001</v>
      </c>
      <c r="F35" s="45">
        <f t="shared" si="12"/>
        <v>0.32200000000000001</v>
      </c>
      <c r="G35" s="45">
        <f t="shared" si="12"/>
        <v>0.32200000000000001</v>
      </c>
      <c r="H35" s="45">
        <f t="shared" si="12"/>
        <v>0.32200000000000001</v>
      </c>
      <c r="I35" s="45">
        <f t="shared" si="12"/>
        <v>0.32200000000000001</v>
      </c>
      <c r="J35" s="45">
        <f t="shared" si="12"/>
        <v>0.32200000000000001</v>
      </c>
      <c r="K35" s="45">
        <f t="shared" si="12"/>
        <v>0.32200000000000001</v>
      </c>
      <c r="L35" s="45">
        <f t="shared" si="12"/>
        <v>0.32200000000000001</v>
      </c>
      <c r="M35" s="45">
        <f t="shared" si="12"/>
        <v>0.32200000000000001</v>
      </c>
      <c r="N35" s="45">
        <f t="shared" si="12"/>
        <v>0.32200000000000001</v>
      </c>
      <c r="O35" s="45">
        <f t="shared" si="12"/>
        <v>0.32200000000000001</v>
      </c>
      <c r="P35" s="45">
        <f t="shared" si="12"/>
        <v>0.32200000000000001</v>
      </c>
    </row>
    <row r="36" spans="1:16" ht="45" x14ac:dyDescent="0.25">
      <c r="A36" s="25" t="s">
        <v>70</v>
      </c>
      <c r="B36" s="45">
        <f>239/10^3</f>
        <v>0.23899999999999999</v>
      </c>
      <c r="C36" s="45">
        <f t="shared" ref="C36:P36" si="13">239/10^3</f>
        <v>0.23899999999999999</v>
      </c>
      <c r="D36" s="45">
        <f t="shared" si="13"/>
        <v>0.23899999999999999</v>
      </c>
      <c r="E36" s="45">
        <f t="shared" si="13"/>
        <v>0.23899999999999999</v>
      </c>
      <c r="F36" s="45">
        <f t="shared" si="13"/>
        <v>0.23899999999999999</v>
      </c>
      <c r="G36" s="45">
        <f t="shared" si="13"/>
        <v>0.23899999999999999</v>
      </c>
      <c r="H36" s="45">
        <f t="shared" si="13"/>
        <v>0.23899999999999999</v>
      </c>
      <c r="I36" s="45">
        <f t="shared" si="13"/>
        <v>0.23899999999999999</v>
      </c>
      <c r="J36" s="45">
        <f t="shared" si="13"/>
        <v>0.23899999999999999</v>
      </c>
      <c r="K36" s="45">
        <f t="shared" si="13"/>
        <v>0.23899999999999999</v>
      </c>
      <c r="L36" s="45">
        <f t="shared" si="13"/>
        <v>0.23899999999999999</v>
      </c>
      <c r="M36" s="45">
        <f t="shared" si="13"/>
        <v>0.23899999999999999</v>
      </c>
      <c r="N36" s="45">
        <f t="shared" si="13"/>
        <v>0.23899999999999999</v>
      </c>
      <c r="O36" s="45">
        <f t="shared" si="13"/>
        <v>0.23899999999999999</v>
      </c>
      <c r="P36" s="45">
        <f t="shared" si="13"/>
        <v>0.23899999999999999</v>
      </c>
    </row>
    <row r="37" spans="1:16" ht="30" x14ac:dyDescent="0.25">
      <c r="A37" s="25" t="s">
        <v>60</v>
      </c>
      <c r="B37" s="46">
        <v>0.2</v>
      </c>
      <c r="C37" s="46">
        <v>0.2</v>
      </c>
      <c r="D37" s="46">
        <v>0.2</v>
      </c>
      <c r="E37" s="46">
        <v>0.2</v>
      </c>
      <c r="F37" s="46">
        <v>0.2</v>
      </c>
      <c r="G37" s="46">
        <v>0.2</v>
      </c>
      <c r="H37" s="46">
        <v>0.2</v>
      </c>
      <c r="I37" s="46">
        <v>0.2</v>
      </c>
      <c r="J37" s="46">
        <v>0.2</v>
      </c>
      <c r="K37" s="46">
        <v>0.2</v>
      </c>
      <c r="L37" s="46">
        <v>0.2</v>
      </c>
      <c r="M37" s="46">
        <v>0.2</v>
      </c>
      <c r="N37" s="46">
        <v>0.2</v>
      </c>
      <c r="O37" s="46">
        <v>0.2</v>
      </c>
      <c r="P37" s="46">
        <v>0.2</v>
      </c>
    </row>
    <row r="38" spans="1:16" ht="30" x14ac:dyDescent="0.25">
      <c r="A38" s="25" t="s">
        <v>67</v>
      </c>
      <c r="B38" s="47">
        <v>0.01</v>
      </c>
      <c r="C38" s="47">
        <v>0.01</v>
      </c>
      <c r="D38" s="47">
        <v>0.01</v>
      </c>
      <c r="E38" s="47">
        <v>0.01</v>
      </c>
      <c r="F38" s="47">
        <v>0.01</v>
      </c>
      <c r="G38" s="47">
        <v>0.01</v>
      </c>
      <c r="H38" s="47">
        <v>0.01</v>
      </c>
      <c r="I38" s="47">
        <v>0.01</v>
      </c>
      <c r="J38" s="47">
        <v>0.01</v>
      </c>
      <c r="K38" s="47">
        <v>0.01</v>
      </c>
      <c r="L38" s="47">
        <v>0.01</v>
      </c>
      <c r="M38" s="47">
        <v>0.01</v>
      </c>
      <c r="N38" s="47">
        <v>0.01</v>
      </c>
      <c r="O38" s="47">
        <v>0.01</v>
      </c>
      <c r="P38" s="47">
        <v>0.01</v>
      </c>
    </row>
    <row r="39" spans="1:16" s="23" customFormat="1" ht="45" x14ac:dyDescent="0.25">
      <c r="A39" s="25" t="s">
        <v>68</v>
      </c>
      <c r="B39" s="48">
        <f>(0.0075*0.3)+(0.1*0.01)</f>
        <v>3.2499999999999999E-3</v>
      </c>
      <c r="C39" s="48">
        <f t="shared" ref="C39:P39" si="14">(0.0075*0.3)+(0.1*0.01)</f>
        <v>3.2499999999999999E-3</v>
      </c>
      <c r="D39" s="48">
        <f t="shared" si="14"/>
        <v>3.2499999999999999E-3</v>
      </c>
      <c r="E39" s="48">
        <f t="shared" si="14"/>
        <v>3.2499999999999999E-3</v>
      </c>
      <c r="F39" s="48">
        <f t="shared" si="14"/>
        <v>3.2499999999999999E-3</v>
      </c>
      <c r="G39" s="48">
        <f t="shared" si="14"/>
        <v>3.2499999999999999E-3</v>
      </c>
      <c r="H39" s="48">
        <f t="shared" si="14"/>
        <v>3.2499999999999999E-3</v>
      </c>
      <c r="I39" s="48">
        <f t="shared" si="14"/>
        <v>3.2499999999999999E-3</v>
      </c>
      <c r="J39" s="48">
        <f t="shared" si="14"/>
        <v>3.2499999999999999E-3</v>
      </c>
      <c r="K39" s="48">
        <f t="shared" si="14"/>
        <v>3.2499999999999999E-3</v>
      </c>
      <c r="L39" s="48">
        <f t="shared" si="14"/>
        <v>3.2499999999999999E-3</v>
      </c>
      <c r="M39" s="48">
        <f t="shared" si="14"/>
        <v>3.2499999999999999E-3</v>
      </c>
      <c r="N39" s="48">
        <f t="shared" si="14"/>
        <v>3.2499999999999999E-3</v>
      </c>
      <c r="O39" s="48">
        <f t="shared" si="14"/>
        <v>3.2499999999999999E-3</v>
      </c>
      <c r="P39" s="48">
        <f t="shared" si="14"/>
        <v>3.2499999999999999E-3</v>
      </c>
    </row>
    <row r="40" spans="1:16" s="23" customFormat="1" x14ac:dyDescent="0.25">
      <c r="A40" s="25"/>
      <c r="B40" s="22"/>
      <c r="F40" s="24"/>
      <c r="G40" s="24"/>
      <c r="H40" s="24"/>
      <c r="I40" s="24"/>
      <c r="J40" s="24"/>
      <c r="K40" s="24"/>
      <c r="L40" s="24"/>
      <c r="M40" s="24"/>
      <c r="N40" s="24"/>
      <c r="O40" s="24"/>
    </row>
    <row r="41" spans="1:16" x14ac:dyDescent="0.25">
      <c r="A41" s="24"/>
      <c r="B41" s="24"/>
      <c r="C41" s="24"/>
      <c r="D41" s="25"/>
    </row>
    <row r="42" spans="1:16" x14ac:dyDescent="0.25">
      <c r="A42" s="24"/>
      <c r="B42" s="24"/>
      <c r="C42" s="24"/>
      <c r="D42" s="24"/>
      <c r="E42" s="24"/>
    </row>
    <row r="43" spans="1:16" x14ac:dyDescent="0.25">
      <c r="A43" s="24"/>
      <c r="B43" s="24"/>
      <c r="C43" s="24"/>
    </row>
    <row r="44" spans="1:16" x14ac:dyDescent="0.25">
      <c r="A44" s="24"/>
      <c r="B44" s="24"/>
      <c r="C44" s="24"/>
    </row>
    <row r="45" spans="1:16" x14ac:dyDescent="0.25">
      <c r="A45" s="24"/>
      <c r="B45" s="24"/>
      <c r="C45" s="24"/>
      <c r="D45" s="24"/>
      <c r="E45" s="24"/>
    </row>
    <row r="46" spans="1:16" x14ac:dyDescent="0.25">
      <c r="A46" s="24"/>
      <c r="B46" s="24"/>
      <c r="C46" s="24"/>
      <c r="D46" s="24"/>
      <c r="E46" s="24"/>
    </row>
    <row r="47" spans="1:16" x14ac:dyDescent="0.25">
      <c r="A47" s="24"/>
      <c r="B47" s="24"/>
      <c r="C47" s="24"/>
    </row>
    <row r="48" spans="1:16" x14ac:dyDescent="0.25">
      <c r="A48" s="24"/>
      <c r="B48" s="24"/>
      <c r="C48" s="24"/>
      <c r="D48" s="24"/>
      <c r="E48" s="24"/>
    </row>
    <row r="49" spans="1:7" x14ac:dyDescent="0.25">
      <c r="A49" s="24"/>
      <c r="B49" s="24"/>
      <c r="C49" s="24"/>
      <c r="D49" s="24"/>
      <c r="E49" s="24"/>
    </row>
    <row r="50" spans="1:7" x14ac:dyDescent="0.25">
      <c r="A50" s="24"/>
      <c r="B50" s="24"/>
      <c r="C50" s="24"/>
      <c r="D50" s="24"/>
      <c r="E50" s="24"/>
    </row>
    <row r="51" spans="1:7" x14ac:dyDescent="0.25">
      <c r="A51" s="24"/>
      <c r="B51" s="24"/>
      <c r="C51" s="24"/>
      <c r="D51" s="24"/>
      <c r="E51" s="24"/>
    </row>
    <row r="52" spans="1:7" x14ac:dyDescent="0.25">
      <c r="A52" s="24"/>
      <c r="B52" s="24"/>
    </row>
    <row r="55" spans="1:7" x14ac:dyDescent="0.25">
      <c r="A55" s="24"/>
      <c r="B55" s="24"/>
      <c r="G55" s="49"/>
    </row>
    <row r="56" spans="1:7" x14ac:dyDescent="0.25">
      <c r="G56" s="49"/>
    </row>
    <row r="57" spans="1:7" x14ac:dyDescent="0.25">
      <c r="G57" s="49"/>
    </row>
    <row r="58" spans="1:7" x14ac:dyDescent="0.25">
      <c r="G58" s="50"/>
    </row>
  </sheetData>
  <mergeCells count="8">
    <mergeCell ref="P14:P15"/>
    <mergeCell ref="M15:O15"/>
    <mergeCell ref="A14:A16"/>
    <mergeCell ref="B14:B16"/>
    <mergeCell ref="C14:E15"/>
    <mergeCell ref="F14:G14"/>
    <mergeCell ref="H14:K14"/>
    <mergeCell ref="L14:O14"/>
  </mergeCells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P40"/>
  <sheetViews>
    <sheetView topLeftCell="A28" workbookViewId="0">
      <selection activeCell="R7" sqref="R7"/>
    </sheetView>
  </sheetViews>
  <sheetFormatPr defaultRowHeight="15" x14ac:dyDescent="0.25"/>
  <cols>
    <col min="1" max="1" width="48.28515625" customWidth="1"/>
    <col min="2" max="16" width="10.7109375" customWidth="1"/>
  </cols>
  <sheetData>
    <row r="2" spans="1:16" x14ac:dyDescent="0.25">
      <c r="B2">
        <v>2016</v>
      </c>
      <c r="C2">
        <v>2017</v>
      </c>
      <c r="D2">
        <v>2018</v>
      </c>
      <c r="E2">
        <v>2019</v>
      </c>
      <c r="F2">
        <v>2020</v>
      </c>
      <c r="G2">
        <v>2021</v>
      </c>
      <c r="H2">
        <v>2022</v>
      </c>
      <c r="I2">
        <v>2023</v>
      </c>
      <c r="J2">
        <v>2024</v>
      </c>
      <c r="K2">
        <v>2025</v>
      </c>
      <c r="L2">
        <v>2026</v>
      </c>
      <c r="M2">
        <v>2027</v>
      </c>
      <c r="N2">
        <v>2028</v>
      </c>
      <c r="O2">
        <v>2029</v>
      </c>
      <c r="P2">
        <v>2030</v>
      </c>
    </row>
    <row r="3" spans="1:16" x14ac:dyDescent="0.25">
      <c r="A3" t="s">
        <v>0</v>
      </c>
      <c r="B3" s="1">
        <v>20165</v>
      </c>
      <c r="C3" s="1">
        <f>B3+C4</f>
        <v>29542.692254582456</v>
      </c>
      <c r="D3" s="1">
        <f t="shared" ref="D3:O3" si="0">C3+D4</f>
        <v>38920.384509164913</v>
      </c>
      <c r="E3" s="1">
        <f t="shared" si="0"/>
        <v>48298.076763747369</v>
      </c>
      <c r="F3" s="1">
        <f t="shared" si="0"/>
        <v>57675.769018329825</v>
      </c>
      <c r="G3" s="1">
        <f t="shared" si="0"/>
        <v>67053.461272912289</v>
      </c>
      <c r="H3" s="1">
        <f t="shared" si="0"/>
        <v>76431.153527494753</v>
      </c>
      <c r="I3" s="1">
        <f t="shared" si="0"/>
        <v>85808.845782077216</v>
      </c>
      <c r="J3" s="1">
        <f t="shared" si="0"/>
        <v>95186.53803665968</v>
      </c>
      <c r="K3" s="1">
        <f t="shared" si="0"/>
        <v>104564.23029124214</v>
      </c>
      <c r="L3" s="1">
        <f t="shared" si="0"/>
        <v>104564.23029124214</v>
      </c>
      <c r="M3" s="1">
        <f t="shared" si="0"/>
        <v>104564.23029124214</v>
      </c>
      <c r="N3" s="1">
        <f t="shared" si="0"/>
        <v>104564.23029124214</v>
      </c>
      <c r="O3" s="1">
        <f t="shared" si="0"/>
        <v>104564.23029124214</v>
      </c>
      <c r="P3" s="1">
        <f>[2]Proyeksi!$F$69</f>
        <v>104564.23029124213</v>
      </c>
    </row>
    <row r="4" spans="1:16" x14ac:dyDescent="0.25">
      <c r="A4" t="s">
        <v>2</v>
      </c>
      <c r="B4" s="1"/>
      <c r="C4" s="1">
        <f>(P3-B3)/9</f>
        <v>9377.6922545824582</v>
      </c>
      <c r="D4" s="1">
        <f>C4</f>
        <v>9377.6922545824582</v>
      </c>
      <c r="E4" s="1">
        <f t="shared" ref="E4:K4" si="1">D4</f>
        <v>9377.6922545824582</v>
      </c>
      <c r="F4" s="1">
        <f t="shared" si="1"/>
        <v>9377.6922545824582</v>
      </c>
      <c r="G4" s="1">
        <f t="shared" si="1"/>
        <v>9377.6922545824582</v>
      </c>
      <c r="H4" s="1">
        <f t="shared" si="1"/>
        <v>9377.6922545824582</v>
      </c>
      <c r="I4" s="1">
        <f t="shared" si="1"/>
        <v>9377.6922545824582</v>
      </c>
      <c r="J4" s="1">
        <f t="shared" si="1"/>
        <v>9377.6922545824582</v>
      </c>
      <c r="K4" s="1">
        <f t="shared" si="1"/>
        <v>9377.6922545824582</v>
      </c>
      <c r="L4" s="1"/>
      <c r="M4" s="1"/>
      <c r="N4" s="1"/>
      <c r="O4" s="1"/>
      <c r="P4" s="1"/>
    </row>
    <row r="5" spans="1:16" x14ac:dyDescent="0.25">
      <c r="A5" t="s">
        <v>1</v>
      </c>
      <c r="B5" s="1">
        <f>B3</f>
        <v>20165</v>
      </c>
      <c r="C5" s="1">
        <f>B5-(B5/4)</f>
        <v>15123.75</v>
      </c>
      <c r="D5" s="1">
        <f>C5-(B5/4)</f>
        <v>10082.5</v>
      </c>
      <c r="E5" s="1">
        <f>D5-(B5/4)</f>
        <v>5041.25</v>
      </c>
      <c r="F5" s="1">
        <f>E5-(B5/4)</f>
        <v>0</v>
      </c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25">
      <c r="A6" t="s">
        <v>3</v>
      </c>
      <c r="B6" s="1">
        <v>0</v>
      </c>
      <c r="C6" s="1">
        <f>B6+(B5-C5)</f>
        <v>5041.25</v>
      </c>
      <c r="D6" s="1">
        <f>C6+(C5-D5)</f>
        <v>10082.5</v>
      </c>
      <c r="E6" s="1">
        <f>D6+(D5-E5)</f>
        <v>15123.75</v>
      </c>
      <c r="F6" s="1">
        <f>E6+(E5-F5)</f>
        <v>20165</v>
      </c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25">
      <c r="A7" t="s">
        <v>4</v>
      </c>
      <c r="B7" s="1">
        <f>B6</f>
        <v>0</v>
      </c>
      <c r="C7" s="1">
        <f>C6</f>
        <v>5041.25</v>
      </c>
      <c r="D7" s="1">
        <f>D6</f>
        <v>10082.5</v>
      </c>
      <c r="E7" s="1">
        <f>E6</f>
        <v>15123.75</v>
      </c>
      <c r="F7" s="1">
        <f>F6</f>
        <v>20165</v>
      </c>
      <c r="G7" s="1">
        <f>F6+C4</f>
        <v>29542.692254582456</v>
      </c>
      <c r="H7" s="1">
        <f>G7+D4</f>
        <v>38920.384509164913</v>
      </c>
      <c r="I7" s="1">
        <f t="shared" ref="I7:P7" si="2">H7+E4</f>
        <v>48298.076763747369</v>
      </c>
      <c r="J7" s="1">
        <f t="shared" si="2"/>
        <v>57675.769018329825</v>
      </c>
      <c r="K7" s="1">
        <f t="shared" si="2"/>
        <v>67053.461272912289</v>
      </c>
      <c r="L7" s="1">
        <f t="shared" si="2"/>
        <v>76431.153527494753</v>
      </c>
      <c r="M7" s="1">
        <f t="shared" si="2"/>
        <v>85808.845782077216</v>
      </c>
      <c r="N7" s="1">
        <f t="shared" si="2"/>
        <v>95186.53803665968</v>
      </c>
      <c r="O7" s="1">
        <f t="shared" si="2"/>
        <v>104564.23029124214</v>
      </c>
      <c r="P7" s="1">
        <f t="shared" si="2"/>
        <v>104564.23029124214</v>
      </c>
    </row>
    <row r="8" spans="1:16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25">
      <c r="A9" t="s">
        <v>5</v>
      </c>
      <c r="B9">
        <f>'Kutai Timur'!B9</f>
        <v>16.899999999999999</v>
      </c>
      <c r="C9" s="5">
        <f>B9+0.486</f>
        <v>17.385999999999999</v>
      </c>
      <c r="D9" s="5">
        <f t="shared" ref="D9:O9" si="3">C9+0.486</f>
        <v>17.872</v>
      </c>
      <c r="E9" s="5">
        <f t="shared" si="3"/>
        <v>18.358000000000001</v>
      </c>
      <c r="F9" s="5">
        <f t="shared" si="3"/>
        <v>18.844000000000001</v>
      </c>
      <c r="G9" s="5">
        <f t="shared" si="3"/>
        <v>19.330000000000002</v>
      </c>
      <c r="H9" s="5">
        <f t="shared" si="3"/>
        <v>19.816000000000003</v>
      </c>
      <c r="I9" s="5">
        <f t="shared" si="3"/>
        <v>20.302000000000003</v>
      </c>
      <c r="J9" s="5">
        <f t="shared" si="3"/>
        <v>20.788000000000004</v>
      </c>
      <c r="K9" s="5">
        <f t="shared" si="3"/>
        <v>21.274000000000004</v>
      </c>
      <c r="L9" s="5">
        <f t="shared" si="3"/>
        <v>21.760000000000005</v>
      </c>
      <c r="M9" s="5">
        <f t="shared" si="3"/>
        <v>22.246000000000006</v>
      </c>
      <c r="N9" s="5">
        <f t="shared" si="3"/>
        <v>22.732000000000006</v>
      </c>
      <c r="O9" s="5">
        <f t="shared" si="3"/>
        <v>23.218000000000007</v>
      </c>
      <c r="P9" s="3">
        <v>23.7</v>
      </c>
    </row>
    <row r="10" spans="1:16" x14ac:dyDescent="0.25">
      <c r="A10" t="s">
        <v>6</v>
      </c>
      <c r="B10" s="2">
        <f>B7*B9</f>
        <v>0</v>
      </c>
      <c r="C10" s="2">
        <f t="shared" ref="C10:P10" si="4">C7*C9</f>
        <v>87647.172500000001</v>
      </c>
      <c r="D10" s="2">
        <f t="shared" si="4"/>
        <v>180194.44</v>
      </c>
      <c r="E10" s="2">
        <f t="shared" si="4"/>
        <v>277641.80249999999</v>
      </c>
      <c r="F10" s="2">
        <f t="shared" si="4"/>
        <v>379989.26</v>
      </c>
      <c r="G10" s="2">
        <f t="shared" si="4"/>
        <v>571060.2412810789</v>
      </c>
      <c r="H10" s="2">
        <f t="shared" si="4"/>
        <v>771246.33943361195</v>
      </c>
      <c r="I10" s="2">
        <f t="shared" si="4"/>
        <v>980547.5544575993</v>
      </c>
      <c r="J10" s="2">
        <f t="shared" si="4"/>
        <v>1198963.8863530406</v>
      </c>
      <c r="K10" s="2">
        <f t="shared" si="4"/>
        <v>1426495.3351199364</v>
      </c>
      <c r="L10" s="2">
        <f t="shared" si="4"/>
        <v>1663141.9007582862</v>
      </c>
      <c r="M10" s="2">
        <f t="shared" si="4"/>
        <v>1908903.5832680902</v>
      </c>
      <c r="N10" s="2">
        <f t="shared" si="4"/>
        <v>2163780.3826493486</v>
      </c>
      <c r="O10" s="2">
        <f t="shared" si="4"/>
        <v>2427772.2989020608</v>
      </c>
      <c r="P10" s="2">
        <f t="shared" si="4"/>
        <v>2478172.2579024388</v>
      </c>
    </row>
    <row r="11" spans="1:16" x14ac:dyDescent="0.25">
      <c r="A11" t="s">
        <v>7</v>
      </c>
      <c r="B11" s="2">
        <f>B10*21/10^3</f>
        <v>0</v>
      </c>
      <c r="C11" s="2">
        <f t="shared" ref="C11:P11" si="5">C10*21/10^3</f>
        <v>1840.5906225000001</v>
      </c>
      <c r="D11" s="2">
        <f t="shared" si="5"/>
        <v>3784.0832400000004</v>
      </c>
      <c r="E11" s="2">
        <f t="shared" si="5"/>
        <v>5830.4778525000002</v>
      </c>
      <c r="F11" s="2">
        <f t="shared" si="5"/>
        <v>7979.7744599999996</v>
      </c>
      <c r="G11" s="2">
        <f t="shared" si="5"/>
        <v>11992.265066902655</v>
      </c>
      <c r="H11" s="2">
        <f t="shared" si="5"/>
        <v>16196.173128105851</v>
      </c>
      <c r="I11" s="2">
        <f t="shared" si="5"/>
        <v>20591.498643609582</v>
      </c>
      <c r="J11" s="2">
        <f t="shared" si="5"/>
        <v>25178.241613413851</v>
      </c>
      <c r="K11" s="2">
        <f t="shared" si="5"/>
        <v>29956.402037518666</v>
      </c>
      <c r="L11" s="2">
        <f t="shared" si="5"/>
        <v>34925.979915924014</v>
      </c>
      <c r="M11" s="2">
        <f t="shared" si="5"/>
        <v>40086.975248629889</v>
      </c>
      <c r="N11" s="2">
        <f t="shared" si="5"/>
        <v>45439.388035636322</v>
      </c>
      <c r="O11" s="2">
        <f t="shared" si="5"/>
        <v>50983.218276943284</v>
      </c>
      <c r="P11" s="2">
        <f t="shared" si="5"/>
        <v>52041.617415951216</v>
      </c>
    </row>
    <row r="12" spans="1:16" x14ac:dyDescent="0.25">
      <c r="A12" t="s">
        <v>8</v>
      </c>
      <c r="B12" s="2">
        <f>B11/6329</f>
        <v>0</v>
      </c>
      <c r="C12" s="2">
        <f t="shared" ref="C12:P12" si="6">C11/6329</f>
        <v>0.2908185530889556</v>
      </c>
      <c r="D12" s="2">
        <f t="shared" si="6"/>
        <v>0.59789591404645293</v>
      </c>
      <c r="E12" s="2">
        <f t="shared" si="6"/>
        <v>0.9212320828724917</v>
      </c>
      <c r="F12" s="2">
        <f t="shared" si="6"/>
        <v>1.2608270595670721</v>
      </c>
      <c r="G12" s="2">
        <f t="shared" si="6"/>
        <v>1.8948119871863889</v>
      </c>
      <c r="H12" s="2">
        <f t="shared" si="6"/>
        <v>2.5590414169862301</v>
      </c>
      <c r="I12" s="2">
        <f t="shared" si="6"/>
        <v>3.2535153489665953</v>
      </c>
      <c r="J12" s="2">
        <f t="shared" si="6"/>
        <v>3.978233783127485</v>
      </c>
      <c r="K12" s="2">
        <f t="shared" si="6"/>
        <v>4.7331967194689</v>
      </c>
      <c r="L12" s="2">
        <f t="shared" si="6"/>
        <v>5.5184041579908376</v>
      </c>
      <c r="M12" s="2">
        <f t="shared" si="6"/>
        <v>6.3338560986932988</v>
      </c>
      <c r="N12" s="2">
        <f t="shared" si="6"/>
        <v>7.1795525415762871</v>
      </c>
      <c r="O12" s="2">
        <f t="shared" si="6"/>
        <v>8.0554934866397989</v>
      </c>
      <c r="P12" s="2">
        <f t="shared" si="6"/>
        <v>8.2227235607443863</v>
      </c>
    </row>
    <row r="13" spans="1:16" x14ac:dyDescent="0.25">
      <c r="B13" s="2"/>
    </row>
    <row r="14" spans="1:16" x14ac:dyDescent="0.25">
      <c r="A14" t="s">
        <v>9</v>
      </c>
      <c r="B14" s="2">
        <f>B10/170000</f>
        <v>0</v>
      </c>
      <c r="C14" s="2">
        <f t="shared" ref="C14:P14" si="7">C10/170000</f>
        <v>0.51557160294117643</v>
      </c>
      <c r="D14" s="2">
        <f t="shared" si="7"/>
        <v>1.059967294117647</v>
      </c>
      <c r="E14" s="2">
        <f t="shared" si="7"/>
        <v>1.6331870735294116</v>
      </c>
      <c r="F14" s="2">
        <f t="shared" si="7"/>
        <v>2.2352309411764706</v>
      </c>
      <c r="G14" s="2">
        <f t="shared" si="7"/>
        <v>3.3591778898886995</v>
      </c>
      <c r="H14" s="2">
        <f t="shared" si="7"/>
        <v>4.5367431731388939</v>
      </c>
      <c r="I14" s="2">
        <f t="shared" si="7"/>
        <v>5.7679267909270546</v>
      </c>
      <c r="J14" s="2">
        <f t="shared" si="7"/>
        <v>7.05272874325318</v>
      </c>
      <c r="K14" s="2">
        <f t="shared" si="7"/>
        <v>8.3911490301172726</v>
      </c>
      <c r="L14" s="2">
        <f t="shared" si="7"/>
        <v>9.7831876515193308</v>
      </c>
      <c r="M14" s="2">
        <f t="shared" si="7"/>
        <v>11.228844607459354</v>
      </c>
      <c r="N14" s="2">
        <f t="shared" si="7"/>
        <v>12.728119897937345</v>
      </c>
      <c r="O14" s="2">
        <f t="shared" si="7"/>
        <v>14.281013522953298</v>
      </c>
      <c r="P14" s="2">
        <f t="shared" si="7"/>
        <v>14.577483870014346</v>
      </c>
    </row>
    <row r="17" spans="1:16" x14ac:dyDescent="0.25">
      <c r="A17" s="12" t="s">
        <v>71</v>
      </c>
      <c r="B17" s="10">
        <f>B2</f>
        <v>2016</v>
      </c>
      <c r="C17" s="10">
        <f t="shared" ref="C17:P17" si="8">C2</f>
        <v>2017</v>
      </c>
      <c r="D17" s="10">
        <f t="shared" si="8"/>
        <v>2018</v>
      </c>
      <c r="E17" s="10">
        <f t="shared" si="8"/>
        <v>2019</v>
      </c>
      <c r="F17" s="10">
        <f t="shared" si="8"/>
        <v>2020</v>
      </c>
      <c r="G17" s="10">
        <f t="shared" si="8"/>
        <v>2021</v>
      </c>
      <c r="H17" s="10">
        <f t="shared" si="8"/>
        <v>2022</v>
      </c>
      <c r="I17" s="10">
        <f t="shared" si="8"/>
        <v>2023</v>
      </c>
      <c r="J17" s="10">
        <f t="shared" si="8"/>
        <v>2024</v>
      </c>
      <c r="K17" s="10">
        <f t="shared" si="8"/>
        <v>2025</v>
      </c>
      <c r="L17" s="10">
        <f t="shared" si="8"/>
        <v>2026</v>
      </c>
      <c r="M17" s="10">
        <f t="shared" si="8"/>
        <v>2027</v>
      </c>
      <c r="N17" s="10">
        <f t="shared" si="8"/>
        <v>2028</v>
      </c>
      <c r="O17" s="10">
        <f t="shared" si="8"/>
        <v>2029</v>
      </c>
      <c r="P17" s="10">
        <f t="shared" si="8"/>
        <v>2030</v>
      </c>
    </row>
    <row r="18" spans="1:16" x14ac:dyDescent="0.25">
      <c r="A18" t="s">
        <v>53</v>
      </c>
      <c r="H18" s="4"/>
      <c r="I18" s="4"/>
      <c r="P18" s="7"/>
    </row>
    <row r="19" spans="1:16" x14ac:dyDescent="0.25">
      <c r="A19" s="9" t="s">
        <v>61</v>
      </c>
      <c r="B19" s="2">
        <f>B3*'Emisi GRK'!B35</f>
        <v>6493.13</v>
      </c>
      <c r="C19" s="2">
        <f>C3*'Emisi GRK'!C35</f>
        <v>9512.7469059755513</v>
      </c>
      <c r="D19" s="2">
        <f>D3*'Emisi GRK'!D35</f>
        <v>12532.363811951102</v>
      </c>
      <c r="E19" s="2">
        <f>E3*'Emisi GRK'!E35</f>
        <v>15551.980717926654</v>
      </c>
      <c r="F19" s="2">
        <f>F3*'Emisi GRK'!F35</f>
        <v>18571.597623902206</v>
      </c>
      <c r="G19" s="2">
        <f>G3*'Emisi GRK'!G35</f>
        <v>21591.214529877758</v>
      </c>
      <c r="H19" s="2">
        <f>H3*'Emisi GRK'!H35</f>
        <v>24610.83143585331</v>
      </c>
      <c r="I19" s="2">
        <f>I3*'Emisi GRK'!I35</f>
        <v>27630.448341828866</v>
      </c>
      <c r="J19" s="2">
        <f>J3*'Emisi GRK'!J35</f>
        <v>30650.065247804418</v>
      </c>
      <c r="K19" s="2">
        <f>K3*'Emisi GRK'!K35</f>
        <v>33669.68215377997</v>
      </c>
      <c r="L19" s="2">
        <f>L3*'Emisi GRK'!L35</f>
        <v>33669.68215377997</v>
      </c>
      <c r="M19" s="2">
        <f>M3*'Emisi GRK'!M35</f>
        <v>33669.68215377997</v>
      </c>
      <c r="N19" s="2">
        <f>N3*'Emisi GRK'!N35</f>
        <v>33669.68215377997</v>
      </c>
      <c r="O19" s="2">
        <f>O3*'Emisi GRK'!O35</f>
        <v>33669.68215377997</v>
      </c>
      <c r="P19" s="2">
        <f>P3*'Emisi GRK'!P35</f>
        <v>33669.68215377997</v>
      </c>
    </row>
    <row r="20" spans="1:16" x14ac:dyDescent="0.25">
      <c r="A20" s="9" t="s">
        <v>62</v>
      </c>
      <c r="B20" s="2">
        <f>B19*46%</f>
        <v>2986.8398000000002</v>
      </c>
      <c r="C20" s="2">
        <f t="shared" ref="C20:P20" si="9">C19*46%</f>
        <v>4375.863576748754</v>
      </c>
      <c r="D20" s="2">
        <f t="shared" si="9"/>
        <v>5764.8873534975073</v>
      </c>
      <c r="E20" s="2">
        <f t="shared" si="9"/>
        <v>7153.9111302462607</v>
      </c>
      <c r="F20" s="2">
        <f t="shared" si="9"/>
        <v>8542.9349069950149</v>
      </c>
      <c r="G20" s="2">
        <f t="shared" si="9"/>
        <v>9931.9586837437691</v>
      </c>
      <c r="H20" s="2">
        <f t="shared" si="9"/>
        <v>11320.982460492523</v>
      </c>
      <c r="I20" s="2">
        <f t="shared" si="9"/>
        <v>12710.006237241279</v>
      </c>
      <c r="J20" s="2">
        <f t="shared" si="9"/>
        <v>14099.030013990032</v>
      </c>
      <c r="K20" s="2">
        <f t="shared" si="9"/>
        <v>15488.053790738786</v>
      </c>
      <c r="L20" s="2">
        <f t="shared" si="9"/>
        <v>15488.053790738786</v>
      </c>
      <c r="M20" s="2">
        <f t="shared" si="9"/>
        <v>15488.053790738786</v>
      </c>
      <c r="N20" s="2">
        <f t="shared" si="9"/>
        <v>15488.053790738786</v>
      </c>
      <c r="O20" s="2">
        <f t="shared" si="9"/>
        <v>15488.053790738786</v>
      </c>
      <c r="P20" s="2">
        <f t="shared" si="9"/>
        <v>15488.053790738786</v>
      </c>
    </row>
    <row r="21" spans="1:16" x14ac:dyDescent="0.25">
      <c r="A21" t="s">
        <v>63</v>
      </c>
      <c r="B21" s="2">
        <f>B19*'Emisi GRK'!B37*44/12</f>
        <v>4761.6286666666674</v>
      </c>
      <c r="C21" s="2">
        <f>C19*'Emisi GRK'!C37*44/12</f>
        <v>6976.0143977154039</v>
      </c>
      <c r="D21" s="2">
        <f>D19*'Emisi GRK'!D37*44/12</f>
        <v>9190.4001287641422</v>
      </c>
      <c r="E21" s="2">
        <f>E19*'Emisi GRK'!E37*44/12</f>
        <v>11404.785859812881</v>
      </c>
      <c r="F21" s="2">
        <f>F19*'Emisi GRK'!F37*44/12</f>
        <v>13619.171590861619</v>
      </c>
      <c r="G21" s="2">
        <f>G19*'Emisi GRK'!G37*44/12</f>
        <v>15833.557321910355</v>
      </c>
      <c r="H21" s="2">
        <f>H19*'Emisi GRK'!H37*44/12</f>
        <v>18047.943052959094</v>
      </c>
      <c r="I21" s="2">
        <f>I19*'Emisi GRK'!I37*44/12</f>
        <v>20262.328784007837</v>
      </c>
      <c r="J21" s="2">
        <f>J19*'Emisi GRK'!J37*44/12</f>
        <v>22476.714515056574</v>
      </c>
      <c r="K21" s="2">
        <f>K19*'Emisi GRK'!K37*44/12</f>
        <v>24691.100246105314</v>
      </c>
      <c r="L21" s="2">
        <f>L19*'Emisi GRK'!L37*44/12</f>
        <v>24691.100246105314</v>
      </c>
      <c r="M21" s="2">
        <f>M19*'Emisi GRK'!M37*44/12</f>
        <v>24691.100246105314</v>
      </c>
      <c r="N21" s="2">
        <f>N19*'Emisi GRK'!N37*44/12</f>
        <v>24691.100246105314</v>
      </c>
      <c r="O21" s="2">
        <f>O19*'Emisi GRK'!O37*44/12</f>
        <v>24691.100246105314</v>
      </c>
      <c r="P21" s="2">
        <f>P19*'Emisi GRK'!P37*44/12</f>
        <v>24691.100246105314</v>
      </c>
    </row>
    <row r="22" spans="1:16" x14ac:dyDescent="0.25">
      <c r="A22" t="s">
        <v>64</v>
      </c>
      <c r="B22" s="11">
        <f>B20*'Emisi GRK'!B38*44/28*298</f>
        <v>13986.944092000002</v>
      </c>
      <c r="C22" s="11">
        <f>C20*'Emisi GRK'!C38*44/28*298</f>
        <v>20491.544006546308</v>
      </c>
      <c r="D22" s="11">
        <f>D20*'Emisi GRK'!D38*44/28*298</f>
        <v>26996.143921092615</v>
      </c>
      <c r="E22" s="11">
        <f>E20*'Emisi GRK'!E38*44/28*298</f>
        <v>33500.743835638925</v>
      </c>
      <c r="F22" s="11">
        <f>F20*'Emisi GRK'!F38*44/28*298</f>
        <v>40005.343750185224</v>
      </c>
      <c r="G22" s="11">
        <f>G20*'Emisi GRK'!G38*44/28*298</f>
        <v>46509.943664731538</v>
      </c>
      <c r="H22" s="11">
        <f>H20*'Emisi GRK'!H38*44/28*298</f>
        <v>53014.543579277844</v>
      </c>
      <c r="I22" s="11">
        <f>I20*'Emisi GRK'!I38*44/28*298</f>
        <v>59519.143493824173</v>
      </c>
      <c r="J22" s="11">
        <f>J20*'Emisi GRK'!J38*44/28*298</f>
        <v>66023.743408370457</v>
      </c>
      <c r="K22" s="11">
        <f>K20*'Emisi GRK'!K38*44/28*298</f>
        <v>72528.343322916771</v>
      </c>
      <c r="L22" s="11">
        <f>L20*'Emisi GRK'!L38*44/28*298</f>
        <v>72528.343322916771</v>
      </c>
      <c r="M22" s="11">
        <f>M20*'Emisi GRK'!M38*44/28*298</f>
        <v>72528.343322916771</v>
      </c>
      <c r="N22" s="11">
        <f>N20*'Emisi GRK'!N38*44/28*298</f>
        <v>72528.343322916771</v>
      </c>
      <c r="O22" s="11">
        <f>O20*'Emisi GRK'!O38*44/28*298</f>
        <v>72528.343322916771</v>
      </c>
      <c r="P22" s="11">
        <f>P20*'Emisi GRK'!P38*44/28*298</f>
        <v>72528.343322916771</v>
      </c>
    </row>
    <row r="23" spans="1:16" x14ac:dyDescent="0.25">
      <c r="A23" t="s">
        <v>65</v>
      </c>
      <c r="B23" s="2">
        <f>B20*'Emisi GRK'!B39*44/28*298</f>
        <v>4545.7568299000004</v>
      </c>
      <c r="C23" s="2">
        <f>C20*'Emisi GRK'!C39*44/28*298</f>
        <v>6659.75180212755</v>
      </c>
      <c r="D23" s="2">
        <f>D20*'Emisi GRK'!D39*44/28*298</f>
        <v>8773.7467743550988</v>
      </c>
      <c r="E23" s="2">
        <f>E20*'Emisi GRK'!E39*44/28*298</f>
        <v>10887.741746582649</v>
      </c>
      <c r="F23" s="2">
        <f>F20*'Emisi GRK'!F39*44/28*298</f>
        <v>13001.736718810198</v>
      </c>
      <c r="G23" s="2">
        <f>G20*'Emisi GRK'!G39*44/28*298</f>
        <v>15115.731691037747</v>
      </c>
      <c r="H23" s="2">
        <f>H20*'Emisi GRK'!H39*44/28*298</f>
        <v>17229.726663265301</v>
      </c>
      <c r="I23" s="2">
        <f>I20*'Emisi GRK'!I39*44/28*298</f>
        <v>19343.721635492853</v>
      </c>
      <c r="J23" s="2">
        <f>J20*'Emisi GRK'!J39*44/28*298</f>
        <v>21457.716607720398</v>
      </c>
      <c r="K23" s="2">
        <f>K20*'Emisi GRK'!K39*44/28*298</f>
        <v>23571.711579947954</v>
      </c>
      <c r="L23" s="2">
        <f>L20*'Emisi GRK'!L39*44/28*298</f>
        <v>23571.711579947954</v>
      </c>
      <c r="M23" s="2">
        <f>M20*'Emisi GRK'!M39*44/28*298</f>
        <v>23571.711579947954</v>
      </c>
      <c r="N23" s="2">
        <f>N20*'Emisi GRK'!N39*44/28*298</f>
        <v>23571.711579947954</v>
      </c>
      <c r="O23" s="2">
        <f>O20*'Emisi GRK'!O39*44/28*298</f>
        <v>23571.711579947954</v>
      </c>
      <c r="P23" s="2">
        <f>P20*'Emisi GRK'!P39*44/28*298</f>
        <v>23571.711579947954</v>
      </c>
    </row>
    <row r="24" spans="1:16" x14ac:dyDescent="0.25">
      <c r="A24" t="s">
        <v>66</v>
      </c>
      <c r="B24" s="2">
        <f>SUM(B21:B23)</f>
        <v>23294.32958856667</v>
      </c>
      <c r="C24" s="2">
        <f t="shared" ref="C24:P24" si="10">SUM(C21:C23)</f>
        <v>34127.310206389258</v>
      </c>
      <c r="D24" s="2">
        <f t="shared" si="10"/>
        <v>44960.290824211857</v>
      </c>
      <c r="E24" s="2">
        <f t="shared" si="10"/>
        <v>55793.271442034456</v>
      </c>
      <c r="F24" s="2">
        <f t="shared" si="10"/>
        <v>66626.252059857041</v>
      </c>
      <c r="G24" s="2">
        <f t="shared" si="10"/>
        <v>77459.23267767964</v>
      </c>
      <c r="H24" s="2">
        <f t="shared" si="10"/>
        <v>88292.213295502239</v>
      </c>
      <c r="I24" s="2">
        <f t="shared" si="10"/>
        <v>99125.193913324867</v>
      </c>
      <c r="J24" s="2">
        <f t="shared" si="10"/>
        <v>109958.17453114744</v>
      </c>
      <c r="K24" s="2">
        <f t="shared" si="10"/>
        <v>120791.15514897004</v>
      </c>
      <c r="L24" s="2">
        <f t="shared" si="10"/>
        <v>120791.15514897004</v>
      </c>
      <c r="M24" s="2">
        <f t="shared" si="10"/>
        <v>120791.15514897004</v>
      </c>
      <c r="N24" s="2">
        <f t="shared" si="10"/>
        <v>120791.15514897004</v>
      </c>
      <c r="O24" s="2">
        <f t="shared" si="10"/>
        <v>120791.15514897004</v>
      </c>
      <c r="P24" s="2">
        <f t="shared" si="10"/>
        <v>120791.15514897004</v>
      </c>
    </row>
    <row r="25" spans="1:16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12" t="s">
        <v>72</v>
      </c>
    </row>
    <row r="27" spans="1:16" x14ac:dyDescent="0.25">
      <c r="A27" t="s">
        <v>73</v>
      </c>
      <c r="B27" s="2">
        <f>B3*'Rekab Kab'!B25</f>
        <v>1008.25</v>
      </c>
      <c r="C27" s="2">
        <f>C3*'Rekab Kab'!C25</f>
        <v>2954.2692254582457</v>
      </c>
      <c r="D27" s="2">
        <f>D3*'Rekab Kab'!D25</f>
        <v>5838.0576763747376</v>
      </c>
      <c r="E27" s="2">
        <f>E3*'Rekab Kab'!E25</f>
        <v>9659.6153527494735</v>
      </c>
      <c r="F27" s="2">
        <f>F3*'Rekab Kab'!F25</f>
        <v>14418.942254582456</v>
      </c>
      <c r="G27" s="2">
        <f>G3*'Rekab Kab'!G25</f>
        <v>21121.840300967371</v>
      </c>
      <c r="H27" s="2">
        <f>H3*'Rekab Kab'!H25</f>
        <v>29043.838340448005</v>
      </c>
      <c r="I27" s="2">
        <f>I3*'Rekab Kab'!I25</f>
        <v>38184.936373024364</v>
      </c>
      <c r="J27" s="2">
        <f>J3*'Rekab Kab'!J25</f>
        <v>48545.134398696435</v>
      </c>
      <c r="K27" s="2">
        <f>K3*'Rekab Kab'!K25</f>
        <v>60124.432417464232</v>
      </c>
      <c r="L27" s="2">
        <f>L3*'Rekab Kab'!L25</f>
        <v>66921.107386394957</v>
      </c>
      <c r="M27" s="2">
        <f>M3*'Rekab Kab'!M25</f>
        <v>73717.782355325689</v>
      </c>
      <c r="N27" s="2">
        <f>N3*'Rekab Kab'!N25</f>
        <v>80514.457324256437</v>
      </c>
      <c r="O27" s="2">
        <f>O3*'Rekab Kab'!O25</f>
        <v>87311.132293187169</v>
      </c>
      <c r="P27" s="2">
        <f>P3*'Rekab Kab'!P25</f>
        <v>94107.807262117916</v>
      </c>
    </row>
    <row r="28" spans="1:16" x14ac:dyDescent="0.25">
      <c r="A28" t="s">
        <v>74</v>
      </c>
      <c r="B28" s="2">
        <f>B3-B27</f>
        <v>19156.75</v>
      </c>
      <c r="C28" s="2">
        <f t="shared" ref="C28:P28" si="11">C3-C27</f>
        <v>26588.423029124209</v>
      </c>
      <c r="D28" s="2">
        <f t="shared" si="11"/>
        <v>33082.326832790175</v>
      </c>
      <c r="E28" s="2">
        <f t="shared" si="11"/>
        <v>38638.461410997894</v>
      </c>
      <c r="F28" s="2">
        <f t="shared" si="11"/>
        <v>43256.826763747369</v>
      </c>
      <c r="G28" s="2">
        <f t="shared" si="11"/>
        <v>45931.620971944918</v>
      </c>
      <c r="H28" s="2">
        <f t="shared" si="11"/>
        <v>47387.315187046748</v>
      </c>
      <c r="I28" s="2">
        <f t="shared" si="11"/>
        <v>47623.909409052852</v>
      </c>
      <c r="J28" s="2">
        <f t="shared" si="11"/>
        <v>46641.403637963245</v>
      </c>
      <c r="K28" s="2">
        <f t="shared" si="11"/>
        <v>44439.797873777912</v>
      </c>
      <c r="L28" s="2">
        <f t="shared" si="11"/>
        <v>37643.122904847187</v>
      </c>
      <c r="M28" s="2">
        <f t="shared" si="11"/>
        <v>30846.447935916454</v>
      </c>
      <c r="N28" s="2">
        <f t="shared" si="11"/>
        <v>24049.772966985707</v>
      </c>
      <c r="O28" s="2">
        <f t="shared" si="11"/>
        <v>17253.097998054975</v>
      </c>
      <c r="P28" s="2">
        <f t="shared" si="11"/>
        <v>10456.423029124213</v>
      </c>
    </row>
    <row r="29" spans="1:16" x14ac:dyDescent="0.25">
      <c r="A29" t="s">
        <v>53</v>
      </c>
    </row>
    <row r="30" spans="1:16" x14ac:dyDescent="0.25">
      <c r="A30" s="9" t="s">
        <v>61</v>
      </c>
      <c r="B30" s="7">
        <f>(B27*'Emisi GRK'!B36)+('Emisi GRK'!B35*B28)</f>
        <v>6409.4452499999998</v>
      </c>
      <c r="C30" s="7">
        <f>(C27*'Emisi GRK'!C36)+('Emisi GRK'!C35*C28)</f>
        <v>9267.5425602625164</v>
      </c>
      <c r="D30" s="7">
        <f>(D27*'Emisi GRK'!D36)+('Emisi GRK'!D35*D28)</f>
        <v>12047.805024812</v>
      </c>
      <c r="E30" s="7">
        <f>(E27*'Emisi GRK'!E36)+('Emisi GRK'!E35*E28)</f>
        <v>14750.232643648447</v>
      </c>
      <c r="F30" s="7">
        <f>(F27*'Emisi GRK'!F36)+('Emisi GRK'!F35*F28)</f>
        <v>17374.825416771859</v>
      </c>
      <c r="G30" s="7">
        <f>(G27*'Emisi GRK'!G36)+('Emisi GRK'!G35*G28)</f>
        <v>19838.101784897466</v>
      </c>
      <c r="H30" s="7">
        <f>(H27*'Emisi GRK'!H36)+('Emisi GRK'!H35*H28)</f>
        <v>22200.192853596127</v>
      </c>
      <c r="I30" s="7">
        <f>(I27*'Emisi GRK'!I36)+('Emisi GRK'!I35*I28)</f>
        <v>24461.098622867841</v>
      </c>
      <c r="J30" s="7">
        <f>(J27*'Emisi GRK'!J36)+('Emisi GRK'!J35*J28)</f>
        <v>26620.819092712612</v>
      </c>
      <c r="K30" s="7">
        <f>(K27*'Emisi GRK'!K36)+('Emisi GRK'!K35*K28)</f>
        <v>28679.354263130437</v>
      </c>
      <c r="L30" s="7">
        <f>(L27*'Emisi GRK'!L36)+('Emisi GRK'!L35*L28)</f>
        <v>28115.230240709188</v>
      </c>
      <c r="M30" s="7">
        <f>(M27*'Emisi GRK'!M36)+('Emisi GRK'!M35*M28)</f>
        <v>27551.10621828794</v>
      </c>
      <c r="N30" s="7">
        <f>(N27*'Emisi GRK'!N36)+('Emisi GRK'!N35*N28)</f>
        <v>26986.982195866687</v>
      </c>
      <c r="O30" s="7">
        <f>(O27*'Emisi GRK'!O36)+('Emisi GRK'!O35*O28)</f>
        <v>26422.858173445435</v>
      </c>
      <c r="P30" s="7">
        <f>(P27*'Emisi GRK'!P36)+('Emisi GRK'!P35*P28)</f>
        <v>25858.734151024179</v>
      </c>
    </row>
    <row r="31" spans="1:16" x14ac:dyDescent="0.25">
      <c r="A31" s="9" t="s">
        <v>62</v>
      </c>
      <c r="B31" s="2">
        <f>B30*46%</f>
        <v>2948.3448149999999</v>
      </c>
      <c r="C31" s="2">
        <f t="shared" ref="C31:P31" si="12">C30*46%</f>
        <v>4263.0695777207575</v>
      </c>
      <c r="D31" s="2">
        <f t="shared" si="12"/>
        <v>5541.9903114135204</v>
      </c>
      <c r="E31" s="2">
        <f t="shared" si="12"/>
        <v>6785.1070160782856</v>
      </c>
      <c r="F31" s="2">
        <f t="shared" si="12"/>
        <v>7992.4196917150557</v>
      </c>
      <c r="G31" s="2">
        <f t="shared" si="12"/>
        <v>9125.5268210528357</v>
      </c>
      <c r="H31" s="2">
        <f t="shared" si="12"/>
        <v>10212.088712654218</v>
      </c>
      <c r="I31" s="2">
        <f t="shared" si="12"/>
        <v>11252.105366519207</v>
      </c>
      <c r="J31" s="2">
        <f t="shared" si="12"/>
        <v>12245.576782647802</v>
      </c>
      <c r="K31" s="2">
        <f t="shared" si="12"/>
        <v>13192.502961040002</v>
      </c>
      <c r="L31" s="2">
        <f t="shared" si="12"/>
        <v>12933.005910726228</v>
      </c>
      <c r="M31" s="2">
        <f t="shared" si="12"/>
        <v>12673.508860412452</v>
      </c>
      <c r="N31" s="2">
        <f t="shared" si="12"/>
        <v>12414.011810098677</v>
      </c>
      <c r="O31" s="2">
        <f t="shared" si="12"/>
        <v>12154.514759784901</v>
      </c>
      <c r="P31" s="2">
        <f t="shared" si="12"/>
        <v>11895.017709471123</v>
      </c>
    </row>
    <row r="32" spans="1:16" x14ac:dyDescent="0.25">
      <c r="A32" t="s">
        <v>63</v>
      </c>
      <c r="B32" s="2">
        <f>B30*'Emisi GRK'!B37*44/12</f>
        <v>4700.2598499999995</v>
      </c>
      <c r="C32" s="2">
        <f>C30*'Emisi GRK'!C37*44/12</f>
        <v>6796.1978775258458</v>
      </c>
      <c r="D32" s="2">
        <f>D30*'Emisi GRK'!D37*44/12</f>
        <v>8835.0570181954663</v>
      </c>
      <c r="E32" s="2">
        <f>E30*'Emisi GRK'!E37*44/12</f>
        <v>10816.837272008863</v>
      </c>
      <c r="F32" s="2">
        <f>F30*'Emisi GRK'!F37*44/12</f>
        <v>12741.538638966029</v>
      </c>
      <c r="G32" s="2">
        <f>G30*'Emisi GRK'!G37*44/12</f>
        <v>14547.94130892481</v>
      </c>
      <c r="H32" s="2">
        <f>H30*'Emisi GRK'!H37*44/12</f>
        <v>16280.141425970492</v>
      </c>
      <c r="I32" s="2">
        <f>I30*'Emisi GRK'!I37*44/12</f>
        <v>17938.138990103085</v>
      </c>
      <c r="J32" s="2">
        <f>J30*'Emisi GRK'!J37*44/12</f>
        <v>19521.934001322585</v>
      </c>
      <c r="K32" s="2">
        <f>K30*'Emisi GRK'!K37*44/12</f>
        <v>21031.526459628989</v>
      </c>
      <c r="L32" s="2">
        <f>L30*'Emisi GRK'!L37*44/12</f>
        <v>20617.835509853405</v>
      </c>
      <c r="M32" s="2">
        <f>M30*'Emisi GRK'!M37*44/12</f>
        <v>20204.144560077824</v>
      </c>
      <c r="N32" s="2">
        <f>N30*'Emisi GRK'!N37*44/12</f>
        <v>19790.45361030224</v>
      </c>
      <c r="O32" s="2">
        <f>O30*'Emisi GRK'!O37*44/12</f>
        <v>19376.762660526656</v>
      </c>
      <c r="P32" s="2">
        <f>P30*'Emisi GRK'!P37*44/12</f>
        <v>18963.071710751068</v>
      </c>
    </row>
    <row r="33" spans="1:16" x14ac:dyDescent="0.25">
      <c r="A33" t="s">
        <v>64</v>
      </c>
      <c r="B33" s="11">
        <f>B31*'Emisi GRK'!B38*44/28*298</f>
        <v>13806.677576528571</v>
      </c>
      <c r="C33" s="11">
        <f>C31*'Emisi GRK'!C38*44/28*298</f>
        <v>19963.345822526637</v>
      </c>
      <c r="D33" s="11">
        <f>D31*'Emisi GRK'!D38*44/28*298</f>
        <v>25952.348915447888</v>
      </c>
      <c r="E33" s="11">
        <f>E31*'Emisi GRK'!E38*44/28*298</f>
        <v>31773.686855292312</v>
      </c>
      <c r="F33" s="11">
        <f>F31*'Emisi GRK'!F38*44/28*298</f>
        <v>37427.359642059928</v>
      </c>
      <c r="G33" s="11">
        <f>G31*'Emisi GRK'!G38*44/28*298</f>
        <v>42733.538456301707</v>
      </c>
      <c r="H33" s="11">
        <f>H31*'Emisi GRK'!H38*44/28*298</f>
        <v>47821.752571543613</v>
      </c>
      <c r="I33" s="11">
        <f>I31*'Emisi GRK'!I38*44/28*298</f>
        <v>52692.001987785654</v>
      </c>
      <c r="J33" s="11">
        <f>J31*'Emisi GRK'!J38*44/28*298</f>
        <v>57344.286705027851</v>
      </c>
      <c r="K33" s="11">
        <f>K31*'Emisi GRK'!K38*44/28*298</f>
        <v>61778.606723270183</v>
      </c>
      <c r="L33" s="11">
        <f>L31*'Emisi GRK'!L38*44/28*298</f>
        <v>60563.419107657966</v>
      </c>
      <c r="M33" s="11">
        <f>M31*'Emisi GRK'!M38*44/28*298</f>
        <v>59348.231492045736</v>
      </c>
      <c r="N33" s="11">
        <f>N31*'Emisi GRK'!N38*44/28*298</f>
        <v>58133.043876433519</v>
      </c>
      <c r="O33" s="11">
        <f>O31*'Emisi GRK'!O38*44/28*298</f>
        <v>56917.856260821289</v>
      </c>
      <c r="P33" s="11">
        <f>P31*'Emisi GRK'!P38*44/28*298</f>
        <v>55702.668645209065</v>
      </c>
    </row>
    <row r="34" spans="1:16" x14ac:dyDescent="0.25">
      <c r="A34" t="s">
        <v>65</v>
      </c>
      <c r="B34" s="2">
        <f>B31*'Emisi GRK'!B39*44/28*298</f>
        <v>4487.170212371786</v>
      </c>
      <c r="C34" s="2">
        <f>C31*'Emisi GRK'!C39*44/28*298</f>
        <v>6488.0873923211557</v>
      </c>
      <c r="D34" s="2">
        <f>D31*'Emisi GRK'!D39*44/28*298</f>
        <v>8434.5133975205645</v>
      </c>
      <c r="E34" s="2">
        <f>E31*'Emisi GRK'!E39*44/28*298</f>
        <v>10326.448227970001</v>
      </c>
      <c r="F34" s="2">
        <f>F31*'Emisi GRK'!F39*44/28*298</f>
        <v>12163.891883669477</v>
      </c>
      <c r="G34" s="2">
        <f>G31*'Emisi GRK'!G39*44/28*298</f>
        <v>13888.399998298055</v>
      </c>
      <c r="H34" s="2">
        <f>H31*'Emisi GRK'!H39*44/28*298</f>
        <v>15542.069585751675</v>
      </c>
      <c r="I34" s="2">
        <f>I31*'Emisi GRK'!I39*44/28*298</f>
        <v>17124.900646030339</v>
      </c>
      <c r="J34" s="2">
        <f>J31*'Emisi GRK'!J39*44/28*298</f>
        <v>18636.893179134051</v>
      </c>
      <c r="K34" s="2">
        <f>K31*'Emisi GRK'!K39*44/28*298</f>
        <v>20078.047185062806</v>
      </c>
      <c r="L34" s="2">
        <f>L31*'Emisi GRK'!L39*44/28*298</f>
        <v>19683.111209988838</v>
      </c>
      <c r="M34" s="2">
        <f>M31*'Emisi GRK'!M39*44/28*298</f>
        <v>19288.175234914866</v>
      </c>
      <c r="N34" s="2">
        <f>N31*'Emisi GRK'!N39*44/28*298</f>
        <v>18893.239259840895</v>
      </c>
      <c r="O34" s="2">
        <f>O31*'Emisi GRK'!O39*44/28*298</f>
        <v>18498.30328476692</v>
      </c>
      <c r="P34" s="2">
        <f>P31*'Emisi GRK'!P39*44/28*298</f>
        <v>18103.367309692945</v>
      </c>
    </row>
    <row r="35" spans="1:16" x14ac:dyDescent="0.25">
      <c r="A35" t="s">
        <v>66</v>
      </c>
      <c r="B35" s="2">
        <f>SUM(B32:B34)</f>
        <v>22994.107638900357</v>
      </c>
      <c r="C35" s="2">
        <f t="shared" ref="C35:P35" si="13">SUM(C32:C34)</f>
        <v>33247.631092373638</v>
      </c>
      <c r="D35" s="2">
        <f t="shared" si="13"/>
        <v>43221.919331163925</v>
      </c>
      <c r="E35" s="2">
        <f t="shared" si="13"/>
        <v>52916.97235527118</v>
      </c>
      <c r="F35" s="2">
        <f t="shared" si="13"/>
        <v>62332.790164695434</v>
      </c>
      <c r="G35" s="2">
        <f t="shared" si="13"/>
        <v>71169.879763524572</v>
      </c>
      <c r="H35" s="2">
        <f t="shared" si="13"/>
        <v>79643.96358326578</v>
      </c>
      <c r="I35" s="2">
        <f t="shared" si="13"/>
        <v>87755.041623919082</v>
      </c>
      <c r="J35" s="2">
        <f t="shared" si="13"/>
        <v>95503.11388548449</v>
      </c>
      <c r="K35" s="2">
        <f t="shared" si="13"/>
        <v>102888.18036796198</v>
      </c>
      <c r="L35" s="2">
        <f t="shared" si="13"/>
        <v>100864.36582750021</v>
      </c>
      <c r="M35" s="2">
        <f t="shared" si="13"/>
        <v>98840.551287038426</v>
      </c>
      <c r="N35" s="2">
        <f t="shared" si="13"/>
        <v>96816.736746576644</v>
      </c>
      <c r="O35" s="2">
        <f t="shared" si="13"/>
        <v>94792.922206114876</v>
      </c>
      <c r="P35" s="2">
        <f t="shared" si="13"/>
        <v>92769.107665653079</v>
      </c>
    </row>
    <row r="38" spans="1:16" x14ac:dyDescent="0.25">
      <c r="B38" s="63" t="s">
        <v>71</v>
      </c>
      <c r="C38" s="63"/>
      <c r="D38" s="63" t="s">
        <v>82</v>
      </c>
      <c r="E38" s="63"/>
    </row>
    <row r="39" spans="1:16" x14ac:dyDescent="0.25">
      <c r="B39" t="s">
        <v>79</v>
      </c>
      <c r="C39" t="s">
        <v>80</v>
      </c>
      <c r="D39" t="s">
        <v>79</v>
      </c>
      <c r="E39" t="s">
        <v>80</v>
      </c>
    </row>
    <row r="40" spans="1:16" x14ac:dyDescent="0.25">
      <c r="B40" s="17">
        <f>SUM(B19:P19)</f>
        <v>369162.47153779963</v>
      </c>
      <c r="C40" s="17">
        <f>SUM(B24:P24)</f>
        <v>1324383.1994325337</v>
      </c>
      <c r="D40" s="18">
        <f>SUM(B30:P30)</f>
        <v>316584.32849203277</v>
      </c>
      <c r="E40" s="17">
        <f>SUM(B35:P35)</f>
        <v>1135757.2835394435</v>
      </c>
    </row>
  </sheetData>
  <mergeCells count="2">
    <mergeCell ref="B38:C38"/>
    <mergeCell ref="D38:E3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9"/>
  <sheetViews>
    <sheetView topLeftCell="A34" workbookViewId="0">
      <selection activeCell="G47" sqref="G47"/>
    </sheetView>
  </sheetViews>
  <sheetFormatPr defaultRowHeight="15" x14ac:dyDescent="0.25"/>
  <cols>
    <col min="1" max="1" width="19.85546875" customWidth="1"/>
    <col min="2" max="3" width="10.5703125" bestFit="1" customWidth="1"/>
    <col min="4" max="16" width="10.7109375" customWidth="1"/>
  </cols>
  <sheetData>
    <row r="2" spans="1:16" x14ac:dyDescent="0.25">
      <c r="A2" t="s">
        <v>22</v>
      </c>
      <c r="B2" s="63"/>
      <c r="C2" s="63"/>
      <c r="D2" s="63"/>
      <c r="E2" s="63"/>
      <c r="F2" s="63"/>
      <c r="G2" s="63"/>
    </row>
    <row r="3" spans="1:16" x14ac:dyDescent="0.25">
      <c r="B3">
        <f>'Kalimantan Timur'!B2</f>
        <v>2016</v>
      </c>
      <c r="C3">
        <f>'Kalimantan Timur'!C2</f>
        <v>2017</v>
      </c>
      <c r="D3">
        <f>'Kalimantan Timur'!D2</f>
        <v>2018</v>
      </c>
      <c r="E3">
        <f>'Kalimantan Timur'!E2</f>
        <v>2019</v>
      </c>
      <c r="F3">
        <f>'Kalimantan Timur'!F2</f>
        <v>2020</v>
      </c>
      <c r="G3">
        <f>'Kalimantan Timur'!G2</f>
        <v>2021</v>
      </c>
      <c r="H3">
        <f>'Kalimantan Timur'!H2</f>
        <v>2022</v>
      </c>
      <c r="I3">
        <f>'Kalimantan Timur'!I2</f>
        <v>2023</v>
      </c>
      <c r="J3">
        <f>'Kalimantan Timur'!J2</f>
        <v>2024</v>
      </c>
      <c r="K3">
        <f>'Kalimantan Timur'!K2</f>
        <v>2025</v>
      </c>
      <c r="L3">
        <f>'Kalimantan Timur'!L2</f>
        <v>2026</v>
      </c>
      <c r="M3">
        <f>'Kalimantan Timur'!M2</f>
        <v>2027</v>
      </c>
      <c r="N3">
        <f>'Kalimantan Timur'!N2</f>
        <v>2028</v>
      </c>
      <c r="O3">
        <f>'Kalimantan Timur'!O2</f>
        <v>2029</v>
      </c>
      <c r="P3">
        <f>'Kalimantan Timur'!P2</f>
        <v>2030</v>
      </c>
    </row>
    <row r="4" spans="1:16" x14ac:dyDescent="0.25">
      <c r="A4" t="s">
        <v>14</v>
      </c>
      <c r="B4" s="7">
        <f>Berau!B3</f>
        <v>120535</v>
      </c>
      <c r="C4" s="7">
        <f>Berau!C3</f>
        <v>134416.72672704782</v>
      </c>
      <c r="D4" s="7">
        <f>Berau!D3</f>
        <v>148298.45345409564</v>
      </c>
      <c r="E4" s="7">
        <f>Berau!E3</f>
        <v>162180.18018114346</v>
      </c>
      <c r="F4" s="7">
        <f>Berau!F3</f>
        <v>176061.90690819127</v>
      </c>
      <c r="G4" s="7">
        <f>Berau!G3</f>
        <v>189943.63363523909</v>
      </c>
      <c r="H4" s="7">
        <f>Berau!H3</f>
        <v>203825.36036228691</v>
      </c>
      <c r="I4" s="7">
        <f>Berau!I3</f>
        <v>217707.08708933473</v>
      </c>
      <c r="J4" s="7">
        <f>Berau!J3</f>
        <v>231588.81381638255</v>
      </c>
      <c r="K4" s="7">
        <f>Berau!K3</f>
        <v>245470.54054343037</v>
      </c>
      <c r="L4" s="7">
        <f>Berau!L3</f>
        <v>245470.54054343037</v>
      </c>
      <c r="M4" s="7">
        <f>Berau!M3</f>
        <v>245470.54054343037</v>
      </c>
      <c r="N4" s="7">
        <f>Berau!N3</f>
        <v>245470.54054343037</v>
      </c>
      <c r="O4" s="7">
        <f>Berau!O3</f>
        <v>245470.54054343037</v>
      </c>
      <c r="P4" s="7">
        <f>Berau!P3</f>
        <v>245470.54054343028</v>
      </c>
    </row>
    <row r="5" spans="1:16" x14ac:dyDescent="0.25">
      <c r="A5" t="s">
        <v>15</v>
      </c>
      <c r="B5" s="7">
        <f>'Kutai Timur'!B3</f>
        <v>450636</v>
      </c>
      <c r="C5" s="7">
        <f>'Kutai Timur'!C3</f>
        <v>460604.1737246078</v>
      </c>
      <c r="D5" s="7">
        <f>'Kutai Timur'!D3</f>
        <v>470572.34744921559</v>
      </c>
      <c r="E5" s="7">
        <f>'Kutai Timur'!E3</f>
        <v>480540.52117382339</v>
      </c>
      <c r="F5" s="7">
        <f>'Kutai Timur'!F3</f>
        <v>490508.69489843119</v>
      </c>
      <c r="G5" s="7">
        <f>'Kutai Timur'!G3</f>
        <v>500476.86862303899</v>
      </c>
      <c r="H5" s="7">
        <f>'Kutai Timur'!H3</f>
        <v>510445.04234764678</v>
      </c>
      <c r="I5" s="7">
        <f>'Kutai Timur'!I3</f>
        <v>520413.21607225458</v>
      </c>
      <c r="J5" s="7">
        <f>'Kutai Timur'!J3</f>
        <v>530381.38979686238</v>
      </c>
      <c r="K5" s="7">
        <f>'Kutai Timur'!K3</f>
        <v>540349.56352147018</v>
      </c>
      <c r="L5" s="7">
        <f>'Kutai Timur'!L3</f>
        <v>540349.56352147018</v>
      </c>
      <c r="M5" s="7">
        <f>'Kutai Timur'!M3</f>
        <v>540349.56352147018</v>
      </c>
      <c r="N5" s="7">
        <f>'Kutai Timur'!N3</f>
        <v>540349.56352147018</v>
      </c>
      <c r="O5" s="7">
        <f>'Kutai Timur'!O3</f>
        <v>540349.56352147018</v>
      </c>
      <c r="P5" s="7">
        <f>'Kutai Timur'!P3</f>
        <v>540349.56352147006</v>
      </c>
    </row>
    <row r="6" spans="1:16" x14ac:dyDescent="0.25">
      <c r="A6" t="s">
        <v>16</v>
      </c>
      <c r="B6" s="7">
        <f>'Kutai Kartanegara'!B3</f>
        <v>202313</v>
      </c>
      <c r="C6" s="7">
        <f>'Kutai Kartanegara'!C3</f>
        <v>208758.76080324664</v>
      </c>
      <c r="D6" s="7">
        <f>'Kutai Kartanegara'!D3</f>
        <v>215204.52160649328</v>
      </c>
      <c r="E6" s="7">
        <f>'Kutai Kartanegara'!E3</f>
        <v>221650.28240973991</v>
      </c>
      <c r="F6" s="7">
        <f>'Kutai Kartanegara'!F3</f>
        <v>228096.04321298655</v>
      </c>
      <c r="G6" s="7">
        <f>'Kutai Kartanegara'!G3</f>
        <v>234541.80401623319</v>
      </c>
      <c r="H6" s="7">
        <f>'Kutai Kartanegara'!H3</f>
        <v>240987.56481947983</v>
      </c>
      <c r="I6" s="7">
        <f>'Kutai Kartanegara'!I3</f>
        <v>247433.32562272646</v>
      </c>
      <c r="J6" s="7">
        <f>'Kutai Kartanegara'!J3</f>
        <v>253879.0864259731</v>
      </c>
      <c r="K6" s="7">
        <f>'Kutai Kartanegara'!K3</f>
        <v>260324.84722921974</v>
      </c>
      <c r="L6" s="7">
        <f>'Kutai Kartanegara'!L3</f>
        <v>260324.84722921974</v>
      </c>
      <c r="M6" s="7">
        <f>'Kutai Kartanegara'!M3</f>
        <v>260324.84722921974</v>
      </c>
      <c r="N6" s="7">
        <f>'Kutai Kartanegara'!N3</f>
        <v>260324.84722921974</v>
      </c>
      <c r="O6" s="7">
        <f>'Kutai Kartanegara'!O3</f>
        <v>260324.84722921974</v>
      </c>
      <c r="P6" s="7">
        <f>'Kutai Kartanegara'!P3</f>
        <v>260324.8472292198</v>
      </c>
    </row>
    <row r="7" spans="1:16" x14ac:dyDescent="0.25">
      <c r="A7" t="s">
        <v>17</v>
      </c>
      <c r="B7" s="7">
        <f>'Kutai Barat'!B3</f>
        <v>127474</v>
      </c>
      <c r="C7" s="7">
        <f>'Kutai Barat'!C3</f>
        <v>149882.66614718386</v>
      </c>
      <c r="D7" s="7">
        <f>'Kutai Barat'!D3</f>
        <v>172291.33229436772</v>
      </c>
      <c r="E7" s="7">
        <f>'Kutai Barat'!E3</f>
        <v>194699.99844155158</v>
      </c>
      <c r="F7" s="7">
        <f>'Kutai Barat'!F3</f>
        <v>217108.66458873544</v>
      </c>
      <c r="G7" s="7">
        <f>'Kutai Barat'!G3</f>
        <v>239517.3307359193</v>
      </c>
      <c r="H7" s="7">
        <f>'Kutai Barat'!H3</f>
        <v>261925.99688310316</v>
      </c>
      <c r="I7" s="7">
        <f>'Kutai Barat'!I3</f>
        <v>284334.66303028702</v>
      </c>
      <c r="J7" s="7">
        <f>'Kutai Barat'!J3</f>
        <v>306743.32917747088</v>
      </c>
      <c r="K7" s="7">
        <f>'Kutai Barat'!K3</f>
        <v>329151.99532465474</v>
      </c>
      <c r="L7" s="7">
        <f>'Kutai Barat'!L3</f>
        <v>329151.99532465474</v>
      </c>
      <c r="M7" s="7">
        <f>'Kutai Barat'!M3</f>
        <v>329151.99532465474</v>
      </c>
      <c r="N7" s="7">
        <f>'Kutai Barat'!N3</f>
        <v>329151.99532465474</v>
      </c>
      <c r="O7" s="7">
        <f>'Kutai Barat'!O3</f>
        <v>329151.99532465474</v>
      </c>
      <c r="P7" s="7">
        <f>'Kutai Barat'!P3</f>
        <v>329151.9953246548</v>
      </c>
    </row>
    <row r="8" spans="1:16" x14ac:dyDescent="0.25">
      <c r="A8" t="s">
        <v>18</v>
      </c>
      <c r="B8" s="7">
        <f>Paser!B3</f>
        <v>180329</v>
      </c>
      <c r="C8" s="7">
        <f>Paser!C3</f>
        <v>184353.40124244362</v>
      </c>
      <c r="D8" s="7">
        <f>Paser!D3</f>
        <v>188377.80248488724</v>
      </c>
      <c r="E8" s="7">
        <f>Paser!E3</f>
        <v>192402.20372733087</v>
      </c>
      <c r="F8" s="7">
        <f>Paser!F3</f>
        <v>196426.60496977449</v>
      </c>
      <c r="G8" s="7">
        <f>Paser!G3</f>
        <v>200451.00621221811</v>
      </c>
      <c r="H8" s="7">
        <f>Paser!H3</f>
        <v>204475.40745466173</v>
      </c>
      <c r="I8" s="7">
        <f>Paser!I3</f>
        <v>208499.80869710536</v>
      </c>
      <c r="J8" s="7">
        <f>Paser!J3</f>
        <v>212524.20993954898</v>
      </c>
      <c r="K8" s="7">
        <f>Paser!K3</f>
        <v>216548.6111819926</v>
      </c>
      <c r="L8" s="7">
        <f>Paser!L3</f>
        <v>216548.6111819926</v>
      </c>
      <c r="M8" s="7">
        <f>Paser!M3</f>
        <v>216548.6111819926</v>
      </c>
      <c r="N8" s="7">
        <f>Paser!N3</f>
        <v>216548.6111819926</v>
      </c>
      <c r="O8" s="7">
        <f>Paser!O3</f>
        <v>216548.6111819926</v>
      </c>
      <c r="P8" s="7">
        <f>Paser!P3</f>
        <v>216548.6111819926</v>
      </c>
    </row>
    <row r="9" spans="1:16" x14ac:dyDescent="0.25">
      <c r="A9" t="s">
        <v>19</v>
      </c>
      <c r="B9" s="7">
        <f>PPU!B3</f>
        <v>47162</v>
      </c>
      <c r="C9" s="7">
        <f>PPU!C3</f>
        <v>47069.44079370996</v>
      </c>
      <c r="D9" s="7">
        <f>PPU!D3</f>
        <v>46976.881587419921</v>
      </c>
      <c r="E9" s="7">
        <f>PPU!E3</f>
        <v>46884.322381129881</v>
      </c>
      <c r="F9" s="7">
        <f>PPU!F3</f>
        <v>46791.763174839842</v>
      </c>
      <c r="G9" s="7">
        <f>PPU!G3</f>
        <v>46699.203968549802</v>
      </c>
      <c r="H9" s="7">
        <f>PPU!H3</f>
        <v>46606.644762259763</v>
      </c>
      <c r="I9" s="7">
        <f>PPU!I3</f>
        <v>46514.085555969723</v>
      </c>
      <c r="J9" s="7">
        <f>PPU!J3</f>
        <v>46421.526349679683</v>
      </c>
      <c r="K9" s="7">
        <f>PPU!K3</f>
        <v>46328.967143389644</v>
      </c>
      <c r="L9" s="7">
        <f>PPU!L3</f>
        <v>46328.967143389644</v>
      </c>
      <c r="M9" s="7">
        <f>PPU!M3</f>
        <v>46328.967143389644</v>
      </c>
      <c r="N9" s="7">
        <f>PPU!N3</f>
        <v>46328.967143389644</v>
      </c>
      <c r="O9" s="7">
        <f>PPU!O3</f>
        <v>46328.967143389644</v>
      </c>
      <c r="P9" s="7">
        <f>PPU!P3</f>
        <v>46328.967143389636</v>
      </c>
    </row>
    <row r="10" spans="1:16" x14ac:dyDescent="0.25">
      <c r="A10" t="s">
        <v>20</v>
      </c>
      <c r="B10" s="7">
        <f>Mahulu!B3</f>
        <v>20165</v>
      </c>
      <c r="C10" s="7">
        <f>Mahulu!C3</f>
        <v>29542.692254582456</v>
      </c>
      <c r="D10" s="7">
        <f>Mahulu!D3</f>
        <v>38920.384509164913</v>
      </c>
      <c r="E10" s="7">
        <f>Mahulu!E3</f>
        <v>48298.076763747369</v>
      </c>
      <c r="F10" s="7">
        <f>Mahulu!F3</f>
        <v>57675.769018329825</v>
      </c>
      <c r="G10" s="7">
        <f>Mahulu!G3</f>
        <v>67053.461272912289</v>
      </c>
      <c r="H10" s="7">
        <f>Mahulu!H3</f>
        <v>76431.153527494753</v>
      </c>
      <c r="I10" s="7">
        <f>Mahulu!I3</f>
        <v>85808.845782077216</v>
      </c>
      <c r="J10" s="7">
        <f>Mahulu!J3</f>
        <v>95186.53803665968</v>
      </c>
      <c r="K10" s="7">
        <f>Mahulu!K3</f>
        <v>104564.23029124214</v>
      </c>
      <c r="L10" s="7">
        <f>Mahulu!L3</f>
        <v>104564.23029124214</v>
      </c>
      <c r="M10" s="7">
        <f>Mahulu!M3</f>
        <v>104564.23029124214</v>
      </c>
      <c r="N10" s="7">
        <f>Mahulu!N3</f>
        <v>104564.23029124214</v>
      </c>
      <c r="O10" s="7">
        <f>Mahulu!O3</f>
        <v>104564.23029124214</v>
      </c>
      <c r="P10" s="7">
        <f>Mahulu!P3</f>
        <v>104564.23029124213</v>
      </c>
    </row>
    <row r="11" spans="1:16" x14ac:dyDescent="0.25">
      <c r="A11" t="s">
        <v>21</v>
      </c>
      <c r="B11" s="7">
        <f>'Kalimantan Timur'!B3</f>
        <v>1150078</v>
      </c>
      <c r="C11" s="7">
        <f>'Kalimantan Timur'!C3</f>
        <v>1218278</v>
      </c>
      <c r="D11" s="7">
        <f>'Kalimantan Timur'!D3</f>
        <v>1286478</v>
      </c>
      <c r="E11" s="7">
        <f>'Kalimantan Timur'!E3</f>
        <v>1354678</v>
      </c>
      <c r="F11" s="7">
        <f>'Kalimantan Timur'!F3</f>
        <v>1422878</v>
      </c>
      <c r="G11" s="7">
        <f>'Kalimantan Timur'!G3</f>
        <v>1491078</v>
      </c>
      <c r="H11" s="7">
        <f>'Kalimantan Timur'!H3</f>
        <v>1559278</v>
      </c>
      <c r="I11" s="7">
        <f>'Kalimantan Timur'!I3</f>
        <v>1627478</v>
      </c>
      <c r="J11" s="7">
        <f>'Kalimantan Timur'!J3</f>
        <v>1695678</v>
      </c>
      <c r="K11" s="7">
        <f>'Kalimantan Timur'!K3</f>
        <v>1763878</v>
      </c>
      <c r="L11" s="7">
        <f>'Kalimantan Timur'!L3</f>
        <v>1763878</v>
      </c>
      <c r="M11" s="7">
        <f>'Kalimantan Timur'!M3</f>
        <v>1763878</v>
      </c>
      <c r="N11" s="7">
        <f>'Kalimantan Timur'!N3</f>
        <v>1763878</v>
      </c>
      <c r="O11" s="7">
        <f>'Kalimantan Timur'!O3</f>
        <v>1763878</v>
      </c>
      <c r="P11" s="7">
        <f>'Kalimantan Timur'!P3</f>
        <v>1763878</v>
      </c>
    </row>
    <row r="13" spans="1:16" x14ac:dyDescent="0.25">
      <c r="A13" t="s">
        <v>23</v>
      </c>
    </row>
    <row r="14" spans="1:16" x14ac:dyDescent="0.25">
      <c r="B14">
        <f>B3</f>
        <v>2016</v>
      </c>
      <c r="C14">
        <f t="shared" ref="C14:P14" si="0">C3</f>
        <v>2017</v>
      </c>
      <c r="D14">
        <f t="shared" si="0"/>
        <v>2018</v>
      </c>
      <c r="E14">
        <f t="shared" si="0"/>
        <v>2019</v>
      </c>
      <c r="F14">
        <f t="shared" si="0"/>
        <v>2020</v>
      </c>
      <c r="G14">
        <f t="shared" si="0"/>
        <v>2021</v>
      </c>
      <c r="H14">
        <f t="shared" si="0"/>
        <v>2022</v>
      </c>
      <c r="I14">
        <f t="shared" si="0"/>
        <v>2023</v>
      </c>
      <c r="J14">
        <f t="shared" si="0"/>
        <v>2024</v>
      </c>
      <c r="K14">
        <f t="shared" si="0"/>
        <v>2025</v>
      </c>
      <c r="L14">
        <f t="shared" si="0"/>
        <v>2026</v>
      </c>
      <c r="M14">
        <f t="shared" si="0"/>
        <v>2027</v>
      </c>
      <c r="N14">
        <f t="shared" si="0"/>
        <v>2028</v>
      </c>
      <c r="O14">
        <f t="shared" si="0"/>
        <v>2029</v>
      </c>
      <c r="P14">
        <f t="shared" si="0"/>
        <v>2030</v>
      </c>
    </row>
    <row r="15" spans="1:16" x14ac:dyDescent="0.25">
      <c r="A15" t="s">
        <v>14</v>
      </c>
      <c r="B15" s="8">
        <f>B25*B4</f>
        <v>6026.75</v>
      </c>
      <c r="C15" s="8">
        <f t="shared" ref="C15:P15" si="1">C25*C4</f>
        <v>13441.672672704783</v>
      </c>
      <c r="D15" s="8">
        <f t="shared" si="1"/>
        <v>22244.768018114348</v>
      </c>
      <c r="E15" s="8">
        <f t="shared" si="1"/>
        <v>32436.036036228692</v>
      </c>
      <c r="F15" s="8">
        <f t="shared" si="1"/>
        <v>44015.476727047819</v>
      </c>
      <c r="G15" s="8">
        <f t="shared" si="1"/>
        <v>59832.244595100317</v>
      </c>
      <c r="H15" s="8">
        <f t="shared" si="1"/>
        <v>77453.636937669027</v>
      </c>
      <c r="I15" s="8">
        <f t="shared" si="1"/>
        <v>96879.653754753963</v>
      </c>
      <c r="J15" s="8">
        <f t="shared" si="1"/>
        <v>118110.29504635511</v>
      </c>
      <c r="K15" s="8">
        <f t="shared" si="1"/>
        <v>141145.56081247245</v>
      </c>
      <c r="L15" s="8">
        <f t="shared" si="1"/>
        <v>157101.14594779542</v>
      </c>
      <c r="M15" s="8">
        <f t="shared" si="1"/>
        <v>173056.73108311839</v>
      </c>
      <c r="N15" s="8">
        <f t="shared" si="1"/>
        <v>189012.31621844132</v>
      </c>
      <c r="O15" s="8">
        <f t="shared" si="1"/>
        <v>204967.90135376429</v>
      </c>
      <c r="P15" s="8">
        <f t="shared" si="1"/>
        <v>220923.48648908726</v>
      </c>
    </row>
    <row r="16" spans="1:16" x14ac:dyDescent="0.25">
      <c r="A16" t="s">
        <v>15</v>
      </c>
      <c r="B16" s="8">
        <f>B25*B5</f>
        <v>22531.800000000003</v>
      </c>
      <c r="C16" s="8">
        <f t="shared" ref="C16:P16" si="2">C25*C5</f>
        <v>46060.417372460783</v>
      </c>
      <c r="D16" s="8">
        <f t="shared" si="2"/>
        <v>70585.852117382354</v>
      </c>
      <c r="E16" s="8">
        <f t="shared" si="2"/>
        <v>96108.104234764687</v>
      </c>
      <c r="F16" s="8">
        <f t="shared" si="2"/>
        <v>122627.1737246078</v>
      </c>
      <c r="G16" s="8">
        <f t="shared" si="2"/>
        <v>157650.21361625727</v>
      </c>
      <c r="H16" s="8">
        <f t="shared" si="2"/>
        <v>193969.11609210577</v>
      </c>
      <c r="I16" s="8">
        <f t="shared" si="2"/>
        <v>231583.88115215331</v>
      </c>
      <c r="J16" s="8">
        <f t="shared" si="2"/>
        <v>270494.50879639981</v>
      </c>
      <c r="K16" s="8">
        <f t="shared" si="2"/>
        <v>310700.99902484531</v>
      </c>
      <c r="L16" s="8">
        <f t="shared" si="2"/>
        <v>345823.72065374086</v>
      </c>
      <c r="M16" s="8">
        <f t="shared" si="2"/>
        <v>380946.44228263642</v>
      </c>
      <c r="N16" s="8">
        <f t="shared" si="2"/>
        <v>416069.16391153191</v>
      </c>
      <c r="O16" s="8">
        <f t="shared" si="2"/>
        <v>451191.88554042747</v>
      </c>
      <c r="P16" s="8">
        <f t="shared" si="2"/>
        <v>486314.60716932308</v>
      </c>
    </row>
    <row r="17" spans="1:16" x14ac:dyDescent="0.25">
      <c r="A17" t="s">
        <v>16</v>
      </c>
      <c r="B17" s="8">
        <f>B25*B6</f>
        <v>10115.650000000001</v>
      </c>
      <c r="C17" s="8">
        <f t="shared" ref="C17:P17" si="3">C25*C6</f>
        <v>20875.876080324666</v>
      </c>
      <c r="D17" s="8">
        <f t="shared" si="3"/>
        <v>32280.678240973997</v>
      </c>
      <c r="E17" s="8">
        <f t="shared" si="3"/>
        <v>44330.056481947984</v>
      </c>
      <c r="F17" s="8">
        <f t="shared" si="3"/>
        <v>57024.010803246638</v>
      </c>
      <c r="G17" s="8">
        <f t="shared" si="3"/>
        <v>73880.668265113462</v>
      </c>
      <c r="H17" s="8">
        <f t="shared" si="3"/>
        <v>91575.274631402339</v>
      </c>
      <c r="I17" s="8">
        <f t="shared" si="3"/>
        <v>110107.82990211328</v>
      </c>
      <c r="J17" s="8">
        <f t="shared" si="3"/>
        <v>129478.33407724628</v>
      </c>
      <c r="K17" s="8">
        <f t="shared" si="3"/>
        <v>149686.78715680135</v>
      </c>
      <c r="L17" s="8">
        <f t="shared" si="3"/>
        <v>166607.90222670062</v>
      </c>
      <c r="M17" s="8">
        <f t="shared" si="3"/>
        <v>183529.01729659986</v>
      </c>
      <c r="N17" s="8">
        <f t="shared" si="3"/>
        <v>200450.13236649914</v>
      </c>
      <c r="O17" s="8">
        <f t="shared" si="3"/>
        <v>217371.24743639841</v>
      </c>
      <c r="P17" s="8">
        <f t="shared" si="3"/>
        <v>234292.36250629782</v>
      </c>
    </row>
    <row r="18" spans="1:16" x14ac:dyDescent="0.25">
      <c r="A18" t="s">
        <v>17</v>
      </c>
      <c r="B18" s="8">
        <f>B25*B7</f>
        <v>6373.7000000000007</v>
      </c>
      <c r="C18" s="8">
        <f t="shared" ref="C18:P18" si="4">C25*C7</f>
        <v>14988.266614718386</v>
      </c>
      <c r="D18" s="8">
        <f t="shared" si="4"/>
        <v>25843.699844155162</v>
      </c>
      <c r="E18" s="8">
        <f t="shared" si="4"/>
        <v>38939.999688310316</v>
      </c>
      <c r="F18" s="8">
        <f t="shared" si="4"/>
        <v>54277.16614718386</v>
      </c>
      <c r="G18" s="8">
        <f t="shared" si="4"/>
        <v>75447.959181814585</v>
      </c>
      <c r="H18" s="8">
        <f t="shared" si="4"/>
        <v>99531.878815579199</v>
      </c>
      <c r="I18" s="8">
        <f t="shared" si="4"/>
        <v>126528.92504847773</v>
      </c>
      <c r="J18" s="8">
        <f t="shared" si="4"/>
        <v>156439.09788051015</v>
      </c>
      <c r="K18" s="8">
        <f t="shared" si="4"/>
        <v>189262.39731167647</v>
      </c>
      <c r="L18" s="8">
        <f t="shared" si="4"/>
        <v>210657.27700777899</v>
      </c>
      <c r="M18" s="8">
        <f t="shared" si="4"/>
        <v>232052.15670388154</v>
      </c>
      <c r="N18" s="8">
        <f t="shared" si="4"/>
        <v>253447.03639998409</v>
      </c>
      <c r="O18" s="8">
        <f t="shared" si="4"/>
        <v>274841.91609608661</v>
      </c>
      <c r="P18" s="8">
        <f t="shared" si="4"/>
        <v>296236.79579218931</v>
      </c>
    </row>
    <row r="19" spans="1:16" x14ac:dyDescent="0.25">
      <c r="A19" t="s">
        <v>18</v>
      </c>
      <c r="B19" s="8">
        <f>B25*B8</f>
        <v>9016.4500000000007</v>
      </c>
      <c r="C19" s="8">
        <f t="shared" ref="C19:P19" si="5">C25*C8</f>
        <v>18435.340124244362</v>
      </c>
      <c r="D19" s="8">
        <f t="shared" si="5"/>
        <v>28256.67037273309</v>
      </c>
      <c r="E19" s="8">
        <f t="shared" si="5"/>
        <v>38480.440745466178</v>
      </c>
      <c r="F19" s="8">
        <f t="shared" si="5"/>
        <v>49106.651242443622</v>
      </c>
      <c r="G19" s="8">
        <f t="shared" si="5"/>
        <v>63142.066956848706</v>
      </c>
      <c r="H19" s="8">
        <f t="shared" si="5"/>
        <v>77700.654832771455</v>
      </c>
      <c r="I19" s="8">
        <f t="shared" si="5"/>
        <v>92782.414870211884</v>
      </c>
      <c r="J19" s="8">
        <f t="shared" si="5"/>
        <v>108387.34706916998</v>
      </c>
      <c r="K19" s="8">
        <f t="shared" si="5"/>
        <v>124515.45142964573</v>
      </c>
      <c r="L19" s="8">
        <f t="shared" si="5"/>
        <v>138591.11115647524</v>
      </c>
      <c r="M19" s="8">
        <f t="shared" si="5"/>
        <v>152666.77088330477</v>
      </c>
      <c r="N19" s="8">
        <f t="shared" si="5"/>
        <v>166742.43061013427</v>
      </c>
      <c r="O19" s="8">
        <f t="shared" si="5"/>
        <v>180818.09033696377</v>
      </c>
      <c r="P19" s="8">
        <f t="shared" si="5"/>
        <v>194893.75006379336</v>
      </c>
    </row>
    <row r="20" spans="1:16" x14ac:dyDescent="0.25">
      <c r="A20" t="s">
        <v>19</v>
      </c>
      <c r="B20" s="8">
        <f>B25*B9</f>
        <v>2358.1</v>
      </c>
      <c r="C20" s="8">
        <f t="shared" ref="C20:P20" si="6">C25*C9</f>
        <v>4706.9440793709964</v>
      </c>
      <c r="D20" s="8">
        <f t="shared" si="6"/>
        <v>7046.532238112989</v>
      </c>
      <c r="E20" s="8">
        <f t="shared" si="6"/>
        <v>9376.8644762259773</v>
      </c>
      <c r="F20" s="8">
        <f t="shared" si="6"/>
        <v>11697.94079370996</v>
      </c>
      <c r="G20" s="8">
        <f t="shared" si="6"/>
        <v>14710.249250093188</v>
      </c>
      <c r="H20" s="8">
        <f t="shared" si="6"/>
        <v>17710.525009658711</v>
      </c>
      <c r="I20" s="8">
        <f t="shared" si="6"/>
        <v>20698.768072406529</v>
      </c>
      <c r="J20" s="8">
        <f t="shared" si="6"/>
        <v>23674.978438336639</v>
      </c>
      <c r="K20" s="8">
        <f t="shared" si="6"/>
        <v>26639.156107449042</v>
      </c>
      <c r="L20" s="8">
        <f t="shared" si="6"/>
        <v>29650.538971769369</v>
      </c>
      <c r="M20" s="8">
        <f t="shared" si="6"/>
        <v>32661.921836089692</v>
      </c>
      <c r="N20" s="8">
        <f t="shared" si="6"/>
        <v>35673.304700410015</v>
      </c>
      <c r="O20" s="8">
        <f t="shared" si="6"/>
        <v>38684.687564730339</v>
      </c>
      <c r="P20" s="8">
        <f t="shared" si="6"/>
        <v>41696.070429050676</v>
      </c>
    </row>
    <row r="21" spans="1:16" x14ac:dyDescent="0.25">
      <c r="A21" t="s">
        <v>20</v>
      </c>
      <c r="B21" s="8">
        <f>B25*B10</f>
        <v>1008.25</v>
      </c>
      <c r="C21" s="8">
        <f t="shared" ref="C21:P21" si="7">C25*C10</f>
        <v>2954.2692254582457</v>
      </c>
      <c r="D21" s="8">
        <f t="shared" si="7"/>
        <v>5838.0576763747376</v>
      </c>
      <c r="E21" s="8">
        <f t="shared" si="7"/>
        <v>9659.6153527494735</v>
      </c>
      <c r="F21" s="8">
        <f t="shared" si="7"/>
        <v>14418.942254582456</v>
      </c>
      <c r="G21" s="8">
        <f t="shared" si="7"/>
        <v>21121.840300967371</v>
      </c>
      <c r="H21" s="8">
        <f t="shared" si="7"/>
        <v>29043.838340448005</v>
      </c>
      <c r="I21" s="8">
        <f t="shared" si="7"/>
        <v>38184.936373024364</v>
      </c>
      <c r="J21" s="8">
        <f t="shared" si="7"/>
        <v>48545.134398696435</v>
      </c>
      <c r="K21" s="8">
        <f t="shared" si="7"/>
        <v>60124.432417464232</v>
      </c>
      <c r="L21" s="8">
        <f t="shared" si="7"/>
        <v>66921.107386394957</v>
      </c>
      <c r="M21" s="8">
        <f t="shared" si="7"/>
        <v>73717.782355325689</v>
      </c>
      <c r="N21" s="8">
        <f t="shared" si="7"/>
        <v>80514.457324256437</v>
      </c>
      <c r="O21" s="8">
        <f t="shared" si="7"/>
        <v>87311.132293187169</v>
      </c>
      <c r="P21" s="8">
        <f t="shared" si="7"/>
        <v>94107.807262117916</v>
      </c>
    </row>
    <row r="22" spans="1:16" x14ac:dyDescent="0.25">
      <c r="A22" t="s">
        <v>21</v>
      </c>
      <c r="B22" s="8">
        <f>B25*B11</f>
        <v>57503.9</v>
      </c>
      <c r="C22" s="8">
        <f t="shared" ref="C22:P22" si="8">C25*C11</f>
        <v>121827.8</v>
      </c>
      <c r="D22" s="8">
        <f t="shared" si="8"/>
        <v>192971.70000000004</v>
      </c>
      <c r="E22" s="8">
        <f t="shared" si="8"/>
        <v>270935.60000000003</v>
      </c>
      <c r="F22" s="8">
        <f t="shared" si="8"/>
        <v>355719.5</v>
      </c>
      <c r="G22" s="8">
        <f t="shared" si="8"/>
        <v>469689.57</v>
      </c>
      <c r="H22" s="8">
        <f t="shared" si="8"/>
        <v>592525.64</v>
      </c>
      <c r="I22" s="8">
        <f t="shared" si="8"/>
        <v>724227.71</v>
      </c>
      <c r="J22" s="8">
        <f t="shared" si="8"/>
        <v>864795.78</v>
      </c>
      <c r="K22" s="8">
        <f t="shared" si="8"/>
        <v>1014229.85</v>
      </c>
      <c r="L22" s="8">
        <f t="shared" si="8"/>
        <v>1128881.92</v>
      </c>
      <c r="M22" s="8">
        <f t="shared" si="8"/>
        <v>1243533.9899999998</v>
      </c>
      <c r="N22" s="8">
        <f t="shared" si="8"/>
        <v>1358186.0599999996</v>
      </c>
      <c r="O22" s="8">
        <f t="shared" si="8"/>
        <v>1472838.1299999997</v>
      </c>
      <c r="P22" s="8">
        <f t="shared" si="8"/>
        <v>1587490.2</v>
      </c>
    </row>
    <row r="25" spans="1:16" x14ac:dyDescent="0.25">
      <c r="A25" t="s">
        <v>24</v>
      </c>
      <c r="B25" s="4">
        <v>0.05</v>
      </c>
      <c r="C25" s="4">
        <f>B25+5%</f>
        <v>0.1</v>
      </c>
      <c r="D25" s="4">
        <f t="shared" ref="D25:F25" si="9">C25+5%</f>
        <v>0.15000000000000002</v>
      </c>
      <c r="E25" s="4">
        <f t="shared" si="9"/>
        <v>0.2</v>
      </c>
      <c r="F25" s="4">
        <f t="shared" si="9"/>
        <v>0.25</v>
      </c>
      <c r="G25" s="4">
        <f>F25+6.5%</f>
        <v>0.315</v>
      </c>
      <c r="H25" s="4">
        <f t="shared" ref="H25:N25" si="10">G25+6.5%</f>
        <v>0.38</v>
      </c>
      <c r="I25" s="4">
        <f t="shared" si="10"/>
        <v>0.44500000000000001</v>
      </c>
      <c r="J25" s="4">
        <f t="shared" si="10"/>
        <v>0.51</v>
      </c>
      <c r="K25" s="4">
        <f t="shared" si="10"/>
        <v>0.57499999999999996</v>
      </c>
      <c r="L25" s="4">
        <f>K25+6.5%</f>
        <v>0.6399999999999999</v>
      </c>
      <c r="M25" s="4">
        <f t="shared" si="10"/>
        <v>0.70499999999999985</v>
      </c>
      <c r="N25" s="4">
        <f t="shared" si="10"/>
        <v>0.7699999999999998</v>
      </c>
      <c r="O25" s="4">
        <f>N25+6.5%</f>
        <v>0.83499999999999974</v>
      </c>
      <c r="P25" s="4">
        <v>0.9</v>
      </c>
    </row>
    <row r="27" spans="1:16" ht="54" customHeight="1" x14ac:dyDescent="0.25">
      <c r="A27" s="64" t="s">
        <v>78</v>
      </c>
      <c r="B27" s="14" t="s">
        <v>75</v>
      </c>
      <c r="C27" s="66" t="s">
        <v>76</v>
      </c>
      <c r="D27" s="66"/>
      <c r="E27" s="66" t="s">
        <v>77</v>
      </c>
      <c r="F27" s="66"/>
    </row>
    <row r="28" spans="1:16" x14ac:dyDescent="0.25">
      <c r="A28" s="64"/>
      <c r="B28" s="10">
        <v>2016</v>
      </c>
      <c r="C28" s="10">
        <v>2020</v>
      </c>
      <c r="D28" s="10">
        <v>2030</v>
      </c>
      <c r="E28" s="10">
        <v>2020</v>
      </c>
      <c r="F28" s="10">
        <v>2030</v>
      </c>
    </row>
    <row r="29" spans="1:16" x14ac:dyDescent="0.25">
      <c r="A29" s="16" t="str">
        <f t="shared" ref="A29:A36" si="11">A15</f>
        <v>Berau</v>
      </c>
      <c r="B29" s="15">
        <f>B4</f>
        <v>120535</v>
      </c>
      <c r="C29" s="15">
        <f>F4</f>
        <v>176061.90690819127</v>
      </c>
      <c r="D29" s="15">
        <f>P4</f>
        <v>245470.54054343028</v>
      </c>
      <c r="E29" s="15">
        <f>F15</f>
        <v>44015.476727047819</v>
      </c>
      <c r="F29" s="15">
        <f>P15</f>
        <v>220923.48648908726</v>
      </c>
    </row>
    <row r="30" spans="1:16" x14ac:dyDescent="0.25">
      <c r="A30" s="16" t="str">
        <f t="shared" si="11"/>
        <v>Kutai Timur</v>
      </c>
      <c r="B30" s="15">
        <f t="shared" ref="B30:B36" si="12">B5</f>
        <v>450636</v>
      </c>
      <c r="C30" s="15">
        <f t="shared" ref="C30:C36" si="13">F5</f>
        <v>490508.69489843119</v>
      </c>
      <c r="D30" s="15">
        <f t="shared" ref="D30:D36" si="14">P5</f>
        <v>540349.56352147006</v>
      </c>
      <c r="E30" s="15">
        <f t="shared" ref="E30:E36" si="15">F16</f>
        <v>122627.1737246078</v>
      </c>
      <c r="F30" s="15">
        <f t="shared" ref="F30:F36" si="16">P16</f>
        <v>486314.60716932308</v>
      </c>
    </row>
    <row r="31" spans="1:16" x14ac:dyDescent="0.25">
      <c r="A31" s="16" t="str">
        <f t="shared" si="11"/>
        <v>Kutai Kartanegara</v>
      </c>
      <c r="B31" s="15">
        <f t="shared" si="12"/>
        <v>202313</v>
      </c>
      <c r="C31" s="15">
        <f t="shared" si="13"/>
        <v>228096.04321298655</v>
      </c>
      <c r="D31" s="15">
        <f t="shared" si="14"/>
        <v>260324.8472292198</v>
      </c>
      <c r="E31" s="15">
        <f t="shared" si="15"/>
        <v>57024.010803246638</v>
      </c>
      <c r="F31" s="15">
        <f t="shared" si="16"/>
        <v>234292.36250629782</v>
      </c>
    </row>
    <row r="32" spans="1:16" x14ac:dyDescent="0.25">
      <c r="A32" s="16" t="str">
        <f t="shared" si="11"/>
        <v>Kutai Barat</v>
      </c>
      <c r="B32" s="15">
        <f t="shared" si="12"/>
        <v>127474</v>
      </c>
      <c r="C32" s="15">
        <f t="shared" si="13"/>
        <v>217108.66458873544</v>
      </c>
      <c r="D32" s="15">
        <f t="shared" si="14"/>
        <v>329151.9953246548</v>
      </c>
      <c r="E32" s="15">
        <f t="shared" si="15"/>
        <v>54277.16614718386</v>
      </c>
      <c r="F32" s="15">
        <f t="shared" si="16"/>
        <v>296236.79579218931</v>
      </c>
    </row>
    <row r="33" spans="1:6" x14ac:dyDescent="0.25">
      <c r="A33" s="16" t="str">
        <f t="shared" si="11"/>
        <v>Paser</v>
      </c>
      <c r="B33" s="15">
        <f t="shared" si="12"/>
        <v>180329</v>
      </c>
      <c r="C33" s="15">
        <f t="shared" si="13"/>
        <v>196426.60496977449</v>
      </c>
      <c r="D33" s="15">
        <f t="shared" si="14"/>
        <v>216548.6111819926</v>
      </c>
      <c r="E33" s="15">
        <f t="shared" si="15"/>
        <v>49106.651242443622</v>
      </c>
      <c r="F33" s="15">
        <f t="shared" si="16"/>
        <v>194893.75006379336</v>
      </c>
    </row>
    <row r="34" spans="1:6" x14ac:dyDescent="0.25">
      <c r="A34" s="16" t="str">
        <f t="shared" si="11"/>
        <v>PPU</v>
      </c>
      <c r="B34" s="15">
        <f t="shared" si="12"/>
        <v>47162</v>
      </c>
      <c r="C34" s="15">
        <f t="shared" si="13"/>
        <v>46791.763174839842</v>
      </c>
      <c r="D34" s="15">
        <f t="shared" si="14"/>
        <v>46328.967143389636</v>
      </c>
      <c r="E34" s="15">
        <f t="shared" si="15"/>
        <v>11697.94079370996</v>
      </c>
      <c r="F34" s="15">
        <f t="shared" si="16"/>
        <v>41696.070429050676</v>
      </c>
    </row>
    <row r="35" spans="1:6" x14ac:dyDescent="0.25">
      <c r="A35" s="16" t="str">
        <f t="shared" si="11"/>
        <v>Mahulu</v>
      </c>
      <c r="B35" s="15">
        <f t="shared" si="12"/>
        <v>20165</v>
      </c>
      <c r="C35" s="15">
        <f t="shared" si="13"/>
        <v>57675.769018329825</v>
      </c>
      <c r="D35" s="15">
        <f t="shared" si="14"/>
        <v>104564.23029124213</v>
      </c>
      <c r="E35" s="15">
        <f t="shared" si="15"/>
        <v>14418.942254582456</v>
      </c>
      <c r="F35" s="15">
        <f t="shared" si="16"/>
        <v>94107.807262117916</v>
      </c>
    </row>
    <row r="36" spans="1:6" x14ac:dyDescent="0.25">
      <c r="A36" s="16" t="str">
        <f t="shared" si="11"/>
        <v>Kalimantan Timur</v>
      </c>
      <c r="B36" s="15">
        <f t="shared" si="12"/>
        <v>1150078</v>
      </c>
      <c r="C36" s="15">
        <f t="shared" si="13"/>
        <v>1422878</v>
      </c>
      <c r="D36" s="15">
        <f t="shared" si="14"/>
        <v>1763878</v>
      </c>
      <c r="E36" s="15">
        <f t="shared" si="15"/>
        <v>355719.5</v>
      </c>
      <c r="F36" s="15">
        <f t="shared" si="16"/>
        <v>1587490.2</v>
      </c>
    </row>
    <row r="39" spans="1:6" x14ac:dyDescent="0.25">
      <c r="A39" s="64" t="s">
        <v>85</v>
      </c>
      <c r="B39" s="63" t="s">
        <v>71</v>
      </c>
      <c r="C39" s="63"/>
      <c r="D39" s="63" t="s">
        <v>82</v>
      </c>
      <c r="E39" s="63"/>
    </row>
    <row r="40" spans="1:6" ht="30" x14ac:dyDescent="0.25">
      <c r="A40" s="64"/>
      <c r="B40" s="13" t="s">
        <v>83</v>
      </c>
      <c r="C40" s="13" t="s">
        <v>84</v>
      </c>
      <c r="D40" s="13" t="s">
        <v>83</v>
      </c>
      <c r="E40" s="13" t="s">
        <v>84</v>
      </c>
    </row>
    <row r="41" spans="1:6" x14ac:dyDescent="0.25">
      <c r="A41" s="16" t="str">
        <f t="shared" ref="A41:A48" si="17">A29</f>
        <v>Berau</v>
      </c>
      <c r="B41" s="20">
        <f>Berau!B40</f>
        <v>984476.49054984562</v>
      </c>
      <c r="C41" s="20">
        <f>Berau!C40</f>
        <v>3531843.6321255774</v>
      </c>
      <c r="D41" s="20">
        <f>Berau!D40</f>
        <v>855274.7334673556</v>
      </c>
      <c r="E41" s="20">
        <f>Berau!E40</f>
        <v>3068327.8372929683</v>
      </c>
    </row>
    <row r="42" spans="1:6" x14ac:dyDescent="0.25">
      <c r="A42" s="16" t="str">
        <f t="shared" si="17"/>
        <v>Kutai Timur</v>
      </c>
      <c r="B42" s="20">
        <f>'Kutai Timur'!B40</f>
        <v>2465449.5545391343</v>
      </c>
      <c r="C42" s="20">
        <f>'Kutai Timur'!C40</f>
        <v>8844885.9806317538</v>
      </c>
      <c r="D42" s="20">
        <f>'Kutai Timur'!D40</f>
        <v>2166428.9500269778</v>
      </c>
      <c r="E42" s="20">
        <f>'Kutai Timur'!E40</f>
        <v>7772139.1674186159</v>
      </c>
    </row>
    <row r="43" spans="1:6" x14ac:dyDescent="0.25">
      <c r="A43" s="16" t="str">
        <f t="shared" si="17"/>
        <v>Kutai Kartanegara</v>
      </c>
      <c r="B43" s="20">
        <f>'Kutai Kartanegara'!B40</f>
        <v>1163969.9380780878</v>
      </c>
      <c r="C43" s="20">
        <f>'Kutai Kartanegara'!C40</f>
        <v>4175782.6146672727</v>
      </c>
      <c r="D43" s="20">
        <f>'Kutai Kartanegara'!D40</f>
        <v>1021076.6543979393</v>
      </c>
      <c r="E43" s="20">
        <f>'Kutai Kartanegara'!E40</f>
        <v>3663147.9922220218</v>
      </c>
    </row>
    <row r="44" spans="1:6" x14ac:dyDescent="0.25">
      <c r="A44" s="16" t="str">
        <f t="shared" si="17"/>
        <v>Kutai Barat</v>
      </c>
      <c r="B44" s="20">
        <f>'Kutai Barat'!B40</f>
        <v>1265102.5649453884</v>
      </c>
      <c r="C44" s="20">
        <f>'Kutai Barat'!C40</f>
        <v>4538599.4291164568</v>
      </c>
      <c r="D44" s="20">
        <f>'Kutai Barat'!D40</f>
        <v>1094548.4983252035</v>
      </c>
      <c r="E44" s="20">
        <f>'Kutai Barat'!E40</f>
        <v>3926730.7863323237</v>
      </c>
    </row>
    <row r="45" spans="1:6" x14ac:dyDescent="0.25">
      <c r="A45" s="16" t="str">
        <f t="shared" si="17"/>
        <v>Paser</v>
      </c>
      <c r="B45" s="20">
        <f>Paser!B40</f>
        <v>987616.21800601645</v>
      </c>
      <c r="C45" s="20">
        <f>Paser!C40</f>
        <v>3543107.5135174957</v>
      </c>
      <c r="D45" s="20">
        <f>Paser!D40</f>
        <v>867802.75982839696</v>
      </c>
      <c r="E45" s="20">
        <f>Paser!E40</f>
        <v>3113272.5673612645</v>
      </c>
    </row>
    <row r="46" spans="1:6" x14ac:dyDescent="0.25">
      <c r="A46" s="16" t="str">
        <f t="shared" si="17"/>
        <v>PPU</v>
      </c>
      <c r="B46" s="20">
        <f>PPU!B40</f>
        <v>225110.0942017147</v>
      </c>
      <c r="C46" s="20">
        <f>PPU!C40</f>
        <v>807590.28820430674</v>
      </c>
      <c r="D46" s="20">
        <f>PPU!D40</f>
        <v>198800.20789841929</v>
      </c>
      <c r="E46" s="20">
        <f>PPU!E40</f>
        <v>713202.65650947276</v>
      </c>
    </row>
    <row r="47" spans="1:6" x14ac:dyDescent="0.25">
      <c r="A47" s="16" t="str">
        <f t="shared" si="17"/>
        <v>Mahulu</v>
      </c>
      <c r="B47" s="20">
        <f>Mahulu!B40</f>
        <v>369162.47153779963</v>
      </c>
      <c r="C47" s="20">
        <f>Mahulu!C40</f>
        <v>1324383.1994325337</v>
      </c>
      <c r="D47" s="20">
        <f>Mahulu!D40</f>
        <v>316584.32849203277</v>
      </c>
      <c r="E47" s="20">
        <f>Mahulu!E40</f>
        <v>1135757.2835394435</v>
      </c>
    </row>
    <row r="48" spans="1:6" x14ac:dyDescent="0.25">
      <c r="A48" s="16" t="str">
        <f t="shared" si="17"/>
        <v>Kalimantan Timur</v>
      </c>
      <c r="B48" s="20">
        <f>SUM(B41:B47)</f>
        <v>7460887.3318579867</v>
      </c>
      <c r="C48" s="20">
        <f t="shared" ref="C48:E48" si="18">SUM(C41:C47)</f>
        <v>26766192.657695394</v>
      </c>
      <c r="D48" s="20">
        <f t="shared" si="18"/>
        <v>6520516.1324363248</v>
      </c>
      <c r="E48" s="20">
        <f t="shared" si="18"/>
        <v>23392578.290676113</v>
      </c>
    </row>
    <row r="49" spans="1:5" x14ac:dyDescent="0.25">
      <c r="A49" t="s">
        <v>86</v>
      </c>
      <c r="D49" s="65">
        <f>(C48-E48)/C48</f>
        <v>0.12604012868633943</v>
      </c>
      <c r="E49" s="65"/>
    </row>
  </sheetData>
  <mergeCells count="9">
    <mergeCell ref="B39:C39"/>
    <mergeCell ref="D39:E39"/>
    <mergeCell ref="A39:A40"/>
    <mergeCell ref="D49:E49"/>
    <mergeCell ref="B2:D2"/>
    <mergeCell ref="E2:G2"/>
    <mergeCell ref="E27:F27"/>
    <mergeCell ref="C27:D27"/>
    <mergeCell ref="A27:A2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W46"/>
  <sheetViews>
    <sheetView workbookViewId="0">
      <pane xSplit="1" ySplit="2" topLeftCell="N21" activePane="bottomRight" state="frozen"/>
      <selection pane="topRight" activeCell="B1" sqref="B1"/>
      <selection pane="bottomLeft" activeCell="A3" sqref="A3"/>
      <selection pane="bottomRight" activeCell="P21" sqref="P21"/>
    </sheetView>
  </sheetViews>
  <sheetFormatPr defaultRowHeight="15" x14ac:dyDescent="0.25"/>
  <cols>
    <col min="1" max="1" width="46.42578125" bestFit="1" customWidth="1"/>
    <col min="2" max="2" width="12.5703125" bestFit="1" customWidth="1"/>
    <col min="3" max="3" width="14.28515625" bestFit="1" customWidth="1"/>
    <col min="4" max="4" width="12.28515625" bestFit="1" customWidth="1"/>
    <col min="5" max="5" width="14.28515625" bestFit="1" customWidth="1"/>
    <col min="6" max="8" width="12.28515625" bestFit="1" customWidth="1"/>
    <col min="9" max="9" width="13.28515625" bestFit="1" customWidth="1"/>
    <col min="10" max="16" width="12.28515625" bestFit="1" customWidth="1"/>
    <col min="18" max="21" width="11.5703125" bestFit="1" customWidth="1"/>
    <col min="22" max="23" width="13.28515625" bestFit="1" customWidth="1"/>
  </cols>
  <sheetData>
    <row r="2" spans="1:23" x14ac:dyDescent="0.25">
      <c r="B2">
        <v>2016</v>
      </c>
      <c r="C2">
        <v>2017</v>
      </c>
      <c r="D2">
        <v>2018</v>
      </c>
      <c r="E2">
        <v>2019</v>
      </c>
      <c r="F2">
        <v>2020</v>
      </c>
      <c r="G2">
        <v>2021</v>
      </c>
      <c r="H2">
        <v>2022</v>
      </c>
      <c r="I2">
        <v>2023</v>
      </c>
      <c r="J2">
        <v>2024</v>
      </c>
      <c r="K2">
        <v>2025</v>
      </c>
      <c r="L2">
        <v>2026</v>
      </c>
      <c r="M2">
        <v>2027</v>
      </c>
      <c r="N2">
        <v>2028</v>
      </c>
      <c r="O2">
        <v>2029</v>
      </c>
      <c r="P2">
        <v>2030</v>
      </c>
      <c r="R2" s="52">
        <v>2010</v>
      </c>
      <c r="S2" s="52">
        <v>2011</v>
      </c>
      <c r="T2" s="52">
        <v>2012</v>
      </c>
      <c r="U2" s="52">
        <v>2013</v>
      </c>
      <c r="V2" s="52">
        <v>2014</v>
      </c>
      <c r="W2" s="52">
        <v>2015</v>
      </c>
    </row>
    <row r="3" spans="1:23" x14ac:dyDescent="0.25">
      <c r="A3" t="s">
        <v>0</v>
      </c>
      <c r="B3" s="1">
        <v>1150078</v>
      </c>
      <c r="C3" s="1">
        <f>B3+C4</f>
        <v>1218278</v>
      </c>
      <c r="D3" s="1">
        <f t="shared" ref="D3:P3" si="0">C3+D4</f>
        <v>1286478</v>
      </c>
      <c r="E3" s="1">
        <f t="shared" si="0"/>
        <v>1354678</v>
      </c>
      <c r="F3" s="1">
        <f t="shared" si="0"/>
        <v>1422878</v>
      </c>
      <c r="G3" s="1">
        <f t="shared" si="0"/>
        <v>1491078</v>
      </c>
      <c r="H3" s="1">
        <f t="shared" si="0"/>
        <v>1559278</v>
      </c>
      <c r="I3" s="1">
        <f t="shared" si="0"/>
        <v>1627478</v>
      </c>
      <c r="J3" s="1">
        <f t="shared" si="0"/>
        <v>1695678</v>
      </c>
      <c r="K3" s="1">
        <f t="shared" si="0"/>
        <v>1763878</v>
      </c>
      <c r="L3" s="1">
        <f t="shared" si="0"/>
        <v>1763878</v>
      </c>
      <c r="M3" s="1">
        <f t="shared" si="0"/>
        <v>1763878</v>
      </c>
      <c r="N3" s="1">
        <f t="shared" si="0"/>
        <v>1763878</v>
      </c>
      <c r="O3" s="1">
        <f t="shared" si="0"/>
        <v>1763878</v>
      </c>
      <c r="P3" s="1">
        <f t="shared" si="0"/>
        <v>1763878</v>
      </c>
      <c r="R3" s="1">
        <v>563561</v>
      </c>
      <c r="S3" s="1">
        <v>716320</v>
      </c>
      <c r="T3" s="1">
        <v>824413</v>
      </c>
      <c r="U3" s="1">
        <v>944826</v>
      </c>
      <c r="V3" s="1">
        <v>1020413</v>
      </c>
      <c r="W3" s="1">
        <v>1090106</v>
      </c>
    </row>
    <row r="4" spans="1:23" x14ac:dyDescent="0.25">
      <c r="A4" t="s">
        <v>2</v>
      </c>
      <c r="B4" s="1"/>
      <c r="C4" s="1">
        <v>68200</v>
      </c>
      <c r="D4" s="1">
        <f>C4</f>
        <v>68200</v>
      </c>
      <c r="E4" s="1">
        <f t="shared" ref="E4:K4" si="1">D4</f>
        <v>68200</v>
      </c>
      <c r="F4" s="1">
        <f t="shared" si="1"/>
        <v>68200</v>
      </c>
      <c r="G4" s="1">
        <f t="shared" si="1"/>
        <v>68200</v>
      </c>
      <c r="H4" s="1">
        <f t="shared" si="1"/>
        <v>68200</v>
      </c>
      <c r="I4" s="1">
        <f t="shared" si="1"/>
        <v>68200</v>
      </c>
      <c r="J4" s="1">
        <f t="shared" si="1"/>
        <v>68200</v>
      </c>
      <c r="K4" s="1">
        <f t="shared" si="1"/>
        <v>68200</v>
      </c>
      <c r="L4" s="1"/>
      <c r="M4" s="1"/>
      <c r="N4" s="1"/>
      <c r="O4" s="1"/>
      <c r="P4" s="1"/>
    </row>
    <row r="5" spans="1:23" x14ac:dyDescent="0.25">
      <c r="A5" t="s">
        <v>10</v>
      </c>
      <c r="B5" s="1">
        <v>384000</v>
      </c>
      <c r="C5" s="1">
        <f>B5-(B5/4)</f>
        <v>288000</v>
      </c>
      <c r="D5" s="1">
        <f>C5-(B5/4)</f>
        <v>192000</v>
      </c>
      <c r="E5" s="1">
        <f>D5-(B5/4)</f>
        <v>96000</v>
      </c>
      <c r="F5" s="1">
        <f>E5-(B5/4)</f>
        <v>0</v>
      </c>
      <c r="G5" s="1"/>
      <c r="H5" s="1"/>
      <c r="I5" s="1"/>
      <c r="J5" s="1"/>
      <c r="K5" s="1"/>
      <c r="L5" s="1"/>
      <c r="M5" s="1"/>
      <c r="N5" s="1"/>
      <c r="O5" s="1"/>
      <c r="P5" s="1"/>
    </row>
    <row r="6" spans="1:23" x14ac:dyDescent="0.25">
      <c r="A6" t="s">
        <v>11</v>
      </c>
      <c r="B6" s="1">
        <v>763900</v>
      </c>
      <c r="C6" s="1">
        <f>B6+(B5-C5)</f>
        <v>859900</v>
      </c>
      <c r="D6" s="1">
        <f>C6+(C5-D5)</f>
        <v>955900</v>
      </c>
      <c r="E6" s="1">
        <f>D6+(D5-E5)</f>
        <v>1051900</v>
      </c>
      <c r="F6" s="1">
        <f>E6+(E5-F5)</f>
        <v>1147900</v>
      </c>
      <c r="G6" s="1"/>
      <c r="H6" s="1"/>
      <c r="I6" s="1"/>
      <c r="J6" s="1"/>
      <c r="K6" s="1"/>
      <c r="L6" s="1"/>
      <c r="M6" s="1"/>
      <c r="N6" s="1"/>
      <c r="O6" s="1"/>
      <c r="P6" s="1"/>
    </row>
    <row r="7" spans="1:23" x14ac:dyDescent="0.25">
      <c r="A7" t="s">
        <v>4</v>
      </c>
      <c r="B7" s="1">
        <f>B6</f>
        <v>763900</v>
      </c>
      <c r="C7" s="1">
        <f>C6</f>
        <v>859900</v>
      </c>
      <c r="D7" s="1">
        <f>D6</f>
        <v>955900</v>
      </c>
      <c r="E7" s="1">
        <f>E6</f>
        <v>1051900</v>
      </c>
      <c r="F7" s="1">
        <f>F6</f>
        <v>1147900</v>
      </c>
      <c r="G7" s="1">
        <f>F6+C4</f>
        <v>1216100</v>
      </c>
      <c r="H7" s="1">
        <f>G7+D4</f>
        <v>1284300</v>
      </c>
      <c r="I7" s="1">
        <f t="shared" ref="I7:P7" si="2">H7+E4</f>
        <v>1352500</v>
      </c>
      <c r="J7" s="1">
        <f t="shared" si="2"/>
        <v>1420700</v>
      </c>
      <c r="K7" s="1">
        <f t="shared" si="2"/>
        <v>1488900</v>
      </c>
      <c r="L7" s="1">
        <f t="shared" si="2"/>
        <v>1557100</v>
      </c>
      <c r="M7" s="1">
        <f t="shared" si="2"/>
        <v>1625300</v>
      </c>
      <c r="N7" s="1">
        <f t="shared" si="2"/>
        <v>1693500</v>
      </c>
      <c r="O7" s="1">
        <f t="shared" si="2"/>
        <v>1761700</v>
      </c>
      <c r="P7" s="1">
        <f t="shared" si="2"/>
        <v>1761700</v>
      </c>
    </row>
    <row r="8" spans="1:23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23" x14ac:dyDescent="0.25">
      <c r="A9" t="s">
        <v>5</v>
      </c>
      <c r="B9">
        <v>14.946999999999999</v>
      </c>
      <c r="C9">
        <f>B9+0.625</f>
        <v>15.571999999999999</v>
      </c>
      <c r="D9">
        <f t="shared" ref="D9:O9" si="3">C9+0.625</f>
        <v>16.196999999999999</v>
      </c>
      <c r="E9">
        <f t="shared" si="3"/>
        <v>16.821999999999999</v>
      </c>
      <c r="F9">
        <f t="shared" si="3"/>
        <v>17.446999999999999</v>
      </c>
      <c r="G9">
        <f t="shared" si="3"/>
        <v>18.071999999999999</v>
      </c>
      <c r="H9">
        <f t="shared" si="3"/>
        <v>18.696999999999999</v>
      </c>
      <c r="I9">
        <f t="shared" si="3"/>
        <v>19.321999999999999</v>
      </c>
      <c r="J9">
        <f t="shared" si="3"/>
        <v>19.946999999999999</v>
      </c>
      <c r="K9">
        <f t="shared" si="3"/>
        <v>20.571999999999999</v>
      </c>
      <c r="L9">
        <f t="shared" si="3"/>
        <v>21.196999999999999</v>
      </c>
      <c r="M9">
        <f t="shared" si="3"/>
        <v>21.821999999999999</v>
      </c>
      <c r="N9">
        <f t="shared" si="3"/>
        <v>22.446999999999999</v>
      </c>
      <c r="O9">
        <f t="shared" si="3"/>
        <v>23.071999999999999</v>
      </c>
      <c r="P9" s="5">
        <v>23.7</v>
      </c>
    </row>
    <row r="10" spans="1:23" x14ac:dyDescent="0.25">
      <c r="A10" t="s">
        <v>6</v>
      </c>
      <c r="B10" s="2">
        <f>B7*B9</f>
        <v>11418013.299999999</v>
      </c>
      <c r="C10" s="2">
        <f t="shared" ref="C10:P10" si="4">C7*C9</f>
        <v>13390362.799999999</v>
      </c>
      <c r="D10" s="2">
        <f t="shared" si="4"/>
        <v>15482712.299999999</v>
      </c>
      <c r="E10" s="2">
        <f t="shared" si="4"/>
        <v>17695061.800000001</v>
      </c>
      <c r="F10" s="2">
        <f t="shared" si="4"/>
        <v>20027411.300000001</v>
      </c>
      <c r="G10" s="2">
        <f t="shared" si="4"/>
        <v>21977359.199999999</v>
      </c>
      <c r="H10" s="2">
        <f t="shared" si="4"/>
        <v>24012557.099999998</v>
      </c>
      <c r="I10" s="2">
        <f t="shared" si="4"/>
        <v>26133005</v>
      </c>
      <c r="J10" s="2">
        <f t="shared" si="4"/>
        <v>28338702.899999999</v>
      </c>
      <c r="K10" s="2">
        <f t="shared" si="4"/>
        <v>30629650.799999997</v>
      </c>
      <c r="L10" s="2">
        <f t="shared" si="4"/>
        <v>33005848.699999999</v>
      </c>
      <c r="M10" s="2">
        <f t="shared" si="4"/>
        <v>35467296.600000001</v>
      </c>
      <c r="N10" s="2">
        <f t="shared" si="4"/>
        <v>38013994.5</v>
      </c>
      <c r="O10" s="2">
        <f t="shared" si="4"/>
        <v>40645942.399999999</v>
      </c>
      <c r="P10" s="2">
        <f t="shared" si="4"/>
        <v>41752290</v>
      </c>
    </row>
    <row r="11" spans="1:23" x14ac:dyDescent="0.25">
      <c r="A11" t="s">
        <v>7</v>
      </c>
      <c r="B11" s="2">
        <f>B10*21/10^3</f>
        <v>239778.27929999999</v>
      </c>
      <c r="C11" s="2">
        <f t="shared" ref="C11:P11" si="5">C10*21/10^3</f>
        <v>281197.61879999994</v>
      </c>
      <c r="D11" s="2">
        <f t="shared" si="5"/>
        <v>325136.95829999994</v>
      </c>
      <c r="E11" s="2">
        <f t="shared" si="5"/>
        <v>371596.2978</v>
      </c>
      <c r="F11" s="2">
        <f t="shared" si="5"/>
        <v>420575.6373</v>
      </c>
      <c r="G11" s="2">
        <f t="shared" si="5"/>
        <v>461524.54320000001</v>
      </c>
      <c r="H11" s="2">
        <f t="shared" si="5"/>
        <v>504263.69909999997</v>
      </c>
      <c r="I11" s="2">
        <f t="shared" si="5"/>
        <v>548793.10499999998</v>
      </c>
      <c r="J11" s="2">
        <f t="shared" si="5"/>
        <v>595112.76089999999</v>
      </c>
      <c r="K11" s="2">
        <f t="shared" si="5"/>
        <v>643222.66680000001</v>
      </c>
      <c r="L11" s="2">
        <f t="shared" si="5"/>
        <v>693122.8226999999</v>
      </c>
      <c r="M11" s="2">
        <f t="shared" si="5"/>
        <v>744813.22860000003</v>
      </c>
      <c r="N11" s="2">
        <f t="shared" si="5"/>
        <v>798293.88450000004</v>
      </c>
      <c r="O11" s="2">
        <f t="shared" si="5"/>
        <v>853564.79039999994</v>
      </c>
      <c r="P11" s="2">
        <f t="shared" si="5"/>
        <v>876798.09</v>
      </c>
    </row>
    <row r="12" spans="1:23" x14ac:dyDescent="0.25">
      <c r="A12" t="s">
        <v>8</v>
      </c>
      <c r="B12" s="2">
        <f>B11/6329</f>
        <v>37.885650071101281</v>
      </c>
      <c r="C12" s="2">
        <f t="shared" ref="C12:P12" si="6">C11/6329</f>
        <v>44.430023510823183</v>
      </c>
      <c r="D12" s="2">
        <f t="shared" si="6"/>
        <v>51.372564117554106</v>
      </c>
      <c r="E12" s="2">
        <f t="shared" si="6"/>
        <v>58.713271891294042</v>
      </c>
      <c r="F12" s="2">
        <f t="shared" si="6"/>
        <v>66.45214683204297</v>
      </c>
      <c r="G12" s="2">
        <f t="shared" si="6"/>
        <v>72.922190425027651</v>
      </c>
      <c r="H12" s="2">
        <f t="shared" si="6"/>
        <v>79.675098609574974</v>
      </c>
      <c r="I12" s="2">
        <f t="shared" si="6"/>
        <v>86.710871385684939</v>
      </c>
      <c r="J12" s="2">
        <f t="shared" si="6"/>
        <v>94.029508753357561</v>
      </c>
      <c r="K12" s="2">
        <f t="shared" si="6"/>
        <v>101.63101071259283</v>
      </c>
      <c r="L12" s="2">
        <f t="shared" si="6"/>
        <v>109.51537726339073</v>
      </c>
      <c r="M12" s="2">
        <f t="shared" si="6"/>
        <v>117.68260840575131</v>
      </c>
      <c r="N12" s="2">
        <f t="shared" si="6"/>
        <v>126.13270413967452</v>
      </c>
      <c r="O12" s="2">
        <f t="shared" si="6"/>
        <v>134.86566446516036</v>
      </c>
      <c r="P12" s="2">
        <f t="shared" si="6"/>
        <v>138.53659187865381</v>
      </c>
    </row>
    <row r="13" spans="1:23" x14ac:dyDescent="0.25">
      <c r="B13" s="2"/>
    </row>
    <row r="14" spans="1:23" x14ac:dyDescent="0.25">
      <c r="A14" t="s">
        <v>9</v>
      </c>
      <c r="B14" s="2">
        <f t="shared" ref="B14:P14" si="7">B10/170000</f>
        <v>67.164784117647059</v>
      </c>
      <c r="C14" s="2">
        <f t="shared" si="7"/>
        <v>78.766839999999988</v>
      </c>
      <c r="D14" s="2">
        <f t="shared" si="7"/>
        <v>91.074778235294104</v>
      </c>
      <c r="E14" s="2">
        <f t="shared" si="7"/>
        <v>104.08859882352941</v>
      </c>
      <c r="F14" s="2">
        <f t="shared" si="7"/>
        <v>117.80830176470589</v>
      </c>
      <c r="G14" s="2">
        <f t="shared" si="7"/>
        <v>129.27858352941175</v>
      </c>
      <c r="H14" s="2">
        <f t="shared" si="7"/>
        <v>141.25033588235291</v>
      </c>
      <c r="I14" s="2">
        <f t="shared" si="7"/>
        <v>153.7235588235294</v>
      </c>
      <c r="J14" s="2">
        <f t="shared" si="7"/>
        <v>166.69825235294115</v>
      </c>
      <c r="K14" s="2">
        <f t="shared" si="7"/>
        <v>180.17441647058823</v>
      </c>
      <c r="L14" s="2">
        <f t="shared" si="7"/>
        <v>194.15205117647059</v>
      </c>
      <c r="M14" s="2">
        <f t="shared" si="7"/>
        <v>208.63115647058825</v>
      </c>
      <c r="N14" s="2">
        <f t="shared" si="7"/>
        <v>223.61173235294117</v>
      </c>
      <c r="O14" s="2">
        <f t="shared" si="7"/>
        <v>239.09377882352939</v>
      </c>
      <c r="P14" s="2">
        <f t="shared" si="7"/>
        <v>245.60170588235295</v>
      </c>
    </row>
    <row r="15" spans="1:23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7" spans="1:23" x14ac:dyDescent="0.25">
      <c r="A17" s="12" t="s">
        <v>71</v>
      </c>
      <c r="B17" s="10">
        <f t="shared" ref="B17:P17" si="8">B2</f>
        <v>2016</v>
      </c>
      <c r="C17" s="10">
        <f t="shared" si="8"/>
        <v>2017</v>
      </c>
      <c r="D17" s="10">
        <f t="shared" si="8"/>
        <v>2018</v>
      </c>
      <c r="E17" s="10">
        <f t="shared" si="8"/>
        <v>2019</v>
      </c>
      <c r="F17" s="10">
        <f t="shared" si="8"/>
        <v>2020</v>
      </c>
      <c r="G17" s="10">
        <f t="shared" si="8"/>
        <v>2021</v>
      </c>
      <c r="H17" s="10">
        <f t="shared" si="8"/>
        <v>2022</v>
      </c>
      <c r="I17" s="10">
        <f t="shared" si="8"/>
        <v>2023</v>
      </c>
      <c r="J17" s="10">
        <f t="shared" si="8"/>
        <v>2024</v>
      </c>
      <c r="K17" s="10">
        <f t="shared" si="8"/>
        <v>2025</v>
      </c>
      <c r="L17" s="10">
        <f t="shared" si="8"/>
        <v>2026</v>
      </c>
      <c r="M17" s="10">
        <f t="shared" si="8"/>
        <v>2027</v>
      </c>
      <c r="N17" s="10">
        <f t="shared" si="8"/>
        <v>2028</v>
      </c>
      <c r="O17" s="10">
        <f t="shared" si="8"/>
        <v>2029</v>
      </c>
      <c r="P17" s="10">
        <f t="shared" si="8"/>
        <v>2030</v>
      </c>
      <c r="R17" s="52">
        <v>2010</v>
      </c>
      <c r="S17" s="52">
        <v>2011</v>
      </c>
      <c r="T17" s="52">
        <v>2012</v>
      </c>
      <c r="U17" s="52">
        <v>2013</v>
      </c>
      <c r="V17" s="52">
        <v>2014</v>
      </c>
      <c r="W17" s="52">
        <v>2015</v>
      </c>
    </row>
    <row r="18" spans="1:23" x14ac:dyDescent="0.25">
      <c r="A18" t="s">
        <v>53</v>
      </c>
      <c r="H18" s="4"/>
      <c r="I18" s="4"/>
      <c r="P18" s="7"/>
    </row>
    <row r="19" spans="1:23" x14ac:dyDescent="0.25">
      <c r="A19" s="9" t="s">
        <v>61</v>
      </c>
      <c r="B19" s="53">
        <f>B3*'Emisi GRK'!$B$35</f>
        <v>370325.11600000004</v>
      </c>
      <c r="C19" s="2">
        <f>C3*'Emisi GRK'!C35</f>
        <v>392285.516</v>
      </c>
      <c r="D19" s="2">
        <f>D3*'Emisi GRK'!D35</f>
        <v>414245.91600000003</v>
      </c>
      <c r="E19" s="2">
        <f>E3*'Emisi GRK'!E35</f>
        <v>436206.31599999999</v>
      </c>
      <c r="F19" s="2">
        <f>F3*'Emisi GRK'!F35</f>
        <v>458166.71600000001</v>
      </c>
      <c r="G19" s="2">
        <f>G3*'Emisi GRK'!G35</f>
        <v>480127.11600000004</v>
      </c>
      <c r="H19" s="2">
        <f>H3*'Emisi GRK'!H35</f>
        <v>502087.516</v>
      </c>
      <c r="I19" s="2">
        <f>I3*'Emisi GRK'!I35</f>
        <v>524047.91600000003</v>
      </c>
      <c r="J19" s="2">
        <f>J3*'Emisi GRK'!J35</f>
        <v>546008.31599999999</v>
      </c>
      <c r="K19" s="2">
        <f>K3*'Emisi GRK'!K35</f>
        <v>567968.71600000001</v>
      </c>
      <c r="L19" s="2">
        <f>L3*'Emisi GRK'!L35</f>
        <v>567968.71600000001</v>
      </c>
      <c r="M19" s="2">
        <f>M3*'Emisi GRK'!M35</f>
        <v>567968.71600000001</v>
      </c>
      <c r="N19" s="2">
        <f>N3*'Emisi GRK'!N35</f>
        <v>567968.71600000001</v>
      </c>
      <c r="O19" s="2">
        <f>O3*'Emisi GRK'!O35</f>
        <v>567968.71600000001</v>
      </c>
      <c r="P19" s="2">
        <f>P3*'Emisi GRK'!P35</f>
        <v>567968.71600000001</v>
      </c>
      <c r="Q19" s="2"/>
      <c r="R19" s="11">
        <f>R3*'Emisi GRK'!$B$35</f>
        <v>181466.64199999999</v>
      </c>
      <c r="S19" s="11">
        <f>S3*'Emisi GRK'!$B$35</f>
        <v>230655.04</v>
      </c>
      <c r="T19" s="11">
        <f>T3*'Emisi GRK'!$B$35</f>
        <v>265460.98600000003</v>
      </c>
      <c r="U19" s="11">
        <f>U3*'Emisi GRK'!$B$35</f>
        <v>304233.97200000001</v>
      </c>
      <c r="V19" s="11">
        <f>V3*'Emisi GRK'!$B$35</f>
        <v>328572.98600000003</v>
      </c>
      <c r="W19" s="11">
        <f>W3*'Emisi GRK'!$B$35</f>
        <v>351014.13199999998</v>
      </c>
    </row>
    <row r="20" spans="1:23" x14ac:dyDescent="0.25">
      <c r="A20" s="9" t="s">
        <v>62</v>
      </c>
      <c r="B20" s="2">
        <f>B19*46%</f>
        <v>170349.55336000002</v>
      </c>
      <c r="C20" s="2">
        <f t="shared" ref="C20:W20" si="9">C19*46%</f>
        <v>180451.33736</v>
      </c>
      <c r="D20" s="2">
        <f t="shared" si="9"/>
        <v>190553.12136000002</v>
      </c>
      <c r="E20" s="2">
        <f t="shared" si="9"/>
        <v>200654.90536</v>
      </c>
      <c r="F20" s="2">
        <f t="shared" si="9"/>
        <v>210756.68936000002</v>
      </c>
      <c r="G20" s="2">
        <f t="shared" si="9"/>
        <v>220858.47336000003</v>
      </c>
      <c r="H20" s="2">
        <f t="shared" si="9"/>
        <v>230960.25736000002</v>
      </c>
      <c r="I20" s="2">
        <f t="shared" si="9"/>
        <v>241062.04136000003</v>
      </c>
      <c r="J20" s="2">
        <f t="shared" si="9"/>
        <v>251163.82536000002</v>
      </c>
      <c r="K20" s="2">
        <f t="shared" si="9"/>
        <v>261265.60936000003</v>
      </c>
      <c r="L20" s="2">
        <f t="shared" si="9"/>
        <v>261265.60936000003</v>
      </c>
      <c r="M20" s="2">
        <f t="shared" si="9"/>
        <v>261265.60936000003</v>
      </c>
      <c r="N20" s="2">
        <f t="shared" si="9"/>
        <v>261265.60936000003</v>
      </c>
      <c r="O20" s="2">
        <f t="shared" si="9"/>
        <v>261265.60936000003</v>
      </c>
      <c r="P20" s="2">
        <f t="shared" si="9"/>
        <v>261265.60936000003</v>
      </c>
      <c r="R20" s="2">
        <f t="shared" si="9"/>
        <v>83474.655320000005</v>
      </c>
      <c r="S20" s="2">
        <f t="shared" si="9"/>
        <v>106101.3184</v>
      </c>
      <c r="T20" s="2">
        <f t="shared" si="9"/>
        <v>122112.05356000001</v>
      </c>
      <c r="U20" s="2">
        <f t="shared" si="9"/>
        <v>139947.62712000002</v>
      </c>
      <c r="V20" s="2">
        <f t="shared" si="9"/>
        <v>151143.57356000002</v>
      </c>
      <c r="W20" s="2">
        <f t="shared" si="9"/>
        <v>161466.50072000001</v>
      </c>
    </row>
    <row r="21" spans="1:23" x14ac:dyDescent="0.25">
      <c r="A21" t="s">
        <v>63</v>
      </c>
      <c r="B21" s="2">
        <f>B19*'Emisi GRK'!$B$37*44/12</f>
        <v>271571.7517333334</v>
      </c>
      <c r="C21" s="2">
        <f>C19*'Emisi GRK'!C37*44/12</f>
        <v>287676.04506666667</v>
      </c>
      <c r="D21" s="2">
        <f>D19*'Emisi GRK'!D37*44/12</f>
        <v>303780.33840000007</v>
      </c>
      <c r="E21" s="2">
        <f>E19*'Emisi GRK'!E37*44/12</f>
        <v>319884.63173333334</v>
      </c>
      <c r="F21" s="2">
        <f>F19*'Emisi GRK'!F37*44/12</f>
        <v>335988.92506666668</v>
      </c>
      <c r="G21" s="2">
        <f>G19*'Emisi GRK'!G37*44/12</f>
        <v>352093.21840000007</v>
      </c>
      <c r="H21" s="2">
        <f>H19*'Emisi GRK'!H37*44/12</f>
        <v>368197.51173333335</v>
      </c>
      <c r="I21" s="2">
        <f>I19*'Emisi GRK'!I37*44/12</f>
        <v>384301.80506666674</v>
      </c>
      <c r="J21" s="2">
        <f>J19*'Emisi GRK'!J37*44/12</f>
        <v>400406.09840000002</v>
      </c>
      <c r="K21" s="2">
        <f>K19*'Emisi GRK'!K37*44/12</f>
        <v>416510.39173333341</v>
      </c>
      <c r="L21" s="2">
        <f>L19*'Emisi GRK'!L37*44/12</f>
        <v>416510.39173333341</v>
      </c>
      <c r="M21" s="2">
        <f>M19*'Emisi GRK'!M37*44/12</f>
        <v>416510.39173333341</v>
      </c>
      <c r="N21" s="2">
        <f>N19*'Emisi GRK'!N37*44/12</f>
        <v>416510.39173333341</v>
      </c>
      <c r="O21" s="2">
        <f>O19*'Emisi GRK'!O37*44/12</f>
        <v>416510.39173333341</v>
      </c>
      <c r="P21" s="2">
        <f>P19*'Emisi GRK'!P37*44/12</f>
        <v>416510.39173333341</v>
      </c>
      <c r="R21" s="2">
        <f>R19*'Emisi GRK'!$B$37*44/12</f>
        <v>133075.53746666666</v>
      </c>
      <c r="S21" s="2">
        <f>S19*'Emisi GRK'!$B$37*44/12</f>
        <v>169147.02933333334</v>
      </c>
      <c r="T21" s="2">
        <f>T19*'Emisi GRK'!$B$37*44/12</f>
        <v>194671.38973333337</v>
      </c>
      <c r="U21" s="2">
        <f>U19*'Emisi GRK'!$B$37*44/12</f>
        <v>223104.91280000002</v>
      </c>
      <c r="V21" s="2">
        <f>V19*'Emisi GRK'!$B$37*44/12</f>
        <v>240953.52306666668</v>
      </c>
      <c r="W21" s="2">
        <f>W19*'Emisi GRK'!$B$37*44/12</f>
        <v>257410.36346666669</v>
      </c>
    </row>
    <row r="22" spans="1:23" x14ac:dyDescent="0.25">
      <c r="A22" t="s">
        <v>64</v>
      </c>
      <c r="B22" s="11">
        <f>B20*'Emisi GRK'!$B$38*44/28*298</f>
        <v>797722.62273440021</v>
      </c>
      <c r="C22" s="11">
        <f>C20*'Emisi GRK'!C38*44/28*298</f>
        <v>845027.83409439994</v>
      </c>
      <c r="D22" s="11">
        <f>D20*'Emisi GRK'!D38*44/28*298</f>
        <v>892333.04545440013</v>
      </c>
      <c r="E22" s="11">
        <f>E20*'Emisi GRK'!E38*44/28*298</f>
        <v>939638.25681439997</v>
      </c>
      <c r="F22" s="11">
        <f>F20*'Emisi GRK'!F38*44/28*298</f>
        <v>986943.46817440004</v>
      </c>
      <c r="G22" s="11">
        <f>G20*'Emisi GRK'!G38*44/28*298</f>
        <v>1034248.6795344001</v>
      </c>
      <c r="H22" s="11">
        <f>H20*'Emisi GRK'!H38*44/28*298</f>
        <v>1081553.8908944</v>
      </c>
      <c r="I22" s="11">
        <f>I20*'Emisi GRK'!I38*44/28*298</f>
        <v>1128859.1022544003</v>
      </c>
      <c r="J22" s="11">
        <f>J20*'Emisi GRK'!J38*44/28*298</f>
        <v>1176164.3136144001</v>
      </c>
      <c r="K22" s="11">
        <f>K20*'Emisi GRK'!K38*44/28*298</f>
        <v>1223469.5249744002</v>
      </c>
      <c r="L22" s="11">
        <f>L20*'Emisi GRK'!L38*44/28*298</f>
        <v>1223469.5249744002</v>
      </c>
      <c r="M22" s="11">
        <f>M20*'Emisi GRK'!M38*44/28*298</f>
        <v>1223469.5249744002</v>
      </c>
      <c r="N22" s="11">
        <f>N20*'Emisi GRK'!N38*44/28*298</f>
        <v>1223469.5249744002</v>
      </c>
      <c r="O22" s="11">
        <f>O20*'Emisi GRK'!O38*44/28*298</f>
        <v>1223469.5249744002</v>
      </c>
      <c r="P22" s="11">
        <f>P20*'Emisi GRK'!P38*44/28*298</f>
        <v>1223469.5249744002</v>
      </c>
      <c r="R22" s="11">
        <f>R20*'Emisi GRK'!$B$38*44/28*298</f>
        <v>390899.88591280003</v>
      </c>
      <c r="S22" s="11">
        <f>S20*'Emisi GRK'!$B$38*44/28*298</f>
        <v>496857.31673600001</v>
      </c>
      <c r="T22" s="11">
        <f>T20*'Emisi GRK'!$B$38*44/28*298</f>
        <v>571833.30224240012</v>
      </c>
      <c r="U22" s="11">
        <f>U20*'Emisi GRK'!$B$38*44/28*298</f>
        <v>655354.74528480007</v>
      </c>
      <c r="V22" s="11">
        <f>V20*'Emisi GRK'!$B$38*44/28*298</f>
        <v>707783.76304240013</v>
      </c>
      <c r="W22" s="11">
        <f>W20*'Emisi GRK'!$B$38*44/28*298</f>
        <v>756124.55622880009</v>
      </c>
    </row>
    <row r="23" spans="1:23" x14ac:dyDescent="0.25">
      <c r="A23" t="s">
        <v>65</v>
      </c>
      <c r="B23" s="53">
        <f>B20*'Emisi GRK'!$B$39*44/28*298</f>
        <v>259259.85238868001</v>
      </c>
      <c r="C23" s="2">
        <f>C20*'Emisi GRK'!C39*44/28*298</f>
        <v>274634.04608067998</v>
      </c>
      <c r="D23" s="2">
        <f>D20*'Emisi GRK'!D39*44/28*298</f>
        <v>290008.23977267998</v>
      </c>
      <c r="E23" s="2">
        <f>E20*'Emisi GRK'!E39*44/28*298</f>
        <v>305382.43346467998</v>
      </c>
      <c r="F23" s="2">
        <f>F20*'Emisi GRK'!F39*44/28*298</f>
        <v>320756.62715667998</v>
      </c>
      <c r="G23" s="2">
        <f>G20*'Emisi GRK'!G39*44/28*298</f>
        <v>336130.82084868004</v>
      </c>
      <c r="H23" s="2">
        <f>H20*'Emisi GRK'!H39*44/28*298</f>
        <v>351505.01454067999</v>
      </c>
      <c r="I23" s="2">
        <f>I20*'Emisi GRK'!I39*44/28*298</f>
        <v>366879.20823268004</v>
      </c>
      <c r="J23" s="2">
        <f>J20*'Emisi GRK'!J39*44/28*298</f>
        <v>382253.40192467999</v>
      </c>
      <c r="K23" s="2">
        <f>K20*'Emisi GRK'!K39*44/28*298</f>
        <v>397627.59561667999</v>
      </c>
      <c r="L23" s="2">
        <f>L20*'Emisi GRK'!L39*44/28*298</f>
        <v>397627.59561667999</v>
      </c>
      <c r="M23" s="2">
        <f>M20*'Emisi GRK'!M39*44/28*298</f>
        <v>397627.59561667999</v>
      </c>
      <c r="N23" s="2">
        <f>N20*'Emisi GRK'!N39*44/28*298</f>
        <v>397627.59561667999</v>
      </c>
      <c r="O23" s="2">
        <f>O20*'Emisi GRK'!O39*44/28*298</f>
        <v>397627.59561667999</v>
      </c>
      <c r="P23" s="2">
        <f>P20*'Emisi GRK'!P39*44/28*298</f>
        <v>397627.59561667999</v>
      </c>
      <c r="R23" s="53">
        <f>R20*'Emisi GRK'!$B$39*44/28*298</f>
        <v>127042.46292166</v>
      </c>
      <c r="S23" s="53">
        <f>S20*'Emisi GRK'!$B$39*44/28*298</f>
        <v>161478.6279392</v>
      </c>
      <c r="T23" s="53">
        <f>T20*'Emisi GRK'!$B$39*44/28*298</f>
        <v>185845.82322878001</v>
      </c>
      <c r="U23" s="53">
        <f>U20*'Emisi GRK'!$B$39*44/28*298</f>
        <v>212990.29221756005</v>
      </c>
      <c r="V23" s="53">
        <f>V20*'Emisi GRK'!$B$39*44/28*298</f>
        <v>230029.72298878001</v>
      </c>
      <c r="W23" s="53">
        <f>W20*'Emisi GRK'!$B$39*44/28*298</f>
        <v>245740.48077435998</v>
      </c>
    </row>
    <row r="24" spans="1:23" x14ac:dyDescent="0.25">
      <c r="A24" t="s">
        <v>66</v>
      </c>
      <c r="B24" s="2">
        <f>SUM(B21:B23)</f>
        <v>1328554.2268564135</v>
      </c>
      <c r="C24" s="2">
        <f t="shared" ref="C24:P24" si="10">SUM(C21:C23)</f>
        <v>1407337.9252417465</v>
      </c>
      <c r="D24" s="2">
        <f t="shared" si="10"/>
        <v>1486121.6236270801</v>
      </c>
      <c r="E24" s="2">
        <f t="shared" si="10"/>
        <v>1564905.3220124133</v>
      </c>
      <c r="F24" s="2">
        <f t="shared" si="10"/>
        <v>1643689.0203977467</v>
      </c>
      <c r="G24" s="2">
        <f t="shared" si="10"/>
        <v>1722472.7187830803</v>
      </c>
      <c r="H24" s="2">
        <f t="shared" si="10"/>
        <v>1801256.4171684133</v>
      </c>
      <c r="I24" s="2">
        <f t="shared" si="10"/>
        <v>1880040.1155537472</v>
      </c>
      <c r="J24" s="2">
        <f t="shared" si="10"/>
        <v>1958823.8139390801</v>
      </c>
      <c r="K24" s="2">
        <f t="shared" si="10"/>
        <v>2037607.5123244138</v>
      </c>
      <c r="L24" s="2">
        <f t="shared" si="10"/>
        <v>2037607.5123244138</v>
      </c>
      <c r="M24" s="2">
        <f t="shared" si="10"/>
        <v>2037607.5123244138</v>
      </c>
      <c r="N24" s="2">
        <f t="shared" si="10"/>
        <v>2037607.5123244138</v>
      </c>
      <c r="O24" s="2">
        <f t="shared" si="10"/>
        <v>2037607.5123244138</v>
      </c>
      <c r="P24" s="2">
        <f t="shared" si="10"/>
        <v>2037607.5123244138</v>
      </c>
      <c r="R24" s="2">
        <f t="shared" ref="R24:W24" si="11">SUM(R21:R23)</f>
        <v>651017.88630112668</v>
      </c>
      <c r="S24" s="2">
        <f t="shared" si="11"/>
        <v>827482.97400853341</v>
      </c>
      <c r="T24" s="2">
        <f t="shared" si="11"/>
        <v>952350.51520451345</v>
      </c>
      <c r="U24" s="2">
        <f t="shared" si="11"/>
        <v>1091449.9503023601</v>
      </c>
      <c r="V24" s="2">
        <f t="shared" si="11"/>
        <v>1178767.0090978467</v>
      </c>
      <c r="W24" s="2">
        <f t="shared" si="11"/>
        <v>1259275.4004698268</v>
      </c>
    </row>
    <row r="25" spans="1:23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23" x14ac:dyDescent="0.25">
      <c r="A26" s="12" t="s">
        <v>72</v>
      </c>
    </row>
    <row r="27" spans="1:23" x14ac:dyDescent="0.25">
      <c r="A27" t="s">
        <v>73</v>
      </c>
      <c r="B27" s="11">
        <f>B3*'Rekab Kab'!B25</f>
        <v>57503.9</v>
      </c>
      <c r="C27" s="2">
        <f>C3*'Rekab Kab'!C25</f>
        <v>121827.8</v>
      </c>
      <c r="D27" s="2">
        <f>D3*'Rekab Kab'!D25</f>
        <v>192971.70000000004</v>
      </c>
      <c r="E27" s="2">
        <f>E3*'Rekab Kab'!E25</f>
        <v>270935.60000000003</v>
      </c>
      <c r="F27" s="2">
        <f>F3*'Rekab Kab'!F25</f>
        <v>355719.5</v>
      </c>
      <c r="G27" s="2">
        <f>G3*'Rekab Kab'!G25</f>
        <v>469689.57</v>
      </c>
      <c r="H27" s="2">
        <f>H3*'Rekab Kab'!H25</f>
        <v>592525.64</v>
      </c>
      <c r="I27" s="2">
        <f>I3*'Rekab Kab'!I25</f>
        <v>724227.71</v>
      </c>
      <c r="J27" s="2">
        <f>J3*'Rekab Kab'!J25</f>
        <v>864795.78</v>
      </c>
      <c r="K27" s="2">
        <f>K3*'Rekab Kab'!K25</f>
        <v>1014229.85</v>
      </c>
      <c r="L27" s="2">
        <f>L3*'Rekab Kab'!L25</f>
        <v>1128881.92</v>
      </c>
      <c r="M27" s="2">
        <f>M3*'Rekab Kab'!M25</f>
        <v>1243533.9899999998</v>
      </c>
      <c r="N27" s="2">
        <f>N3*'Rekab Kab'!N25</f>
        <v>1358186.0599999996</v>
      </c>
      <c r="O27" s="2">
        <f>O3*'Rekab Kab'!O25</f>
        <v>1472838.1299999997</v>
      </c>
      <c r="P27" s="2">
        <f>P3*'Rekab Kab'!P25</f>
        <v>1587490.2</v>
      </c>
    </row>
    <row r="28" spans="1:23" x14ac:dyDescent="0.25">
      <c r="A28" t="s">
        <v>88</v>
      </c>
      <c r="B28" s="2">
        <f>B3-B27</f>
        <v>1092574.1000000001</v>
      </c>
      <c r="C28" s="2">
        <f t="shared" ref="C28:P28" si="12">C3-C27</f>
        <v>1096450.2</v>
      </c>
      <c r="D28" s="2">
        <f t="shared" si="12"/>
        <v>1093506.3</v>
      </c>
      <c r="E28" s="2">
        <f t="shared" si="12"/>
        <v>1083742.3999999999</v>
      </c>
      <c r="F28" s="2">
        <f t="shared" si="12"/>
        <v>1067158.5</v>
      </c>
      <c r="G28" s="2">
        <f t="shared" si="12"/>
        <v>1021388.4299999999</v>
      </c>
      <c r="H28" s="2">
        <f t="shared" si="12"/>
        <v>966752.36</v>
      </c>
      <c r="I28" s="2">
        <f t="shared" si="12"/>
        <v>903250.29</v>
      </c>
      <c r="J28" s="2">
        <f t="shared" si="12"/>
        <v>830882.22</v>
      </c>
      <c r="K28" s="2">
        <f t="shared" si="12"/>
        <v>749648.15</v>
      </c>
      <c r="L28" s="2">
        <f t="shared" si="12"/>
        <v>634996.08000000007</v>
      </c>
      <c r="M28" s="2">
        <f t="shared" si="12"/>
        <v>520344.01000000024</v>
      </c>
      <c r="N28" s="2">
        <f t="shared" si="12"/>
        <v>405691.94000000041</v>
      </c>
      <c r="O28" s="2">
        <f t="shared" si="12"/>
        <v>291039.87000000034</v>
      </c>
      <c r="P28" s="2">
        <f t="shared" si="12"/>
        <v>176387.80000000005</v>
      </c>
    </row>
    <row r="29" spans="1:23" x14ac:dyDescent="0.25">
      <c r="A29" t="s">
        <v>53</v>
      </c>
    </row>
    <row r="30" spans="1:23" x14ac:dyDescent="0.25">
      <c r="A30" s="9" t="s">
        <v>61</v>
      </c>
      <c r="B30" s="7">
        <f>(B27*'Emisi GRK'!B36)+('Emisi GRK'!B35*B28)</f>
        <v>365552.29230000003</v>
      </c>
      <c r="C30" s="7">
        <f>(C27*'Emisi GRK'!C36)+('Emisi GRK'!C35*C28)</f>
        <v>382173.80859999999</v>
      </c>
      <c r="D30" s="7">
        <f>(D27*'Emisi GRK'!D36)+('Emisi GRK'!D35*D28)</f>
        <v>398229.26490000001</v>
      </c>
      <c r="E30" s="7">
        <f>(E27*'Emisi GRK'!E36)+('Emisi GRK'!E35*E28)</f>
        <v>413718.66120000003</v>
      </c>
      <c r="F30" s="7">
        <f>(F27*'Emisi GRK'!F36)+('Emisi GRK'!F35*F28)</f>
        <v>428641.9975</v>
      </c>
      <c r="G30" s="7">
        <f>(G27*'Emisi GRK'!G36)+('Emisi GRK'!G35*G28)</f>
        <v>441142.88168999995</v>
      </c>
      <c r="H30" s="7">
        <f>(H27*'Emisi GRK'!H36)+('Emisi GRK'!H35*H28)</f>
        <v>452907.88787999994</v>
      </c>
      <c r="I30" s="7">
        <f>(I27*'Emisi GRK'!I36)+('Emisi GRK'!I35*I28)</f>
        <v>463937.01607000001</v>
      </c>
      <c r="J30" s="7">
        <f>(J27*'Emisi GRK'!J36)+('Emisi GRK'!J35*J28)</f>
        <v>474230.26626</v>
      </c>
      <c r="K30" s="7">
        <f>(K27*'Emisi GRK'!K36)+('Emisi GRK'!K35*K28)</f>
        <v>483787.63844999997</v>
      </c>
      <c r="L30" s="7">
        <f>(L27*'Emisi GRK'!L36)+('Emisi GRK'!L35*L28)</f>
        <v>474271.51664000005</v>
      </c>
      <c r="M30" s="7">
        <f>(M27*'Emisi GRK'!M36)+('Emisi GRK'!M35*M28)</f>
        <v>464755.39483</v>
      </c>
      <c r="N30" s="7">
        <f>(N27*'Emisi GRK'!N36)+('Emisi GRK'!N35*N28)</f>
        <v>455239.27302000002</v>
      </c>
      <c r="O30" s="7">
        <f>(O27*'Emisi GRK'!O36)+('Emisi GRK'!O35*O28)</f>
        <v>445723.15121000004</v>
      </c>
      <c r="P30" s="7">
        <f>(P27*'Emisi GRK'!P36)+('Emisi GRK'!P35*P28)</f>
        <v>436207.0294</v>
      </c>
    </row>
    <row r="31" spans="1:23" x14ac:dyDescent="0.25">
      <c r="A31" s="9" t="s">
        <v>62</v>
      </c>
      <c r="B31" s="2">
        <f>B30*46%</f>
        <v>168154.05445800003</v>
      </c>
      <c r="C31" s="2">
        <f t="shared" ref="C31:P31" si="13">C30*46%</f>
        <v>175799.951956</v>
      </c>
      <c r="D31" s="2">
        <f t="shared" si="13"/>
        <v>183185.46185400002</v>
      </c>
      <c r="E31" s="2">
        <f t="shared" si="13"/>
        <v>190310.58415200002</v>
      </c>
      <c r="F31" s="2">
        <f t="shared" si="13"/>
        <v>197175.31885000001</v>
      </c>
      <c r="G31" s="2">
        <f t="shared" si="13"/>
        <v>202925.72557739998</v>
      </c>
      <c r="H31" s="2">
        <f t="shared" si="13"/>
        <v>208337.62842479997</v>
      </c>
      <c r="I31" s="2">
        <f t="shared" si="13"/>
        <v>213411.02739220002</v>
      </c>
      <c r="J31" s="2">
        <f t="shared" si="13"/>
        <v>218145.92247960001</v>
      </c>
      <c r="K31" s="2">
        <f t="shared" si="13"/>
        <v>222542.31368699999</v>
      </c>
      <c r="L31" s="2">
        <f t="shared" si="13"/>
        <v>218164.89765440003</v>
      </c>
      <c r="M31" s="2">
        <f t="shared" si="13"/>
        <v>213787.48162180002</v>
      </c>
      <c r="N31" s="2">
        <f t="shared" si="13"/>
        <v>209410.06558920001</v>
      </c>
      <c r="O31" s="2">
        <f t="shared" si="13"/>
        <v>205032.64955660002</v>
      </c>
      <c r="P31" s="2">
        <f t="shared" si="13"/>
        <v>200655.23352400001</v>
      </c>
    </row>
    <row r="32" spans="1:23" x14ac:dyDescent="0.25">
      <c r="A32" t="s">
        <v>63</v>
      </c>
      <c r="B32" s="2">
        <f>B30*'Emisi GRK'!B37*44/12</f>
        <v>268071.68102000002</v>
      </c>
      <c r="C32" s="2">
        <f>C30*'Emisi GRK'!C37*44/12</f>
        <v>280260.79297333333</v>
      </c>
      <c r="D32" s="2">
        <f>D30*'Emisi GRK'!D37*44/12</f>
        <v>292034.79426000005</v>
      </c>
      <c r="E32" s="2">
        <f>E30*'Emisi GRK'!E37*44/12</f>
        <v>303393.68488000002</v>
      </c>
      <c r="F32" s="2">
        <f>F30*'Emisi GRK'!F37*44/12</f>
        <v>314337.46483333333</v>
      </c>
      <c r="G32" s="2">
        <f>G30*'Emisi GRK'!G37*44/12</f>
        <v>323504.77990600001</v>
      </c>
      <c r="H32" s="2">
        <f>H30*'Emisi GRK'!H37*44/12</f>
        <v>332132.45111199998</v>
      </c>
      <c r="I32" s="2">
        <f>I30*'Emisi GRK'!I37*44/12</f>
        <v>340220.47845133336</v>
      </c>
      <c r="J32" s="2">
        <f>J30*'Emisi GRK'!J37*44/12</f>
        <v>347768.86192400003</v>
      </c>
      <c r="K32" s="2">
        <f>K30*'Emisi GRK'!K37*44/12</f>
        <v>354777.60153000004</v>
      </c>
      <c r="L32" s="2">
        <f>L30*'Emisi GRK'!L37*44/12</f>
        <v>347799.1122026667</v>
      </c>
      <c r="M32" s="2">
        <f>M30*'Emisi GRK'!M37*44/12</f>
        <v>340820.62287533336</v>
      </c>
      <c r="N32" s="2">
        <f>N30*'Emisi GRK'!N37*44/12</f>
        <v>333842.13354800001</v>
      </c>
      <c r="O32" s="2">
        <f>O30*'Emisi GRK'!O37*44/12</f>
        <v>326863.64422066673</v>
      </c>
      <c r="P32" s="2">
        <f>P30*'Emisi GRK'!P37*44/12</f>
        <v>319885.15489333338</v>
      </c>
    </row>
    <row r="33" spans="1:16" x14ac:dyDescent="0.25">
      <c r="A33" t="s">
        <v>64</v>
      </c>
      <c r="B33" s="11">
        <f>B31*'Emisi GRK'!B38*44/28*298</f>
        <v>787441.41501903441</v>
      </c>
      <c r="C33" s="11">
        <f>C31*'Emisi GRK'!C38*44/28*298</f>
        <v>823246.06073109736</v>
      </c>
      <c r="D33" s="11">
        <f>D31*'Emisi GRK'!D38*44/28*298</f>
        <v>857831.34851058875</v>
      </c>
      <c r="E33" s="11">
        <f>E31*'Emisi GRK'!E38*44/28*298</f>
        <v>891197.27835750871</v>
      </c>
      <c r="F33" s="11">
        <f>F31*'Emisi GRK'!F38*44/28*298</f>
        <v>923343.85027185723</v>
      </c>
      <c r="G33" s="11">
        <f>G31*'Emisi GRK'!G38*44/28*298</f>
        <v>950272.18348959589</v>
      </c>
      <c r="H33" s="11">
        <f>H31*'Emisi GRK'!H38*44/28*298</f>
        <v>975615.35139499174</v>
      </c>
      <c r="I33" s="11">
        <f>I31*'Emisi GRK'!I38*44/28*298</f>
        <v>999373.35398804524</v>
      </c>
      <c r="J33" s="11">
        <f>J31*'Emisi GRK'!J38*44/28*298</f>
        <v>1021546.1912687555</v>
      </c>
      <c r="K33" s="11">
        <f>K31*'Emisi GRK'!K38*44/28*298</f>
        <v>1042133.8632371227</v>
      </c>
      <c r="L33" s="11">
        <f>L31*'Emisi GRK'!L38*44/28*298</f>
        <v>1021635.0493016049</v>
      </c>
      <c r="M33" s="11">
        <f>M31*'Emisi GRK'!M38*44/28*298</f>
        <v>1001136.2353660866</v>
      </c>
      <c r="N33" s="11">
        <f>N31*'Emisi GRK'!N38*44/28*298</f>
        <v>980637.42143056809</v>
      </c>
      <c r="O33" s="11">
        <f>O31*'Emisi GRK'!O38*44/28*298</f>
        <v>960138.60749504983</v>
      </c>
      <c r="P33" s="11">
        <f>P31*'Emisi GRK'!P38*44/28*298</f>
        <v>939639.79355953145</v>
      </c>
    </row>
    <row r="34" spans="1:16" x14ac:dyDescent="0.25">
      <c r="A34" t="s">
        <v>65</v>
      </c>
      <c r="B34" s="2">
        <f>B31*'Emisi GRK'!B39*44/28*298</f>
        <v>255918.45988118619</v>
      </c>
      <c r="C34" s="2">
        <f>C31*'Emisi GRK'!C39*44/28*298</f>
        <v>267554.96973760653</v>
      </c>
      <c r="D34" s="2">
        <f>D31*'Emisi GRK'!D39*44/28*298</f>
        <v>278795.18826594134</v>
      </c>
      <c r="E34" s="2">
        <f>E31*'Emisi GRK'!E39*44/28*298</f>
        <v>289639.11546619033</v>
      </c>
      <c r="F34" s="2">
        <f>F31*'Emisi GRK'!F39*44/28*298</f>
        <v>300086.75133835356</v>
      </c>
      <c r="G34" s="2">
        <f>G31*'Emisi GRK'!G39*44/28*298</f>
        <v>308838.45963411866</v>
      </c>
      <c r="H34" s="2">
        <f>H31*'Emisi GRK'!H39*44/28*298</f>
        <v>317074.98920337233</v>
      </c>
      <c r="I34" s="2">
        <f>I31*'Emisi GRK'!I39*44/28*298</f>
        <v>324796.34004611464</v>
      </c>
      <c r="J34" s="2">
        <f>J31*'Emisi GRK'!J39*44/28*298</f>
        <v>332002.51216234552</v>
      </c>
      <c r="K34" s="2">
        <f>K31*'Emisi GRK'!K39*44/28*298</f>
        <v>338693.50555206486</v>
      </c>
      <c r="L34" s="2">
        <f>L31*'Emisi GRK'!L39*44/28*298</f>
        <v>332031.39102302154</v>
      </c>
      <c r="M34" s="2">
        <f>M31*'Emisi GRK'!M39*44/28*298</f>
        <v>325369.27649397805</v>
      </c>
      <c r="N34" s="2">
        <f>N31*'Emisi GRK'!N39*44/28*298</f>
        <v>318707.16196493461</v>
      </c>
      <c r="O34" s="2">
        <f>O31*'Emisi GRK'!O39*44/28*298</f>
        <v>312045.04743589123</v>
      </c>
      <c r="P34" s="2">
        <f>P31*'Emisi GRK'!P39*44/28*298</f>
        <v>305382.93290684774</v>
      </c>
    </row>
    <row r="35" spans="1:16" x14ac:dyDescent="0.25">
      <c r="A35" t="s">
        <v>87</v>
      </c>
      <c r="B35" s="2">
        <f>SUM(B32:B34)</f>
        <v>1311431.5559202207</v>
      </c>
      <c r="C35" s="2">
        <f t="shared" ref="C35:P35" si="14">SUM(C32:C34)</f>
        <v>1371061.8234420372</v>
      </c>
      <c r="D35" s="2">
        <f t="shared" si="14"/>
        <v>1428661.3310365302</v>
      </c>
      <c r="E35" s="2">
        <f t="shared" si="14"/>
        <v>1484230.0787036989</v>
      </c>
      <c r="F35" s="2">
        <f t="shared" si="14"/>
        <v>1537768.0664435441</v>
      </c>
      <c r="G35" s="2">
        <f t="shared" si="14"/>
        <v>1582615.4230297147</v>
      </c>
      <c r="H35" s="2">
        <f t="shared" si="14"/>
        <v>1624822.7917103639</v>
      </c>
      <c r="I35" s="2">
        <f t="shared" si="14"/>
        <v>1664390.1724854931</v>
      </c>
      <c r="J35" s="2">
        <f t="shared" si="14"/>
        <v>1701317.5653551009</v>
      </c>
      <c r="K35" s="2">
        <f t="shared" si="14"/>
        <v>1735604.9703191875</v>
      </c>
      <c r="L35" s="2">
        <f t="shared" si="14"/>
        <v>1701465.5525272931</v>
      </c>
      <c r="M35" s="2">
        <f t="shared" si="14"/>
        <v>1667326.134735398</v>
      </c>
      <c r="N35" s="2">
        <f t="shared" si="14"/>
        <v>1633186.7169435027</v>
      </c>
      <c r="O35" s="2">
        <f t="shared" si="14"/>
        <v>1599047.2991516078</v>
      </c>
      <c r="P35" s="2">
        <f t="shared" si="14"/>
        <v>1564907.8813597125</v>
      </c>
    </row>
    <row r="37" spans="1:16" x14ac:dyDescent="0.25">
      <c r="B37" s="16" t="s">
        <v>81</v>
      </c>
      <c r="C37" s="19"/>
      <c r="D37" s="19"/>
      <c r="E37" s="19"/>
    </row>
    <row r="38" spans="1:16" x14ac:dyDescent="0.25">
      <c r="B38" s="64" t="s">
        <v>71</v>
      </c>
      <c r="C38" s="64"/>
      <c r="D38" s="64" t="s">
        <v>82</v>
      </c>
      <c r="E38" s="64"/>
    </row>
    <row r="39" spans="1:16" x14ac:dyDescent="0.25">
      <c r="B39" s="19" t="s">
        <v>79</v>
      </c>
      <c r="C39" s="19" t="s">
        <v>80</v>
      </c>
      <c r="D39" s="19" t="s">
        <v>79</v>
      </c>
      <c r="E39" s="19" t="s">
        <v>80</v>
      </c>
    </row>
    <row r="40" spans="1:16" x14ac:dyDescent="0.25">
      <c r="B40" s="17">
        <f>SUM(B19:P19)</f>
        <v>7531312.7400000002</v>
      </c>
      <c r="C40" s="54">
        <f>SUM(B24:P24)</f>
        <v>27018846.257526211</v>
      </c>
      <c r="D40" s="18">
        <f>SUM(B30:P30)</f>
        <v>6580518.0799499992</v>
      </c>
      <c r="E40" s="17">
        <f>SUM(B35:P35)</f>
        <v>23607837.363163404</v>
      </c>
      <c r="F40" s="2"/>
    </row>
    <row r="42" spans="1:16" x14ac:dyDescent="0.25">
      <c r="C42" s="11">
        <f>C40+(SUM(R24:W24))</f>
        <v>32979189.992910419</v>
      </c>
      <c r="E42" s="53">
        <f>E40+(SUM(R24:W24))</f>
        <v>29568181.098547611</v>
      </c>
      <c r="F42" s="55">
        <f>(C42-E42)/C42</f>
        <v>0.10342912894755986</v>
      </c>
    </row>
    <row r="44" spans="1:16" x14ac:dyDescent="0.25">
      <c r="I44">
        <v>44.56</v>
      </c>
    </row>
    <row r="45" spans="1:16" x14ac:dyDescent="0.25">
      <c r="I45" s="1">
        <v>10000000</v>
      </c>
    </row>
    <row r="46" spans="1:16" x14ac:dyDescent="0.25">
      <c r="I46" s="1">
        <f>I45/I44</f>
        <v>224416.51705565528</v>
      </c>
    </row>
  </sheetData>
  <mergeCells count="2">
    <mergeCell ref="B38:C38"/>
    <mergeCell ref="D38:E38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S40"/>
  <sheetViews>
    <sheetView workbookViewId="0">
      <selection activeCell="B19" sqref="B19"/>
    </sheetView>
  </sheetViews>
  <sheetFormatPr defaultRowHeight="15" x14ac:dyDescent="0.25"/>
  <cols>
    <col min="1" max="1" width="48.28515625" customWidth="1"/>
    <col min="2" max="16" width="10.7109375" customWidth="1"/>
  </cols>
  <sheetData>
    <row r="2" spans="1:19" x14ac:dyDescent="0.25">
      <c r="B2">
        <v>2016</v>
      </c>
      <c r="C2">
        <v>2017</v>
      </c>
      <c r="D2">
        <v>2018</v>
      </c>
      <c r="E2">
        <v>2019</v>
      </c>
      <c r="F2">
        <v>2020</v>
      </c>
      <c r="G2">
        <v>2021</v>
      </c>
      <c r="H2">
        <v>2022</v>
      </c>
      <c r="I2">
        <v>2023</v>
      </c>
      <c r="J2">
        <v>2024</v>
      </c>
      <c r="K2">
        <v>2025</v>
      </c>
      <c r="L2">
        <v>2026</v>
      </c>
      <c r="M2">
        <v>2027</v>
      </c>
      <c r="N2">
        <v>2028</v>
      </c>
      <c r="O2">
        <v>2029</v>
      </c>
      <c r="P2">
        <v>2030</v>
      </c>
    </row>
    <row r="3" spans="1:19" x14ac:dyDescent="0.25">
      <c r="A3" t="s">
        <v>0</v>
      </c>
      <c r="B3" s="1">
        <v>120535</v>
      </c>
      <c r="C3" s="1">
        <f>B3+C4</f>
        <v>134416.72672704782</v>
      </c>
      <c r="D3" s="1">
        <f t="shared" ref="D3:N3" si="0">C3+D4</f>
        <v>148298.45345409564</v>
      </c>
      <c r="E3" s="1">
        <f t="shared" si="0"/>
        <v>162180.18018114346</v>
      </c>
      <c r="F3" s="1">
        <f t="shared" si="0"/>
        <v>176061.90690819127</v>
      </c>
      <c r="G3" s="1">
        <f t="shared" si="0"/>
        <v>189943.63363523909</v>
      </c>
      <c r="H3" s="1">
        <f t="shared" si="0"/>
        <v>203825.36036228691</v>
      </c>
      <c r="I3" s="1">
        <f t="shared" si="0"/>
        <v>217707.08708933473</v>
      </c>
      <c r="J3" s="1">
        <f t="shared" si="0"/>
        <v>231588.81381638255</v>
      </c>
      <c r="K3" s="1">
        <f t="shared" si="0"/>
        <v>245470.54054343037</v>
      </c>
      <c r="L3" s="1">
        <f t="shared" si="0"/>
        <v>245470.54054343037</v>
      </c>
      <c r="M3" s="1">
        <f t="shared" si="0"/>
        <v>245470.54054343037</v>
      </c>
      <c r="N3" s="1">
        <f t="shared" si="0"/>
        <v>245470.54054343037</v>
      </c>
      <c r="O3" s="1">
        <f>N3+O4</f>
        <v>245470.54054343037</v>
      </c>
      <c r="P3" s="1">
        <f>[2]Proyeksi!$F$39</f>
        <v>245470.54054343028</v>
      </c>
    </row>
    <row r="4" spans="1:19" x14ac:dyDescent="0.25">
      <c r="A4" t="s">
        <v>2</v>
      </c>
      <c r="B4" s="1"/>
      <c r="C4" s="1">
        <f>(P3-B3)/9</f>
        <v>13881.72672704781</v>
      </c>
      <c r="D4" s="1">
        <f>C4</f>
        <v>13881.72672704781</v>
      </c>
      <c r="E4" s="1">
        <f t="shared" ref="E4:K4" si="1">D4</f>
        <v>13881.72672704781</v>
      </c>
      <c r="F4" s="1">
        <f t="shared" si="1"/>
        <v>13881.72672704781</v>
      </c>
      <c r="G4" s="1">
        <f t="shared" si="1"/>
        <v>13881.72672704781</v>
      </c>
      <c r="H4" s="1">
        <f t="shared" si="1"/>
        <v>13881.72672704781</v>
      </c>
      <c r="I4" s="1">
        <f t="shared" si="1"/>
        <v>13881.72672704781</v>
      </c>
      <c r="J4" s="1">
        <f t="shared" si="1"/>
        <v>13881.72672704781</v>
      </c>
      <c r="K4" s="1">
        <f t="shared" si="1"/>
        <v>13881.72672704781</v>
      </c>
      <c r="L4" s="1"/>
      <c r="M4" s="1"/>
      <c r="N4" s="1"/>
      <c r="O4" s="1"/>
      <c r="P4" s="1"/>
    </row>
    <row r="5" spans="1:19" x14ac:dyDescent="0.25">
      <c r="A5" t="s">
        <v>1</v>
      </c>
      <c r="B5" s="1">
        <v>40417</v>
      </c>
      <c r="C5" s="1">
        <f>B5-(B5/4)</f>
        <v>30312.75</v>
      </c>
      <c r="D5" s="1">
        <f>C5-(B5/4)</f>
        <v>20208.5</v>
      </c>
      <c r="E5" s="1">
        <f>D5-(B5/4)</f>
        <v>10104.25</v>
      </c>
      <c r="F5" s="1">
        <f>E5-(B5/4)</f>
        <v>0</v>
      </c>
      <c r="G5" s="1"/>
      <c r="H5" s="1"/>
      <c r="I5" s="1"/>
      <c r="J5" s="1"/>
      <c r="K5" s="1"/>
      <c r="L5" s="1"/>
      <c r="M5" s="1"/>
      <c r="N5" s="1"/>
      <c r="O5" s="1"/>
      <c r="P5" s="1"/>
    </row>
    <row r="6" spans="1:19" x14ac:dyDescent="0.25">
      <c r="A6" t="s">
        <v>3</v>
      </c>
      <c r="B6" s="1">
        <v>80115</v>
      </c>
      <c r="C6" s="1">
        <f>B6+(B5-C5)</f>
        <v>90219.25</v>
      </c>
      <c r="D6" s="1">
        <f>C6+(C5-D5)</f>
        <v>100323.5</v>
      </c>
      <c r="E6" s="1">
        <f>D6+(D5-E5)</f>
        <v>110427.75</v>
      </c>
      <c r="F6" s="1">
        <f>E6+(E5-F5)</f>
        <v>120532</v>
      </c>
      <c r="G6" s="1"/>
      <c r="H6" s="1"/>
      <c r="I6" s="1"/>
      <c r="J6" s="1"/>
      <c r="K6" s="1"/>
      <c r="L6" s="1"/>
      <c r="M6" s="1"/>
      <c r="N6" s="1"/>
      <c r="O6" s="1"/>
      <c r="P6" s="1"/>
    </row>
    <row r="7" spans="1:19" x14ac:dyDescent="0.25">
      <c r="A7" t="s">
        <v>4</v>
      </c>
      <c r="B7" s="1">
        <f>B6</f>
        <v>80115</v>
      </c>
      <c r="C7" s="1">
        <f>C6</f>
        <v>90219.25</v>
      </c>
      <c r="D7" s="1">
        <f>D6</f>
        <v>100323.5</v>
      </c>
      <c r="E7" s="1">
        <f>E6</f>
        <v>110427.75</v>
      </c>
      <c r="F7" s="1">
        <f>F6</f>
        <v>120532</v>
      </c>
      <c r="G7" s="1">
        <f>F6+C4</f>
        <v>134413.72672704782</v>
      </c>
      <c r="H7" s="1">
        <f>G7+D4</f>
        <v>148295.45345409564</v>
      </c>
      <c r="I7" s="1">
        <f t="shared" ref="I7:P7" si="2">H7+E4</f>
        <v>162177.18018114346</v>
      </c>
      <c r="J7" s="1">
        <f t="shared" si="2"/>
        <v>176058.90690819127</v>
      </c>
      <c r="K7" s="1">
        <f t="shared" si="2"/>
        <v>189940.63363523909</v>
      </c>
      <c r="L7" s="1">
        <f t="shared" si="2"/>
        <v>203822.36036228691</v>
      </c>
      <c r="M7" s="1">
        <f t="shared" si="2"/>
        <v>217704.08708933473</v>
      </c>
      <c r="N7" s="1">
        <f t="shared" si="2"/>
        <v>231585.81381638255</v>
      </c>
      <c r="O7" s="1">
        <f t="shared" si="2"/>
        <v>245467.54054343037</v>
      </c>
      <c r="P7" s="1">
        <f t="shared" si="2"/>
        <v>245467.54054343037</v>
      </c>
    </row>
    <row r="8" spans="1:19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9" x14ac:dyDescent="0.25">
      <c r="A9" t="s">
        <v>5</v>
      </c>
      <c r="B9" s="5">
        <v>15.2</v>
      </c>
      <c r="C9" s="5">
        <f>B9+0.607</f>
        <v>15.806999999999999</v>
      </c>
      <c r="D9" s="5">
        <f t="shared" ref="D9:P9" si="3">C9+0.607</f>
        <v>16.413999999999998</v>
      </c>
      <c r="E9" s="5">
        <f t="shared" si="3"/>
        <v>17.020999999999997</v>
      </c>
      <c r="F9" s="5">
        <f t="shared" si="3"/>
        <v>17.627999999999997</v>
      </c>
      <c r="G9" s="5">
        <f t="shared" si="3"/>
        <v>18.234999999999996</v>
      </c>
      <c r="H9" s="5">
        <f t="shared" si="3"/>
        <v>18.841999999999995</v>
      </c>
      <c r="I9" s="5">
        <f t="shared" si="3"/>
        <v>19.448999999999995</v>
      </c>
      <c r="J9" s="5">
        <f t="shared" si="3"/>
        <v>20.055999999999994</v>
      </c>
      <c r="K9" s="5">
        <f t="shared" si="3"/>
        <v>20.662999999999993</v>
      </c>
      <c r="L9" s="5">
        <f t="shared" si="3"/>
        <v>21.269999999999992</v>
      </c>
      <c r="M9" s="5">
        <f t="shared" si="3"/>
        <v>21.876999999999992</v>
      </c>
      <c r="N9" s="5">
        <f t="shared" si="3"/>
        <v>22.483999999999991</v>
      </c>
      <c r="O9" s="5">
        <f t="shared" si="3"/>
        <v>23.09099999999999</v>
      </c>
      <c r="P9" s="3">
        <f t="shared" si="3"/>
        <v>23.69799999999999</v>
      </c>
      <c r="R9" s="5">
        <f>23.7-B9</f>
        <v>8.5</v>
      </c>
      <c r="S9">
        <f>R9/14</f>
        <v>0.6071428571428571</v>
      </c>
    </row>
    <row r="10" spans="1:19" x14ac:dyDescent="0.25">
      <c r="A10" t="s">
        <v>6</v>
      </c>
      <c r="B10" s="2">
        <v>1221143</v>
      </c>
      <c r="C10" s="2">
        <f t="shared" ref="C10:P10" si="4">C7*C9</f>
        <v>1426095.6847499998</v>
      </c>
      <c r="D10" s="2">
        <f t="shared" si="4"/>
        <v>1646709.9289999998</v>
      </c>
      <c r="E10" s="2">
        <f t="shared" si="4"/>
        <v>1879590.7327499997</v>
      </c>
      <c r="F10" s="2">
        <f t="shared" si="4"/>
        <v>2124738.0959999994</v>
      </c>
      <c r="G10" s="2">
        <f t="shared" si="4"/>
        <v>2451034.3068677164</v>
      </c>
      <c r="H10" s="2">
        <f t="shared" si="4"/>
        <v>2794182.9339820691</v>
      </c>
      <c r="I10" s="2">
        <f t="shared" si="4"/>
        <v>3154183.9773430582</v>
      </c>
      <c r="J10" s="2">
        <f t="shared" si="4"/>
        <v>3531037.4369506831</v>
      </c>
      <c r="K10" s="2">
        <f t="shared" si="4"/>
        <v>3924743.3128049439</v>
      </c>
      <c r="L10" s="2">
        <f t="shared" si="4"/>
        <v>4335301.6049058409</v>
      </c>
      <c r="M10" s="2">
        <f t="shared" si="4"/>
        <v>4762712.3132533738</v>
      </c>
      <c r="N10" s="2">
        <f t="shared" si="4"/>
        <v>5206975.4378475435</v>
      </c>
      <c r="O10" s="2">
        <f t="shared" si="4"/>
        <v>5668090.9786883481</v>
      </c>
      <c r="P10" s="2">
        <f t="shared" si="4"/>
        <v>5817089.7757982099</v>
      </c>
      <c r="R10" s="2"/>
    </row>
    <row r="11" spans="1:19" x14ac:dyDescent="0.25">
      <c r="A11" t="s">
        <v>7</v>
      </c>
      <c r="B11" s="2">
        <f>B10*21/10^3</f>
        <v>25644.003000000001</v>
      </c>
      <c r="C11" s="2">
        <f t="shared" ref="C11:P11" si="5">C10*21/10^3</f>
        <v>29948.009379749994</v>
      </c>
      <c r="D11" s="2">
        <f t="shared" si="5"/>
        <v>34580.908508999994</v>
      </c>
      <c r="E11" s="2">
        <f t="shared" si="5"/>
        <v>39471.40538774999</v>
      </c>
      <c r="F11" s="2">
        <f t="shared" si="5"/>
        <v>44619.500015999991</v>
      </c>
      <c r="G11" s="2">
        <f t="shared" si="5"/>
        <v>51471.720444222039</v>
      </c>
      <c r="H11" s="2">
        <f t="shared" si="5"/>
        <v>58677.841613623452</v>
      </c>
      <c r="I11" s="2">
        <f t="shared" si="5"/>
        <v>66237.863524204222</v>
      </c>
      <c r="J11" s="2">
        <f t="shared" si="5"/>
        <v>74151.786175964342</v>
      </c>
      <c r="K11" s="2">
        <f t="shared" si="5"/>
        <v>82419.609568903819</v>
      </c>
      <c r="L11" s="2">
        <f t="shared" si="5"/>
        <v>91041.333703022654</v>
      </c>
      <c r="M11" s="2">
        <f t="shared" si="5"/>
        <v>100016.95857832085</v>
      </c>
      <c r="N11" s="2">
        <f t="shared" si="5"/>
        <v>109346.48419479841</v>
      </c>
      <c r="O11" s="2">
        <f t="shared" si="5"/>
        <v>119029.9105524553</v>
      </c>
      <c r="P11" s="2">
        <f t="shared" si="5"/>
        <v>122158.88529176242</v>
      </c>
    </row>
    <row r="12" spans="1:19" x14ac:dyDescent="0.25">
      <c r="A12" t="s">
        <v>8</v>
      </c>
      <c r="B12" s="2">
        <f>B11/6329</f>
        <v>4.0518254068573238</v>
      </c>
      <c r="C12" s="2">
        <f t="shared" ref="C12:P12" si="6">C11/6329</f>
        <v>4.7318706556723011</v>
      </c>
      <c r="D12" s="2">
        <f t="shared" si="6"/>
        <v>5.4638818942960965</v>
      </c>
      <c r="E12" s="2">
        <f t="shared" si="6"/>
        <v>6.2365943099620775</v>
      </c>
      <c r="F12" s="2">
        <f t="shared" si="6"/>
        <v>7.0500079026702469</v>
      </c>
      <c r="G12" s="2">
        <f t="shared" si="6"/>
        <v>8.1326782183950126</v>
      </c>
      <c r="H12" s="2">
        <f t="shared" si="6"/>
        <v>9.2712658577379443</v>
      </c>
      <c r="I12" s="2">
        <f t="shared" si="6"/>
        <v>10.46577082069904</v>
      </c>
      <c r="J12" s="2">
        <f t="shared" si="6"/>
        <v>11.716193107278297</v>
      </c>
      <c r="K12" s="2">
        <f t="shared" si="6"/>
        <v>13.022532717475718</v>
      </c>
      <c r="L12" s="2">
        <f t="shared" si="6"/>
        <v>14.384789651291303</v>
      </c>
      <c r="M12" s="2">
        <f t="shared" si="6"/>
        <v>15.802963908725051</v>
      </c>
      <c r="N12" s="2">
        <f t="shared" si="6"/>
        <v>17.277055489776966</v>
      </c>
      <c r="O12" s="2">
        <f t="shared" si="6"/>
        <v>18.807064394447039</v>
      </c>
      <c r="P12" s="2">
        <f t="shared" si="6"/>
        <v>19.301451302221903</v>
      </c>
    </row>
    <row r="13" spans="1:19" x14ac:dyDescent="0.25">
      <c r="B13" s="2"/>
    </row>
    <row r="14" spans="1:19" x14ac:dyDescent="0.25">
      <c r="A14" t="s">
        <v>9</v>
      </c>
      <c r="B14" s="2">
        <f>B10/170000</f>
        <v>7.1831941176470586</v>
      </c>
      <c r="C14" s="2">
        <f t="shared" ref="C14:P14" si="7">C10/170000</f>
        <v>8.3887981455882343</v>
      </c>
      <c r="D14" s="2">
        <f t="shared" si="7"/>
        <v>9.686528994117646</v>
      </c>
      <c r="E14" s="2">
        <f t="shared" si="7"/>
        <v>11.056416074999998</v>
      </c>
      <c r="F14" s="2">
        <f t="shared" si="7"/>
        <v>12.498459388235291</v>
      </c>
      <c r="G14" s="2">
        <f t="shared" si="7"/>
        <v>14.417848863927743</v>
      </c>
      <c r="H14" s="2">
        <f t="shared" si="7"/>
        <v>16.436370199894526</v>
      </c>
      <c r="I14" s="2">
        <f t="shared" si="7"/>
        <v>18.554023396135637</v>
      </c>
      <c r="J14" s="2">
        <f t="shared" si="7"/>
        <v>20.770808452651078</v>
      </c>
      <c r="K14" s="2">
        <f t="shared" si="7"/>
        <v>23.086725369440845</v>
      </c>
      <c r="L14" s="2">
        <f t="shared" si="7"/>
        <v>25.501774146504946</v>
      </c>
      <c r="M14" s="2">
        <f t="shared" si="7"/>
        <v>28.015954783843377</v>
      </c>
      <c r="N14" s="2">
        <f t="shared" si="7"/>
        <v>30.629267281456137</v>
      </c>
      <c r="O14" s="2">
        <f t="shared" si="7"/>
        <v>33.341711639343224</v>
      </c>
      <c r="P14" s="2">
        <f t="shared" si="7"/>
        <v>34.218175151754174</v>
      </c>
    </row>
    <row r="17" spans="1:16" x14ac:dyDescent="0.25">
      <c r="A17" s="12" t="s">
        <v>71</v>
      </c>
      <c r="B17" s="10">
        <f>B2</f>
        <v>2016</v>
      </c>
      <c r="C17" s="10">
        <f t="shared" ref="C17:P17" si="8">C2</f>
        <v>2017</v>
      </c>
      <c r="D17" s="10">
        <f t="shared" si="8"/>
        <v>2018</v>
      </c>
      <c r="E17" s="10">
        <f t="shared" si="8"/>
        <v>2019</v>
      </c>
      <c r="F17" s="10">
        <f t="shared" si="8"/>
        <v>2020</v>
      </c>
      <c r="G17" s="10">
        <f t="shared" si="8"/>
        <v>2021</v>
      </c>
      <c r="H17" s="10">
        <f t="shared" si="8"/>
        <v>2022</v>
      </c>
      <c r="I17" s="10">
        <f t="shared" si="8"/>
        <v>2023</v>
      </c>
      <c r="J17" s="10">
        <f t="shared" si="8"/>
        <v>2024</v>
      </c>
      <c r="K17" s="10">
        <f t="shared" si="8"/>
        <v>2025</v>
      </c>
      <c r="L17" s="10">
        <f t="shared" si="8"/>
        <v>2026</v>
      </c>
      <c r="M17" s="10">
        <f t="shared" si="8"/>
        <v>2027</v>
      </c>
      <c r="N17" s="10">
        <f t="shared" si="8"/>
        <v>2028</v>
      </c>
      <c r="O17" s="10">
        <f t="shared" si="8"/>
        <v>2029</v>
      </c>
      <c r="P17" s="10">
        <f t="shared" si="8"/>
        <v>2030</v>
      </c>
    </row>
    <row r="18" spans="1:16" x14ac:dyDescent="0.25">
      <c r="A18" t="s">
        <v>53</v>
      </c>
      <c r="H18" s="4"/>
      <c r="I18" s="4"/>
      <c r="P18" s="7"/>
    </row>
    <row r="19" spans="1:16" x14ac:dyDescent="0.25">
      <c r="A19" s="9" t="s">
        <v>61</v>
      </c>
      <c r="B19" s="53">
        <f>B3*'Emisi GRK'!B35</f>
        <v>38812.270000000004</v>
      </c>
      <c r="C19" s="2">
        <f>C3*'Emisi GRK'!C35</f>
        <v>43282.186006109398</v>
      </c>
      <c r="D19" s="2">
        <f>D3*'Emisi GRK'!D35</f>
        <v>47752.102012218798</v>
      </c>
      <c r="E19" s="2">
        <f>E3*'Emisi GRK'!E35</f>
        <v>52222.018018328192</v>
      </c>
      <c r="F19" s="2">
        <f>F3*'Emisi GRK'!F35</f>
        <v>56691.934024437593</v>
      </c>
      <c r="G19" s="2">
        <f>G3*'Emisi GRK'!G35</f>
        <v>61161.850030546993</v>
      </c>
      <c r="H19" s="2">
        <f>H3*'Emisi GRK'!H35</f>
        <v>65631.766036656394</v>
      </c>
      <c r="I19" s="2">
        <f>I3*'Emisi GRK'!I35</f>
        <v>70101.68204276578</v>
      </c>
      <c r="J19" s="2">
        <f>J3*'Emisi GRK'!J35</f>
        <v>74571.598048875181</v>
      </c>
      <c r="K19" s="2">
        <f>K3*'Emisi GRK'!K35</f>
        <v>79041.514054984582</v>
      </c>
      <c r="L19" s="2">
        <f>L3*'Emisi GRK'!L35</f>
        <v>79041.514054984582</v>
      </c>
      <c r="M19" s="2">
        <f>M3*'Emisi GRK'!M35</f>
        <v>79041.514054984582</v>
      </c>
      <c r="N19" s="2">
        <f>N3*'Emisi GRK'!N35</f>
        <v>79041.514054984582</v>
      </c>
      <c r="O19" s="2">
        <f>O3*'Emisi GRK'!O35</f>
        <v>79041.514054984582</v>
      </c>
      <c r="P19" s="2">
        <f>P3*'Emisi GRK'!P35</f>
        <v>79041.514054984553</v>
      </c>
    </row>
    <row r="20" spans="1:16" x14ac:dyDescent="0.25">
      <c r="A20" s="9" t="s">
        <v>62</v>
      </c>
      <c r="B20" s="2">
        <f>B19*46%</f>
        <v>17853.644200000002</v>
      </c>
      <c r="C20" s="2">
        <f t="shared" ref="C20:P20" si="9">C19*46%</f>
        <v>19909.805562810325</v>
      </c>
      <c r="D20" s="2">
        <f t="shared" si="9"/>
        <v>21965.966925620647</v>
      </c>
      <c r="E20" s="2">
        <f t="shared" si="9"/>
        <v>24022.128288430969</v>
      </c>
      <c r="F20" s="2">
        <f t="shared" si="9"/>
        <v>26078.289651241295</v>
      </c>
      <c r="G20" s="2">
        <f t="shared" si="9"/>
        <v>28134.451014051618</v>
      </c>
      <c r="H20" s="2">
        <f t="shared" si="9"/>
        <v>30190.612376861944</v>
      </c>
      <c r="I20" s="2">
        <f t="shared" si="9"/>
        <v>32246.773739672259</v>
      </c>
      <c r="J20" s="2">
        <f t="shared" si="9"/>
        <v>34302.935102482588</v>
      </c>
      <c r="K20" s="2">
        <f t="shared" si="9"/>
        <v>36359.096465292911</v>
      </c>
      <c r="L20" s="2">
        <f t="shared" si="9"/>
        <v>36359.096465292911</v>
      </c>
      <c r="M20" s="2">
        <f t="shared" si="9"/>
        <v>36359.096465292911</v>
      </c>
      <c r="N20" s="2">
        <f t="shared" si="9"/>
        <v>36359.096465292911</v>
      </c>
      <c r="O20" s="2">
        <f t="shared" si="9"/>
        <v>36359.096465292911</v>
      </c>
      <c r="P20" s="2">
        <f t="shared" si="9"/>
        <v>36359.096465292896</v>
      </c>
    </row>
    <row r="21" spans="1:16" x14ac:dyDescent="0.25">
      <c r="A21" t="s">
        <v>63</v>
      </c>
      <c r="B21" s="2">
        <f>B19*'Emisi GRK'!B37*44/12</f>
        <v>28462.331333333339</v>
      </c>
      <c r="C21" s="2">
        <f>C19*'Emisi GRK'!C37*44/12</f>
        <v>31740.26973781356</v>
      </c>
      <c r="D21" s="2">
        <f>D19*'Emisi GRK'!D37*44/12</f>
        <v>35018.208142293784</v>
      </c>
      <c r="E21" s="2">
        <f>E19*'Emisi GRK'!E37*44/12</f>
        <v>38296.146546774013</v>
      </c>
      <c r="F21" s="2">
        <f>F19*'Emisi GRK'!F37*44/12</f>
        <v>41574.084951254241</v>
      </c>
      <c r="G21" s="2">
        <f>G19*'Emisi GRK'!G37*44/12</f>
        <v>44852.023355734455</v>
      </c>
      <c r="H21" s="2">
        <f>H19*'Emisi GRK'!H37*44/12</f>
        <v>48129.961760214697</v>
      </c>
      <c r="I21" s="2">
        <f>I19*'Emisi GRK'!I37*44/12</f>
        <v>51407.900164694911</v>
      </c>
      <c r="J21" s="2">
        <f>J19*'Emisi GRK'!J37*44/12</f>
        <v>54685.838569175132</v>
      </c>
      <c r="K21" s="2">
        <f>K19*'Emisi GRK'!K37*44/12</f>
        <v>57963.77697365536</v>
      </c>
      <c r="L21" s="2">
        <f>L19*'Emisi GRK'!L37*44/12</f>
        <v>57963.77697365536</v>
      </c>
      <c r="M21" s="2">
        <f>M19*'Emisi GRK'!M37*44/12</f>
        <v>57963.77697365536</v>
      </c>
      <c r="N21" s="2">
        <f>N19*'Emisi GRK'!N37*44/12</f>
        <v>57963.77697365536</v>
      </c>
      <c r="O21" s="2">
        <f>O19*'Emisi GRK'!O37*44/12</f>
        <v>57963.77697365536</v>
      </c>
      <c r="P21" s="2">
        <f>P19*'Emisi GRK'!P37*44/12</f>
        <v>57963.776973655338</v>
      </c>
    </row>
    <row r="22" spans="1:16" x14ac:dyDescent="0.25">
      <c r="A22" t="s">
        <v>64</v>
      </c>
      <c r="B22" s="11">
        <f>B20*'Emisi GRK'!B38*44/28*298</f>
        <v>83606.065268000006</v>
      </c>
      <c r="C22" s="11">
        <f>C20*'Emisi GRK'!C38*44/28*298</f>
        <v>93234.775192703208</v>
      </c>
      <c r="D22" s="11">
        <f>D20*'Emisi GRK'!D38*44/28*298</f>
        <v>102863.4851174064</v>
      </c>
      <c r="E22" s="11">
        <f>E20*'Emisi GRK'!E38*44/28*298</f>
        <v>112492.1950421096</v>
      </c>
      <c r="F22" s="11">
        <f>F20*'Emisi GRK'!F38*44/28*298</f>
        <v>122120.9049668128</v>
      </c>
      <c r="G22" s="11">
        <f>G20*'Emisi GRK'!G38*44/28*298</f>
        <v>131749.61489151602</v>
      </c>
      <c r="H22" s="11">
        <f>H20*'Emisi GRK'!H38*44/28*298</f>
        <v>141378.32481621925</v>
      </c>
      <c r="I22" s="11">
        <f>I20*'Emisi GRK'!I38*44/28*298</f>
        <v>151007.03474092239</v>
      </c>
      <c r="J22" s="11">
        <f>J20*'Emisi GRK'!J38*44/28*298</f>
        <v>160635.74466562559</v>
      </c>
      <c r="K22" s="11">
        <f>K20*'Emisi GRK'!K38*44/28*298</f>
        <v>170264.45459032879</v>
      </c>
      <c r="L22" s="11">
        <f>L20*'Emisi GRK'!L38*44/28*298</f>
        <v>170264.45459032879</v>
      </c>
      <c r="M22" s="11">
        <f>M20*'Emisi GRK'!M38*44/28*298</f>
        <v>170264.45459032879</v>
      </c>
      <c r="N22" s="11">
        <f>N20*'Emisi GRK'!N38*44/28*298</f>
        <v>170264.45459032879</v>
      </c>
      <c r="O22" s="11">
        <f>O20*'Emisi GRK'!O38*44/28*298</f>
        <v>170264.45459032879</v>
      </c>
      <c r="P22" s="11">
        <f>P20*'Emisi GRK'!P38*44/28*298</f>
        <v>170264.45459032874</v>
      </c>
    </row>
    <row r="23" spans="1:16" x14ac:dyDescent="0.25">
      <c r="A23" t="s">
        <v>65</v>
      </c>
      <c r="B23" s="2">
        <f>B20*'Emisi GRK'!B39*44/28*298</f>
        <v>27171.971212100001</v>
      </c>
      <c r="C23" s="2">
        <f>C20*'Emisi GRK'!C39*44/28*298</f>
        <v>30301.301937628545</v>
      </c>
      <c r="D23" s="2">
        <f>D20*'Emisi GRK'!D39*44/28*298</f>
        <v>33430.632663157077</v>
      </c>
      <c r="E23" s="2">
        <f>E20*'Emisi GRK'!E39*44/28*298</f>
        <v>36559.963388685617</v>
      </c>
      <c r="F23" s="2">
        <f>F20*'Emisi GRK'!F39*44/28*298</f>
        <v>39689.294114214157</v>
      </c>
      <c r="G23" s="2">
        <f>G20*'Emisi GRK'!G39*44/28*298</f>
        <v>42818.624839742704</v>
      </c>
      <c r="H23" s="2">
        <f>H20*'Emisi GRK'!H39*44/28*298</f>
        <v>45947.955565271237</v>
      </c>
      <c r="I23" s="2">
        <f>I20*'Emisi GRK'!I39*44/28*298</f>
        <v>49077.28629079977</v>
      </c>
      <c r="J23" s="2">
        <f>J20*'Emisi GRK'!J39*44/28*298</f>
        <v>52206.617016328324</v>
      </c>
      <c r="K23" s="2">
        <f>K20*'Emisi GRK'!K39*44/28*298</f>
        <v>55335.947741856857</v>
      </c>
      <c r="L23" s="2">
        <f>L20*'Emisi GRK'!L39*44/28*298</f>
        <v>55335.947741856857</v>
      </c>
      <c r="M23" s="2">
        <f>M20*'Emisi GRK'!M39*44/28*298</f>
        <v>55335.947741856857</v>
      </c>
      <c r="N23" s="2">
        <f>N20*'Emisi GRK'!N39*44/28*298</f>
        <v>55335.947741856857</v>
      </c>
      <c r="O23" s="2">
        <f>O20*'Emisi GRK'!O39*44/28*298</f>
        <v>55335.947741856857</v>
      </c>
      <c r="P23" s="2">
        <f>P20*'Emisi GRK'!P39*44/28*298</f>
        <v>55335.947741856828</v>
      </c>
    </row>
    <row r="24" spans="1:16" x14ac:dyDescent="0.25">
      <c r="A24" t="s">
        <v>66</v>
      </c>
      <c r="B24" s="2">
        <f>SUM(B21:B23)</f>
        <v>139240.36781343335</v>
      </c>
      <c r="C24" s="2">
        <f t="shared" ref="C24:P24" si="10">SUM(C21:C23)</f>
        <v>155276.34686814531</v>
      </c>
      <c r="D24" s="2">
        <f t="shared" si="10"/>
        <v>171312.32592285724</v>
      </c>
      <c r="E24" s="2">
        <f t="shared" si="10"/>
        <v>187348.30497756921</v>
      </c>
      <c r="F24" s="2">
        <f t="shared" si="10"/>
        <v>203384.2840322812</v>
      </c>
      <c r="G24" s="2">
        <f t="shared" si="10"/>
        <v>219420.26308699316</v>
      </c>
      <c r="H24" s="2">
        <f t="shared" si="10"/>
        <v>235456.24214170518</v>
      </c>
      <c r="I24" s="2">
        <f t="shared" si="10"/>
        <v>251492.22119641706</v>
      </c>
      <c r="J24" s="2">
        <f t="shared" si="10"/>
        <v>267528.20025112905</v>
      </c>
      <c r="K24" s="2">
        <f t="shared" si="10"/>
        <v>283564.17930584098</v>
      </c>
      <c r="L24" s="2">
        <f t="shared" si="10"/>
        <v>283564.17930584098</v>
      </c>
      <c r="M24" s="2">
        <f t="shared" si="10"/>
        <v>283564.17930584098</v>
      </c>
      <c r="N24" s="2">
        <f t="shared" si="10"/>
        <v>283564.17930584098</v>
      </c>
      <c r="O24" s="2">
        <f t="shared" si="10"/>
        <v>283564.17930584098</v>
      </c>
      <c r="P24" s="2">
        <f t="shared" si="10"/>
        <v>283564.17930584087</v>
      </c>
    </row>
    <row r="25" spans="1:16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12" t="s">
        <v>72</v>
      </c>
    </row>
    <row r="27" spans="1:16" x14ac:dyDescent="0.25">
      <c r="A27" t="s">
        <v>73</v>
      </c>
      <c r="B27" s="2">
        <f>B3*'Rekab Kab'!B25</f>
        <v>6026.75</v>
      </c>
      <c r="C27" s="2">
        <f>C3*'Rekab Kab'!C25</f>
        <v>13441.672672704783</v>
      </c>
      <c r="D27" s="2">
        <f>D3*'Rekab Kab'!D25</f>
        <v>22244.768018114348</v>
      </c>
      <c r="E27" s="2">
        <f>E3*'Rekab Kab'!E25</f>
        <v>32436.036036228692</v>
      </c>
      <c r="F27" s="2">
        <f>F3*'Rekab Kab'!F25</f>
        <v>44015.476727047819</v>
      </c>
      <c r="G27" s="2">
        <f>G3*'Rekab Kab'!G25</f>
        <v>59832.244595100317</v>
      </c>
      <c r="H27" s="2">
        <f>H3*'Rekab Kab'!H25</f>
        <v>77453.636937669027</v>
      </c>
      <c r="I27" s="2">
        <f>I3*'Rekab Kab'!I25</f>
        <v>96879.653754753963</v>
      </c>
      <c r="J27" s="2">
        <f>J3*'Rekab Kab'!J25</f>
        <v>118110.29504635511</v>
      </c>
      <c r="K27" s="2">
        <f>K3*'Rekab Kab'!K25</f>
        <v>141145.56081247245</v>
      </c>
      <c r="L27" s="2">
        <f>L3*'Rekab Kab'!L25</f>
        <v>157101.14594779542</v>
      </c>
      <c r="M27" s="2">
        <f>M3*'Rekab Kab'!M25</f>
        <v>173056.73108311839</v>
      </c>
      <c r="N27" s="2">
        <f>N3*'Rekab Kab'!N25</f>
        <v>189012.31621844132</v>
      </c>
      <c r="O27" s="2">
        <f>O3*'Rekab Kab'!O25</f>
        <v>204967.90135376429</v>
      </c>
      <c r="P27" s="2">
        <f>P3*'Rekab Kab'!P25</f>
        <v>220923.48648908726</v>
      </c>
    </row>
    <row r="28" spans="1:16" x14ac:dyDescent="0.25">
      <c r="A28" t="s">
        <v>74</v>
      </c>
      <c r="B28" s="2">
        <f>B3-B27</f>
        <v>114508.25</v>
      </c>
      <c r="C28" s="2">
        <f t="shared" ref="C28:P28" si="11">C3-C27</f>
        <v>120975.05405434304</v>
      </c>
      <c r="D28" s="2">
        <f t="shared" si="11"/>
        <v>126053.68543598129</v>
      </c>
      <c r="E28" s="2">
        <f t="shared" si="11"/>
        <v>129744.14414491477</v>
      </c>
      <c r="F28" s="2">
        <f t="shared" si="11"/>
        <v>132046.43018114346</v>
      </c>
      <c r="G28" s="2">
        <f t="shared" si="11"/>
        <v>130111.38904013878</v>
      </c>
      <c r="H28" s="2">
        <f t="shared" si="11"/>
        <v>126371.72342461789</v>
      </c>
      <c r="I28" s="2">
        <f t="shared" si="11"/>
        <v>120827.43333458077</v>
      </c>
      <c r="J28" s="2">
        <f t="shared" si="11"/>
        <v>113478.51877002744</v>
      </c>
      <c r="K28" s="2">
        <f t="shared" si="11"/>
        <v>104324.97973095792</v>
      </c>
      <c r="L28" s="2">
        <f t="shared" si="11"/>
        <v>88369.394595634949</v>
      </c>
      <c r="M28" s="2">
        <f t="shared" si="11"/>
        <v>72413.809460311983</v>
      </c>
      <c r="N28" s="2">
        <f t="shared" si="11"/>
        <v>56458.224324989045</v>
      </c>
      <c r="O28" s="2">
        <f t="shared" si="11"/>
        <v>40502.639189666079</v>
      </c>
      <c r="P28" s="2">
        <f t="shared" si="11"/>
        <v>24547.054054343025</v>
      </c>
    </row>
    <row r="29" spans="1:16" x14ac:dyDescent="0.25">
      <c r="A29" t="s">
        <v>53</v>
      </c>
    </row>
    <row r="30" spans="1:16" x14ac:dyDescent="0.25">
      <c r="A30" s="9" t="s">
        <v>61</v>
      </c>
      <c r="B30" s="7">
        <f>(B27*'Emisi GRK'!B36)+('Emisi GRK'!B35*B28)</f>
        <v>38312.049750000006</v>
      </c>
      <c r="C30" s="7">
        <f>(C27*'Emisi GRK'!C36)+('Emisi GRK'!C35*C28)</f>
        <v>42166.527174274903</v>
      </c>
      <c r="D30" s="7">
        <f>(D27*'Emisi GRK'!D36)+('Emisi GRK'!D35*D28)</f>
        <v>45905.786266715302</v>
      </c>
      <c r="E30" s="7">
        <f>(E27*'Emisi GRK'!E36)+('Emisi GRK'!E35*E28)</f>
        <v>49529.827027321218</v>
      </c>
      <c r="F30" s="7">
        <f>(F27*'Emisi GRK'!F36)+('Emisi GRK'!F35*F28)</f>
        <v>53038.649456092622</v>
      </c>
      <c r="G30" s="7">
        <f>(G27*'Emisi GRK'!G36)+('Emisi GRK'!G35*G28)</f>
        <v>56195.773729153661</v>
      </c>
      <c r="H30" s="7">
        <f>(H27*'Emisi GRK'!H36)+('Emisi GRK'!H35*H28)</f>
        <v>59203.114170829853</v>
      </c>
      <c r="I30" s="7">
        <f>(I27*'Emisi GRK'!I36)+('Emisi GRK'!I35*I28)</f>
        <v>62060.670781121204</v>
      </c>
      <c r="J30" s="7">
        <f>(J27*'Emisi GRK'!J36)+('Emisi GRK'!J35*J28)</f>
        <v>64768.443560027707</v>
      </c>
      <c r="K30" s="7">
        <f>(K27*'Emisi GRK'!K36)+('Emisi GRK'!K35*K28)</f>
        <v>67326.432507549369</v>
      </c>
      <c r="L30" s="7">
        <f>(L27*'Emisi GRK'!L36)+('Emisi GRK'!L35*L28)</f>
        <v>66002.11894131756</v>
      </c>
      <c r="M30" s="7">
        <f>(M27*'Emisi GRK'!M36)+('Emisi GRK'!M35*M28)</f>
        <v>64677.805375085751</v>
      </c>
      <c r="N30" s="7">
        <f>(N27*'Emisi GRK'!N36)+('Emisi GRK'!N35*N28)</f>
        <v>63353.491808853942</v>
      </c>
      <c r="O30" s="7">
        <f>(O27*'Emisi GRK'!O36)+('Emisi GRK'!O35*O28)</f>
        <v>62029.17824262214</v>
      </c>
      <c r="P30" s="7">
        <f>(P27*'Emisi GRK'!P36)+('Emisi GRK'!P35*P28)</f>
        <v>60704.864676390309</v>
      </c>
    </row>
    <row r="31" spans="1:16" x14ac:dyDescent="0.25">
      <c r="A31" s="9" t="s">
        <v>62</v>
      </c>
      <c r="B31" s="2">
        <f>B30*46%</f>
        <v>17623.542885000003</v>
      </c>
      <c r="C31" s="2">
        <f t="shared" ref="C31:P31" si="12">C30*46%</f>
        <v>19396.602500166457</v>
      </c>
      <c r="D31" s="2">
        <f t="shared" si="12"/>
        <v>21116.661682689039</v>
      </c>
      <c r="E31" s="2">
        <f t="shared" si="12"/>
        <v>22783.720432567763</v>
      </c>
      <c r="F31" s="2">
        <f t="shared" si="12"/>
        <v>24397.778749802608</v>
      </c>
      <c r="G31" s="2">
        <f t="shared" si="12"/>
        <v>25850.055915410685</v>
      </c>
      <c r="H31" s="2">
        <f t="shared" si="12"/>
        <v>27233.432518581732</v>
      </c>
      <c r="I31" s="2">
        <f t="shared" si="12"/>
        <v>28547.908559315754</v>
      </c>
      <c r="J31" s="2">
        <f t="shared" si="12"/>
        <v>29793.484037612747</v>
      </c>
      <c r="K31" s="2">
        <f t="shared" si="12"/>
        <v>30970.15895347271</v>
      </c>
      <c r="L31" s="2">
        <f t="shared" si="12"/>
        <v>30360.974713006079</v>
      </c>
      <c r="M31" s="2">
        <f t="shared" si="12"/>
        <v>29751.790472539447</v>
      </c>
      <c r="N31" s="2">
        <f t="shared" si="12"/>
        <v>29142.606232072816</v>
      </c>
      <c r="O31" s="2">
        <f t="shared" si="12"/>
        <v>28533.421991606185</v>
      </c>
      <c r="P31" s="2">
        <f t="shared" si="12"/>
        <v>27924.237751139543</v>
      </c>
    </row>
    <row r="32" spans="1:16" x14ac:dyDescent="0.25">
      <c r="A32" t="s">
        <v>63</v>
      </c>
      <c r="B32" s="2">
        <f>B30*'Emisi GRK'!B37*44/12</f>
        <v>28095.503150000004</v>
      </c>
      <c r="C32" s="2">
        <f>C30*'Emisi GRK'!C37*44/12</f>
        <v>30922.119927801599</v>
      </c>
      <c r="D32" s="2">
        <f>D30*'Emisi GRK'!D37*44/12</f>
        <v>33664.243262257885</v>
      </c>
      <c r="E32" s="2">
        <f>E30*'Emisi GRK'!E37*44/12</f>
        <v>36321.873153368899</v>
      </c>
      <c r="F32" s="2">
        <f>F30*'Emisi GRK'!F37*44/12</f>
        <v>38895.009601134596</v>
      </c>
      <c r="G32" s="2">
        <f>G30*'Emisi GRK'!G37*44/12</f>
        <v>41210.234068046018</v>
      </c>
      <c r="H32" s="2">
        <f>H30*'Emisi GRK'!H37*44/12</f>
        <v>43415.617058608565</v>
      </c>
      <c r="I32" s="2">
        <f>I30*'Emisi GRK'!I37*44/12</f>
        <v>45511.15857282222</v>
      </c>
      <c r="J32" s="2">
        <f>J30*'Emisi GRK'!J37*44/12</f>
        <v>47496.858610686984</v>
      </c>
      <c r="K32" s="2">
        <f>K30*'Emisi GRK'!K37*44/12</f>
        <v>49372.717172202865</v>
      </c>
      <c r="L32" s="2">
        <f>L30*'Emisi GRK'!L37*44/12</f>
        <v>48401.553890299547</v>
      </c>
      <c r="M32" s="2">
        <f>M30*'Emisi GRK'!M37*44/12</f>
        <v>47430.390608396214</v>
      </c>
      <c r="N32" s="2">
        <f>N30*'Emisi GRK'!N37*44/12</f>
        <v>46459.227326492895</v>
      </c>
      <c r="O32" s="2">
        <f>O30*'Emisi GRK'!O37*44/12</f>
        <v>45488.064044589577</v>
      </c>
      <c r="P32" s="2">
        <f>P30*'Emisi GRK'!P37*44/12</f>
        <v>44516.900762686237</v>
      </c>
    </row>
    <row r="33" spans="1:16" x14ac:dyDescent="0.25">
      <c r="A33" t="s">
        <v>64</v>
      </c>
      <c r="B33" s="11">
        <f>B31*'Emisi GRK'!B38*44/28*298</f>
        <v>82528.533681471454</v>
      </c>
      <c r="C33" s="11">
        <f>C31*'Emisi GRK'!C38*44/28*298</f>
        <v>90831.518565065227</v>
      </c>
      <c r="D33" s="11">
        <f>D31*'Emisi GRK'!D38*44/28*298</f>
        <v>98886.309994078096</v>
      </c>
      <c r="E33" s="11">
        <f>E31*'Emisi GRK'!E38*44/28*298</f>
        <v>106692.90796851019</v>
      </c>
      <c r="F33" s="11">
        <f>F31*'Emisi GRK'!F38*44/28*298</f>
        <v>114251.31248836135</v>
      </c>
      <c r="G33" s="11">
        <f>G31*'Emisi GRK'!G38*44/28*298</f>
        <v>121052.11898673746</v>
      </c>
      <c r="H33" s="11">
        <f>H31*'Emisi GRK'!H38*44/28*298</f>
        <v>127530.27399415844</v>
      </c>
      <c r="I33" s="11">
        <f>I31*'Emisi GRK'!I38*44/28*298</f>
        <v>133685.77751062435</v>
      </c>
      <c r="J33" s="11">
        <f>J31*'Emisi GRK'!J38*44/28*298</f>
        <v>139518.62953613512</v>
      </c>
      <c r="K33" s="11">
        <f>K31*'Emisi GRK'!K38*44/28*298</f>
        <v>145028.8300706908</v>
      </c>
      <c r="L33" s="11">
        <f>L31*'Emisi GRK'!L38*44/28*298</f>
        <v>142176.10729890561</v>
      </c>
      <c r="M33" s="11">
        <f>M31*'Emisi GRK'!M38*44/28*298</f>
        <v>139323.38452712045</v>
      </c>
      <c r="N33" s="11">
        <f>N31*'Emisi GRK'!N38*44/28*298</f>
        <v>136470.66175533528</v>
      </c>
      <c r="O33" s="11">
        <f>O31*'Emisi GRK'!O38*44/28*298</f>
        <v>133617.93898355012</v>
      </c>
      <c r="P33" s="11">
        <f>P31*'Emisi GRK'!P38*44/28*298</f>
        <v>130765.21621176488</v>
      </c>
    </row>
    <row r="34" spans="1:16" x14ac:dyDescent="0.25">
      <c r="A34" t="s">
        <v>65</v>
      </c>
      <c r="B34" s="2">
        <f>B31*'Emisi GRK'!B39*44/28*298</f>
        <v>26821.773446478219</v>
      </c>
      <c r="C34" s="2">
        <f>C31*'Emisi GRK'!C39*44/28*298</f>
        <v>29520.243533646189</v>
      </c>
      <c r="D34" s="2">
        <f>D31*'Emisi GRK'!D39*44/28*298</f>
        <v>32138.050748075377</v>
      </c>
      <c r="E34" s="2">
        <f>E31*'Emisi GRK'!E39*44/28*298</f>
        <v>34675.195089765803</v>
      </c>
      <c r="F34" s="2">
        <f>F31*'Emisi GRK'!F39*44/28*298</f>
        <v>37131.676558717445</v>
      </c>
      <c r="G34" s="2">
        <f>G31*'Emisi GRK'!G39*44/28*298</f>
        <v>39341.938670689677</v>
      </c>
      <c r="H34" s="2">
        <f>H31*'Emisi GRK'!H39*44/28*298</f>
        <v>41447.339048101494</v>
      </c>
      <c r="I34" s="2">
        <f>I31*'Emisi GRK'!I39*44/28*298</f>
        <v>43447.877690952912</v>
      </c>
      <c r="J34" s="2">
        <f>J31*'Emisi GRK'!J39*44/28*298</f>
        <v>45343.554599243907</v>
      </c>
      <c r="K34" s="2">
        <f>K31*'Emisi GRK'!K39*44/28*298</f>
        <v>47134.369772974496</v>
      </c>
      <c r="L34" s="2">
        <f>L31*'Emisi GRK'!L39*44/28*298</f>
        <v>46207.234872144327</v>
      </c>
      <c r="M34" s="2">
        <f>M31*'Emisi GRK'!M39*44/28*298</f>
        <v>45280.099971314143</v>
      </c>
      <c r="N34" s="2">
        <f>N31*'Emisi GRK'!N39*44/28*298</f>
        <v>44352.965070483959</v>
      </c>
      <c r="O34" s="2">
        <f>O31*'Emisi GRK'!O39*44/28*298</f>
        <v>43425.830169653789</v>
      </c>
      <c r="P34" s="2">
        <f>P31*'Emisi GRK'!P39*44/28*298</f>
        <v>42498.695268823583</v>
      </c>
    </row>
    <row r="35" spans="1:16" x14ac:dyDescent="0.25">
      <c r="A35" t="s">
        <v>66</v>
      </c>
      <c r="B35" s="2">
        <f>SUM(B32:B34)</f>
        <v>137445.81027794967</v>
      </c>
      <c r="C35" s="2">
        <f t="shared" ref="C35:P35" si="13">SUM(C32:C34)</f>
        <v>151273.88202651302</v>
      </c>
      <c r="D35" s="2">
        <f t="shared" si="13"/>
        <v>164688.60400441138</v>
      </c>
      <c r="E35" s="2">
        <f t="shared" si="13"/>
        <v>177689.97621164488</v>
      </c>
      <c r="F35" s="2">
        <f t="shared" si="13"/>
        <v>190277.9986482134</v>
      </c>
      <c r="G35" s="2">
        <f t="shared" si="13"/>
        <v>201604.29172547316</v>
      </c>
      <c r="H35" s="2">
        <f t="shared" si="13"/>
        <v>212393.2301008685</v>
      </c>
      <c r="I35" s="2">
        <f t="shared" si="13"/>
        <v>222644.81377439949</v>
      </c>
      <c r="J35" s="2">
        <f t="shared" si="13"/>
        <v>232359.04274606603</v>
      </c>
      <c r="K35" s="2">
        <f t="shared" si="13"/>
        <v>241535.91701586815</v>
      </c>
      <c r="L35" s="2">
        <f t="shared" si="13"/>
        <v>236784.89606134949</v>
      </c>
      <c r="M35" s="2">
        <f t="shared" si="13"/>
        <v>232033.87510683079</v>
      </c>
      <c r="N35" s="2">
        <f t="shared" si="13"/>
        <v>227282.85415231215</v>
      </c>
      <c r="O35" s="2">
        <f t="shared" si="13"/>
        <v>222531.83319779349</v>
      </c>
      <c r="P35" s="2">
        <f t="shared" si="13"/>
        <v>217780.8122432747</v>
      </c>
    </row>
    <row r="38" spans="1:16" x14ac:dyDescent="0.25">
      <c r="B38" s="63" t="s">
        <v>71</v>
      </c>
      <c r="C38" s="63"/>
      <c r="D38" s="63" t="s">
        <v>82</v>
      </c>
      <c r="E38" s="63"/>
    </row>
    <row r="39" spans="1:16" x14ac:dyDescent="0.25">
      <c r="B39" t="s">
        <v>79</v>
      </c>
      <c r="C39" t="s">
        <v>80</v>
      </c>
      <c r="D39" t="s">
        <v>79</v>
      </c>
      <c r="E39" t="s">
        <v>80</v>
      </c>
    </row>
    <row r="40" spans="1:16" x14ac:dyDescent="0.25">
      <c r="B40" s="17">
        <f>SUM(B19:P19)</f>
        <v>984476.49054984562</v>
      </c>
      <c r="C40" s="17">
        <f>SUM(B24:P24)</f>
        <v>3531843.6321255774</v>
      </c>
      <c r="D40" s="18">
        <f>SUM(B30:P30)</f>
        <v>855274.7334673556</v>
      </c>
      <c r="E40" s="17">
        <f>SUM(B35:P35)</f>
        <v>3068327.8372929683</v>
      </c>
    </row>
  </sheetData>
  <mergeCells count="2">
    <mergeCell ref="B38:C38"/>
    <mergeCell ref="D38:E38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P40"/>
  <sheetViews>
    <sheetView tabSelected="1" topLeftCell="A16" workbookViewId="0">
      <selection activeCell="H17" sqref="H17"/>
    </sheetView>
  </sheetViews>
  <sheetFormatPr defaultRowHeight="15" x14ac:dyDescent="0.25"/>
  <cols>
    <col min="1" max="1" width="48.28515625" customWidth="1"/>
    <col min="2" max="16" width="11.7109375" customWidth="1"/>
  </cols>
  <sheetData>
    <row r="2" spans="1:16" x14ac:dyDescent="0.25">
      <c r="B2">
        <v>2016</v>
      </c>
      <c r="C2">
        <v>2017</v>
      </c>
      <c r="D2">
        <v>2018</v>
      </c>
      <c r="E2">
        <v>2019</v>
      </c>
      <c r="F2">
        <v>2020</v>
      </c>
      <c r="G2">
        <v>2021</v>
      </c>
      <c r="H2">
        <v>2022</v>
      </c>
      <c r="I2">
        <v>2023</v>
      </c>
      <c r="J2">
        <v>2024</v>
      </c>
      <c r="K2">
        <v>2025</v>
      </c>
      <c r="L2">
        <v>2026</v>
      </c>
      <c r="M2">
        <v>2027</v>
      </c>
      <c r="N2">
        <v>2028</v>
      </c>
      <c r="O2">
        <v>2029</v>
      </c>
      <c r="P2">
        <v>2030</v>
      </c>
    </row>
    <row r="3" spans="1:16" x14ac:dyDescent="0.25">
      <c r="A3" t="s">
        <v>0</v>
      </c>
      <c r="B3" s="1">
        <v>450636</v>
      </c>
      <c r="C3" s="1">
        <f>B3+C4</f>
        <v>460604.1737246078</v>
      </c>
      <c r="D3" s="1">
        <f t="shared" ref="D3:O3" si="0">C3+D4</f>
        <v>470572.34744921559</v>
      </c>
      <c r="E3" s="1">
        <f t="shared" si="0"/>
        <v>480540.52117382339</v>
      </c>
      <c r="F3" s="1">
        <f t="shared" si="0"/>
        <v>490508.69489843119</v>
      </c>
      <c r="G3" s="1">
        <f t="shared" si="0"/>
        <v>500476.86862303899</v>
      </c>
      <c r="H3" s="1">
        <f t="shared" si="0"/>
        <v>510445.04234764678</v>
      </c>
      <c r="I3" s="1">
        <f t="shared" si="0"/>
        <v>520413.21607225458</v>
      </c>
      <c r="J3" s="1">
        <f t="shared" si="0"/>
        <v>530381.38979686238</v>
      </c>
      <c r="K3" s="1">
        <f t="shared" si="0"/>
        <v>540349.56352147018</v>
      </c>
      <c r="L3" s="1">
        <f t="shared" si="0"/>
        <v>540349.56352147018</v>
      </c>
      <c r="M3" s="1">
        <f t="shared" si="0"/>
        <v>540349.56352147018</v>
      </c>
      <c r="N3" s="1">
        <f t="shared" si="0"/>
        <v>540349.56352147018</v>
      </c>
      <c r="O3" s="1">
        <f t="shared" si="0"/>
        <v>540349.56352147018</v>
      </c>
      <c r="P3" s="1">
        <f>[2]Proyeksi!$F$44</f>
        <v>540349.56352147006</v>
      </c>
    </row>
    <row r="4" spans="1:16" x14ac:dyDescent="0.25">
      <c r="A4" t="s">
        <v>2</v>
      </c>
      <c r="B4" s="1"/>
      <c r="C4" s="1">
        <f>(P3-B3)/9</f>
        <v>9968.1737246077846</v>
      </c>
      <c r="D4" s="1">
        <f>C4</f>
        <v>9968.1737246077846</v>
      </c>
      <c r="E4" s="1">
        <f t="shared" ref="E4:K4" si="1">D4</f>
        <v>9968.1737246077846</v>
      </c>
      <c r="F4" s="1">
        <f t="shared" si="1"/>
        <v>9968.1737246077846</v>
      </c>
      <c r="G4" s="1">
        <f t="shared" si="1"/>
        <v>9968.1737246077846</v>
      </c>
      <c r="H4" s="1">
        <f t="shared" si="1"/>
        <v>9968.1737246077846</v>
      </c>
      <c r="I4" s="1">
        <f t="shared" si="1"/>
        <v>9968.1737246077846</v>
      </c>
      <c r="J4" s="1">
        <f t="shared" si="1"/>
        <v>9968.1737246077846</v>
      </c>
      <c r="K4" s="1">
        <f t="shared" si="1"/>
        <v>9968.1737246077846</v>
      </c>
      <c r="L4" s="1"/>
      <c r="M4" s="1"/>
      <c r="N4" s="1"/>
      <c r="O4" s="1"/>
      <c r="P4" s="1"/>
    </row>
    <row r="5" spans="1:16" x14ac:dyDescent="0.25">
      <c r="A5" t="s">
        <v>10</v>
      </c>
      <c r="B5" s="1">
        <v>150398</v>
      </c>
      <c r="C5" s="1">
        <f>B5-(B5/4)</f>
        <v>112798.5</v>
      </c>
      <c r="D5" s="1">
        <f>C5-(B5/4)</f>
        <v>75199</v>
      </c>
      <c r="E5" s="1">
        <f>D5-(B5/4)</f>
        <v>37599.5</v>
      </c>
      <c r="F5" s="1">
        <f>E5-(B5/4)</f>
        <v>0</v>
      </c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25">
      <c r="A6" t="s">
        <v>13</v>
      </c>
      <c r="B6" s="1">
        <v>299858</v>
      </c>
      <c r="C6" s="1">
        <f>B6+(B5-C5)</f>
        <v>337457.5</v>
      </c>
      <c r="D6" s="1">
        <f>C6+(C5-D5)</f>
        <v>375057</v>
      </c>
      <c r="E6" s="1">
        <f>D6+(D5-E5)</f>
        <v>412656.5</v>
      </c>
      <c r="F6" s="1">
        <f>E6+(E5-F5)</f>
        <v>450256</v>
      </c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25">
      <c r="A7" t="s">
        <v>4</v>
      </c>
      <c r="B7" s="1">
        <f>B6</f>
        <v>299858</v>
      </c>
      <c r="C7" s="1">
        <f>C6</f>
        <v>337457.5</v>
      </c>
      <c r="D7" s="1">
        <f>D6</f>
        <v>375057</v>
      </c>
      <c r="E7" s="1">
        <f>E6</f>
        <v>412656.5</v>
      </c>
      <c r="F7" s="1">
        <f>F6</f>
        <v>450256</v>
      </c>
      <c r="G7" s="1">
        <f>F6+C4</f>
        <v>460224.1737246078</v>
      </c>
      <c r="H7" s="1">
        <f>G7+D4</f>
        <v>470192.34744921559</v>
      </c>
      <c r="I7" s="1">
        <f t="shared" ref="I7:P7" si="2">H7+E4</f>
        <v>480160.52117382339</v>
      </c>
      <c r="J7" s="1">
        <f t="shared" si="2"/>
        <v>490128.69489843119</v>
      </c>
      <c r="K7" s="1">
        <f t="shared" si="2"/>
        <v>500096.86862303899</v>
      </c>
      <c r="L7" s="1">
        <f t="shared" si="2"/>
        <v>510065.04234764678</v>
      </c>
      <c r="M7" s="1">
        <f t="shared" si="2"/>
        <v>520033.21607225458</v>
      </c>
      <c r="N7" s="1">
        <f t="shared" si="2"/>
        <v>530001.38979686238</v>
      </c>
      <c r="O7" s="1">
        <f t="shared" si="2"/>
        <v>539969.56352147018</v>
      </c>
      <c r="P7" s="1">
        <f t="shared" si="2"/>
        <v>539969.56352147018</v>
      </c>
    </row>
    <row r="8" spans="1:16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25">
      <c r="A9" t="s">
        <v>5</v>
      </c>
      <c r="B9">
        <v>16.899999999999999</v>
      </c>
      <c r="C9" s="5">
        <f>B9+0.486</f>
        <v>17.385999999999999</v>
      </c>
      <c r="D9" s="5">
        <f t="shared" ref="D9:O9" si="3">C9+0.486</f>
        <v>17.872</v>
      </c>
      <c r="E9" s="5">
        <f t="shared" si="3"/>
        <v>18.358000000000001</v>
      </c>
      <c r="F9" s="5">
        <f t="shared" si="3"/>
        <v>18.844000000000001</v>
      </c>
      <c r="G9" s="5">
        <f t="shared" si="3"/>
        <v>19.330000000000002</v>
      </c>
      <c r="H9" s="5">
        <f t="shared" si="3"/>
        <v>19.816000000000003</v>
      </c>
      <c r="I9" s="5">
        <f t="shared" si="3"/>
        <v>20.302000000000003</v>
      </c>
      <c r="J9" s="5">
        <f t="shared" si="3"/>
        <v>20.788000000000004</v>
      </c>
      <c r="K9" s="5">
        <f t="shared" si="3"/>
        <v>21.274000000000004</v>
      </c>
      <c r="L9" s="5">
        <f t="shared" si="3"/>
        <v>21.760000000000005</v>
      </c>
      <c r="M9" s="5">
        <f t="shared" si="3"/>
        <v>22.246000000000006</v>
      </c>
      <c r="N9" s="5">
        <f t="shared" si="3"/>
        <v>22.732000000000006</v>
      </c>
      <c r="O9" s="5">
        <f t="shared" si="3"/>
        <v>23.218000000000007</v>
      </c>
      <c r="P9" s="3">
        <v>23.7</v>
      </c>
    </row>
    <row r="10" spans="1:16" x14ac:dyDescent="0.25">
      <c r="A10" t="s">
        <v>6</v>
      </c>
      <c r="B10" s="2">
        <f>B7*B9</f>
        <v>5067600.1999999993</v>
      </c>
      <c r="C10" s="2">
        <f t="shared" ref="C10:P10" si="4">C7*C9</f>
        <v>5867036.0949999997</v>
      </c>
      <c r="D10" s="2">
        <f t="shared" si="4"/>
        <v>6703018.7039999999</v>
      </c>
      <c r="E10" s="2">
        <f t="shared" si="4"/>
        <v>7575548.0269999998</v>
      </c>
      <c r="F10" s="2">
        <f t="shared" si="4"/>
        <v>8484624.0640000012</v>
      </c>
      <c r="G10" s="2">
        <f t="shared" si="4"/>
        <v>8896133.2780966703</v>
      </c>
      <c r="H10" s="2">
        <f t="shared" si="4"/>
        <v>9317331.5570536572</v>
      </c>
      <c r="I10" s="2">
        <f t="shared" si="4"/>
        <v>9748218.9008709639</v>
      </c>
      <c r="J10" s="2">
        <f t="shared" si="4"/>
        <v>10188795.30954859</v>
      </c>
      <c r="K10" s="2">
        <f t="shared" si="4"/>
        <v>10639060.783086533</v>
      </c>
      <c r="L10" s="2">
        <f t="shared" si="4"/>
        <v>11099015.321484797</v>
      </c>
      <c r="M10" s="2">
        <f t="shared" si="4"/>
        <v>11568658.924743379</v>
      </c>
      <c r="N10" s="2">
        <f t="shared" si="4"/>
        <v>12047991.592862278</v>
      </c>
      <c r="O10" s="2">
        <f t="shared" si="4"/>
        <v>12537013.325841498</v>
      </c>
      <c r="P10" s="2">
        <f t="shared" si="4"/>
        <v>12797278.655458843</v>
      </c>
    </row>
    <row r="11" spans="1:16" x14ac:dyDescent="0.25">
      <c r="A11" t="s">
        <v>7</v>
      </c>
      <c r="B11" s="2">
        <f>B10*21/10^3</f>
        <v>106419.60419999999</v>
      </c>
      <c r="C11" s="2">
        <f t="shared" ref="C11:P11" si="5">C10*21/10^3</f>
        <v>123207.75799499999</v>
      </c>
      <c r="D11" s="2">
        <f t="shared" si="5"/>
        <v>140763.392784</v>
      </c>
      <c r="E11" s="2">
        <f t="shared" si="5"/>
        <v>159086.50856700001</v>
      </c>
      <c r="F11" s="2">
        <f t="shared" si="5"/>
        <v>178177.10534400001</v>
      </c>
      <c r="G11" s="2">
        <f t="shared" si="5"/>
        <v>186818.79884003007</v>
      </c>
      <c r="H11" s="2">
        <f t="shared" si="5"/>
        <v>195663.96269812679</v>
      </c>
      <c r="I11" s="2">
        <f t="shared" si="5"/>
        <v>204712.59691829025</v>
      </c>
      <c r="J11" s="2">
        <f t="shared" si="5"/>
        <v>213964.7015005204</v>
      </c>
      <c r="K11" s="2">
        <f t="shared" si="5"/>
        <v>223420.27644481719</v>
      </c>
      <c r="L11" s="2">
        <f t="shared" si="5"/>
        <v>233079.32175118075</v>
      </c>
      <c r="M11" s="2">
        <f t="shared" si="5"/>
        <v>242941.83741961094</v>
      </c>
      <c r="N11" s="2">
        <f t="shared" si="5"/>
        <v>253007.82345010786</v>
      </c>
      <c r="O11" s="2">
        <f t="shared" si="5"/>
        <v>263277.27984267147</v>
      </c>
      <c r="P11" s="2">
        <f t="shared" si="5"/>
        <v>268742.85176463571</v>
      </c>
    </row>
    <row r="12" spans="1:16" x14ac:dyDescent="0.25">
      <c r="A12" t="s">
        <v>8</v>
      </c>
      <c r="B12" s="2">
        <f>B11/6329</f>
        <v>16.814600126402272</v>
      </c>
      <c r="C12" s="2">
        <f t="shared" ref="C12:P12" si="6">C11/6329</f>
        <v>19.467176172381102</v>
      </c>
      <c r="D12" s="2">
        <f t="shared" si="6"/>
        <v>22.241016398167165</v>
      </c>
      <c r="E12" s="2">
        <f t="shared" si="6"/>
        <v>25.13612080376047</v>
      </c>
      <c r="F12" s="2">
        <f t="shared" si="6"/>
        <v>28.152489389161005</v>
      </c>
      <c r="G12" s="2">
        <f t="shared" si="6"/>
        <v>29.517901538952451</v>
      </c>
      <c r="H12" s="2">
        <f t="shared" si="6"/>
        <v>30.915462584630557</v>
      </c>
      <c r="I12" s="2">
        <f t="shared" si="6"/>
        <v>32.345172526195334</v>
      </c>
      <c r="J12" s="2">
        <f t="shared" si="6"/>
        <v>33.807031363646772</v>
      </c>
      <c r="K12" s="2">
        <f t="shared" si="6"/>
        <v>35.301039096984866</v>
      </c>
      <c r="L12" s="2">
        <f t="shared" si="6"/>
        <v>36.827195726209631</v>
      </c>
      <c r="M12" s="2">
        <f t="shared" si="6"/>
        <v>38.385501251321053</v>
      </c>
      <c r="N12" s="2">
        <f t="shared" si="6"/>
        <v>39.975955672319145</v>
      </c>
      <c r="O12" s="2">
        <f t="shared" si="6"/>
        <v>41.598558989203902</v>
      </c>
      <c r="P12" s="2">
        <f t="shared" si="6"/>
        <v>42.462134897240595</v>
      </c>
    </row>
    <row r="13" spans="1:16" x14ac:dyDescent="0.25">
      <c r="B13" s="2"/>
    </row>
    <row r="14" spans="1:16" x14ac:dyDescent="0.25">
      <c r="A14" t="s">
        <v>9</v>
      </c>
      <c r="B14" s="2">
        <f>B10/170000</f>
        <v>29.809412941176465</v>
      </c>
      <c r="C14" s="2">
        <f t="shared" ref="C14:P14" si="7">C10/170000</f>
        <v>34.51197702941176</v>
      </c>
      <c r="D14" s="2">
        <f t="shared" si="7"/>
        <v>39.429521788235292</v>
      </c>
      <c r="E14" s="2">
        <f t="shared" si="7"/>
        <v>44.562047217647056</v>
      </c>
      <c r="F14" s="2">
        <f t="shared" si="7"/>
        <v>49.909553317647067</v>
      </c>
      <c r="G14" s="2">
        <f t="shared" si="7"/>
        <v>52.330195753509827</v>
      </c>
      <c r="H14" s="2">
        <f t="shared" si="7"/>
        <v>54.807832688550924</v>
      </c>
      <c r="I14" s="2">
        <f t="shared" si="7"/>
        <v>57.342464122770373</v>
      </c>
      <c r="J14" s="2">
        <f t="shared" si="7"/>
        <v>59.934090056168181</v>
      </c>
      <c r="K14" s="2">
        <f t="shared" si="7"/>
        <v>62.582710488744311</v>
      </c>
      <c r="L14" s="2">
        <f t="shared" si="7"/>
        <v>65.288325420498808</v>
      </c>
      <c r="M14" s="2">
        <f t="shared" si="7"/>
        <v>68.050934851431634</v>
      </c>
      <c r="N14" s="2">
        <f t="shared" si="7"/>
        <v>70.87053878154282</v>
      </c>
      <c r="O14" s="2">
        <f t="shared" si="7"/>
        <v>73.747137210832335</v>
      </c>
      <c r="P14" s="2">
        <f t="shared" si="7"/>
        <v>75.278109737993191</v>
      </c>
    </row>
    <row r="17" spans="1:16" x14ac:dyDescent="0.25">
      <c r="A17" s="12" t="s">
        <v>71</v>
      </c>
      <c r="B17" s="10">
        <f>B2</f>
        <v>2016</v>
      </c>
      <c r="C17" s="10">
        <f t="shared" ref="C17:P17" si="8">C2</f>
        <v>2017</v>
      </c>
      <c r="D17" s="10">
        <f t="shared" si="8"/>
        <v>2018</v>
      </c>
      <c r="E17" s="10">
        <f t="shared" si="8"/>
        <v>2019</v>
      </c>
      <c r="F17" s="10">
        <f t="shared" si="8"/>
        <v>2020</v>
      </c>
      <c r="G17" s="10">
        <f t="shared" si="8"/>
        <v>2021</v>
      </c>
      <c r="H17" s="10">
        <f t="shared" si="8"/>
        <v>2022</v>
      </c>
      <c r="I17" s="10">
        <f t="shared" si="8"/>
        <v>2023</v>
      </c>
      <c r="J17" s="10">
        <f t="shared" si="8"/>
        <v>2024</v>
      </c>
      <c r="K17" s="10">
        <f t="shared" si="8"/>
        <v>2025</v>
      </c>
      <c r="L17" s="10">
        <f t="shared" si="8"/>
        <v>2026</v>
      </c>
      <c r="M17" s="10">
        <f t="shared" si="8"/>
        <v>2027</v>
      </c>
      <c r="N17" s="10">
        <f t="shared" si="8"/>
        <v>2028</v>
      </c>
      <c r="O17" s="10">
        <f t="shared" si="8"/>
        <v>2029</v>
      </c>
      <c r="P17" s="10">
        <f t="shared" si="8"/>
        <v>2030</v>
      </c>
    </row>
    <row r="18" spans="1:16" x14ac:dyDescent="0.25">
      <c r="A18" t="s">
        <v>53</v>
      </c>
      <c r="H18" s="4"/>
      <c r="I18" s="4"/>
      <c r="P18" s="7"/>
    </row>
    <row r="19" spans="1:16" x14ac:dyDescent="0.25">
      <c r="A19" s="9" t="s">
        <v>61</v>
      </c>
      <c r="B19" s="2">
        <f>B3*'Emisi GRK'!B35</f>
        <v>145104.79200000002</v>
      </c>
      <c r="C19" s="2">
        <f>C3*'Emisi GRK'!C35</f>
        <v>148314.54393932372</v>
      </c>
      <c r="D19" s="2">
        <f>D3*'Emisi GRK'!D35</f>
        <v>151524.29587864742</v>
      </c>
      <c r="E19" s="2">
        <f>E3*'Emisi GRK'!E35</f>
        <v>154734.04781797115</v>
      </c>
      <c r="F19" s="2">
        <f>F3*'Emisi GRK'!F35</f>
        <v>157943.79975729485</v>
      </c>
      <c r="G19" s="2">
        <f>G3*'Emisi GRK'!G35</f>
        <v>161153.55169661855</v>
      </c>
      <c r="H19" s="2">
        <f>H3*'Emisi GRK'!H35</f>
        <v>164363.30363594225</v>
      </c>
      <c r="I19" s="2">
        <f>I3*'Emisi GRK'!I35</f>
        <v>167573.05557526599</v>
      </c>
      <c r="J19" s="2">
        <f>J3*'Emisi GRK'!J35</f>
        <v>170782.80751458969</v>
      </c>
      <c r="K19" s="2">
        <f>K3*'Emisi GRK'!K35</f>
        <v>173992.55945391339</v>
      </c>
      <c r="L19" s="2">
        <f>L3*'Emisi GRK'!L35</f>
        <v>173992.55945391339</v>
      </c>
      <c r="M19" s="2">
        <f>M3*'Emisi GRK'!M35</f>
        <v>173992.55945391339</v>
      </c>
      <c r="N19" s="2">
        <f>N3*'Emisi GRK'!N35</f>
        <v>173992.55945391339</v>
      </c>
      <c r="O19" s="2">
        <f>O3*'Emisi GRK'!O35</f>
        <v>173992.55945391339</v>
      </c>
      <c r="P19" s="2">
        <f>P3*'Emisi GRK'!P35</f>
        <v>173992.55945391336</v>
      </c>
    </row>
    <row r="20" spans="1:16" x14ac:dyDescent="0.25">
      <c r="A20" s="9" t="s">
        <v>62</v>
      </c>
      <c r="B20" s="2">
        <f>B19*46%</f>
        <v>66748.204320000004</v>
      </c>
      <c r="C20" s="2">
        <f t="shared" ref="C20:P20" si="9">C19*46%</f>
        <v>68224.690212088914</v>
      </c>
      <c r="D20" s="2">
        <f t="shared" si="9"/>
        <v>69701.176104177823</v>
      </c>
      <c r="E20" s="2">
        <f t="shared" si="9"/>
        <v>71177.661996266732</v>
      </c>
      <c r="F20" s="2">
        <f t="shared" si="9"/>
        <v>72654.147888355641</v>
      </c>
      <c r="G20" s="2">
        <f t="shared" si="9"/>
        <v>74130.633780444536</v>
      </c>
      <c r="H20" s="2">
        <f t="shared" si="9"/>
        <v>75607.119672533445</v>
      </c>
      <c r="I20" s="2">
        <f t="shared" si="9"/>
        <v>77083.605564622354</v>
      </c>
      <c r="J20" s="2">
        <f t="shared" si="9"/>
        <v>78560.091456711263</v>
      </c>
      <c r="K20" s="2">
        <f t="shared" si="9"/>
        <v>80036.577348800158</v>
      </c>
      <c r="L20" s="2">
        <f t="shared" si="9"/>
        <v>80036.577348800158</v>
      </c>
      <c r="M20" s="2">
        <f t="shared" si="9"/>
        <v>80036.577348800158</v>
      </c>
      <c r="N20" s="2">
        <f t="shared" si="9"/>
        <v>80036.577348800158</v>
      </c>
      <c r="O20" s="2">
        <f t="shared" si="9"/>
        <v>80036.577348800158</v>
      </c>
      <c r="P20" s="2">
        <f t="shared" si="9"/>
        <v>80036.577348800143</v>
      </c>
    </row>
    <row r="21" spans="1:16" x14ac:dyDescent="0.25">
      <c r="A21" t="s">
        <v>63</v>
      </c>
      <c r="B21" s="2">
        <f>B19*'Emisi GRK'!B37*44/12</f>
        <v>106410.18080000002</v>
      </c>
      <c r="C21" s="2">
        <f>C19*'Emisi GRK'!C37*44/12</f>
        <v>108763.99888883739</v>
      </c>
      <c r="D21" s="2">
        <f>D19*'Emisi GRK'!D37*44/12</f>
        <v>111117.81697767478</v>
      </c>
      <c r="E21" s="2">
        <f>E19*'Emisi GRK'!E37*44/12</f>
        <v>113471.63506651217</v>
      </c>
      <c r="F21" s="2">
        <f>F19*'Emisi GRK'!F37*44/12</f>
        <v>115825.45315534955</v>
      </c>
      <c r="G21" s="2">
        <f>G19*'Emisi GRK'!G37*44/12</f>
        <v>118179.27124418695</v>
      </c>
      <c r="H21" s="2">
        <f>H19*'Emisi GRK'!H37*44/12</f>
        <v>120533.08933302433</v>
      </c>
      <c r="I21" s="2">
        <f>I19*'Emisi GRK'!I37*44/12</f>
        <v>122886.90742186173</v>
      </c>
      <c r="J21" s="2">
        <f>J19*'Emisi GRK'!J37*44/12</f>
        <v>125240.72551069911</v>
      </c>
      <c r="K21" s="2">
        <f>K19*'Emisi GRK'!K37*44/12</f>
        <v>127594.54359953648</v>
      </c>
      <c r="L21" s="2">
        <f>L19*'Emisi GRK'!L37*44/12</f>
        <v>127594.54359953648</v>
      </c>
      <c r="M21" s="2">
        <f>M19*'Emisi GRK'!M37*44/12</f>
        <v>127594.54359953648</v>
      </c>
      <c r="N21" s="2">
        <f>N19*'Emisi GRK'!N37*44/12</f>
        <v>127594.54359953648</v>
      </c>
      <c r="O21" s="2">
        <f>O19*'Emisi GRK'!O37*44/12</f>
        <v>127594.54359953648</v>
      </c>
      <c r="P21" s="2">
        <f>P19*'Emisi GRK'!P37*44/12</f>
        <v>127594.54359953648</v>
      </c>
    </row>
    <row r="22" spans="1:16" x14ac:dyDescent="0.25">
      <c r="A22" t="s">
        <v>64</v>
      </c>
      <c r="B22" s="11">
        <f>B20*'Emisi GRK'!B38*44/28*298</f>
        <v>312572.30537279998</v>
      </c>
      <c r="C22" s="11">
        <f>C20*'Emisi GRK'!C38*44/28*298</f>
        <v>319486.47787889634</v>
      </c>
      <c r="D22" s="11">
        <f>D20*'Emisi GRK'!D38*44/28*298</f>
        <v>326400.65038499271</v>
      </c>
      <c r="E22" s="11">
        <f>E20*'Emisi GRK'!E38*44/28*298</f>
        <v>333314.82289108908</v>
      </c>
      <c r="F22" s="11">
        <f>F20*'Emisi GRK'!F38*44/28*298</f>
        <v>340228.99539718538</v>
      </c>
      <c r="G22" s="11">
        <f>G20*'Emisi GRK'!G38*44/28*298</f>
        <v>347143.16790328169</v>
      </c>
      <c r="H22" s="11">
        <f>H20*'Emisi GRK'!H38*44/28*298</f>
        <v>354057.34040937811</v>
      </c>
      <c r="I22" s="11">
        <f>I20*'Emisi GRK'!I38*44/28*298</f>
        <v>360971.51291547442</v>
      </c>
      <c r="J22" s="11">
        <f>J20*'Emisi GRK'!J38*44/28*298</f>
        <v>367885.68542157079</v>
      </c>
      <c r="K22" s="11">
        <f>K20*'Emisi GRK'!K38*44/28*298</f>
        <v>374799.85792766709</v>
      </c>
      <c r="L22" s="11">
        <f>L20*'Emisi GRK'!L38*44/28*298</f>
        <v>374799.85792766709</v>
      </c>
      <c r="M22" s="11">
        <f>M20*'Emisi GRK'!M38*44/28*298</f>
        <v>374799.85792766709</v>
      </c>
      <c r="N22" s="11">
        <f>N20*'Emisi GRK'!N38*44/28*298</f>
        <v>374799.85792766709</v>
      </c>
      <c r="O22" s="11">
        <f>O20*'Emisi GRK'!O38*44/28*298</f>
        <v>374799.85792766709</v>
      </c>
      <c r="P22" s="11">
        <f>P20*'Emisi GRK'!P38*44/28*298</f>
        <v>374799.85792766704</v>
      </c>
    </row>
    <row r="23" spans="1:16" x14ac:dyDescent="0.25">
      <c r="A23" t="s">
        <v>65</v>
      </c>
      <c r="B23" s="2">
        <f>B20*'Emisi GRK'!B39*44/28*298</f>
        <v>101585.99924616</v>
      </c>
      <c r="C23" s="2">
        <f>C20*'Emisi GRK'!C39*44/28*298</f>
        <v>103833.10531064133</v>
      </c>
      <c r="D23" s="2">
        <f>D20*'Emisi GRK'!D39*44/28*298</f>
        <v>106080.21137512263</v>
      </c>
      <c r="E23" s="2">
        <f>E20*'Emisi GRK'!E39*44/28*298</f>
        <v>108327.31743960394</v>
      </c>
      <c r="F23" s="2">
        <f>F20*'Emisi GRK'!F39*44/28*298</f>
        <v>110574.42350408525</v>
      </c>
      <c r="G23" s="2">
        <f>G20*'Emisi GRK'!G39*44/28*298</f>
        <v>112821.52956856655</v>
      </c>
      <c r="H23" s="2">
        <f>H20*'Emisi GRK'!H39*44/28*298</f>
        <v>115068.63563304784</v>
      </c>
      <c r="I23" s="2">
        <f>I20*'Emisi GRK'!I39*44/28*298</f>
        <v>117315.74169752917</v>
      </c>
      <c r="J23" s="2">
        <f>J20*'Emisi GRK'!J39*44/28*298</f>
        <v>119562.84776201048</v>
      </c>
      <c r="K23" s="2">
        <f>K20*'Emisi GRK'!K39*44/28*298</f>
        <v>121809.95382649176</v>
      </c>
      <c r="L23" s="2">
        <f>L20*'Emisi GRK'!L39*44/28*298</f>
        <v>121809.95382649176</v>
      </c>
      <c r="M23" s="2">
        <f>M20*'Emisi GRK'!M39*44/28*298</f>
        <v>121809.95382649176</v>
      </c>
      <c r="N23" s="2">
        <f>N20*'Emisi GRK'!N39*44/28*298</f>
        <v>121809.95382649176</v>
      </c>
      <c r="O23" s="2">
        <f>O20*'Emisi GRK'!O39*44/28*298</f>
        <v>121809.95382649176</v>
      </c>
      <c r="P23" s="2">
        <f>P20*'Emisi GRK'!P39*44/28*298</f>
        <v>121809.95382649176</v>
      </c>
    </row>
    <row r="24" spans="1:16" x14ac:dyDescent="0.25">
      <c r="A24" t="s">
        <v>66</v>
      </c>
      <c r="B24" s="2">
        <f>SUM(B21:B23)</f>
        <v>520568.48541895999</v>
      </c>
      <c r="C24" s="2">
        <f t="shared" ref="C24:P24" si="10">SUM(C21:C23)</f>
        <v>532083.58207837504</v>
      </c>
      <c r="D24" s="2">
        <f t="shared" si="10"/>
        <v>543598.67873779009</v>
      </c>
      <c r="E24" s="2">
        <f t="shared" si="10"/>
        <v>555113.77539720514</v>
      </c>
      <c r="F24" s="2">
        <f t="shared" si="10"/>
        <v>566628.8720566202</v>
      </c>
      <c r="G24" s="2">
        <f t="shared" si="10"/>
        <v>578143.96871603525</v>
      </c>
      <c r="H24" s="2">
        <f t="shared" si="10"/>
        <v>589659.0653754503</v>
      </c>
      <c r="I24" s="2">
        <f t="shared" si="10"/>
        <v>601174.16203486535</v>
      </c>
      <c r="J24" s="2">
        <f t="shared" si="10"/>
        <v>612689.2586942804</v>
      </c>
      <c r="K24" s="2">
        <f t="shared" si="10"/>
        <v>624204.35535369534</v>
      </c>
      <c r="L24" s="2">
        <f t="shared" si="10"/>
        <v>624204.35535369534</v>
      </c>
      <c r="M24" s="2">
        <f t="shared" si="10"/>
        <v>624204.35535369534</v>
      </c>
      <c r="N24" s="2">
        <f t="shared" si="10"/>
        <v>624204.35535369534</v>
      </c>
      <c r="O24" s="2">
        <f t="shared" si="10"/>
        <v>624204.35535369534</v>
      </c>
      <c r="P24" s="2">
        <f t="shared" si="10"/>
        <v>624204.35535369522</v>
      </c>
    </row>
    <row r="25" spans="1:16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12" t="s">
        <v>72</v>
      </c>
    </row>
    <row r="27" spans="1:16" x14ac:dyDescent="0.25">
      <c r="A27" t="s">
        <v>73</v>
      </c>
      <c r="B27" s="2">
        <f>B3*'Rekab Kab'!B25</f>
        <v>22531.800000000003</v>
      </c>
      <c r="C27" s="2">
        <f>C3*'Rekab Kab'!C25</f>
        <v>46060.417372460783</v>
      </c>
      <c r="D27" s="2">
        <f>D3*'Rekab Kab'!D25</f>
        <v>70585.852117382354</v>
      </c>
      <c r="E27" s="2">
        <f>E3*'Rekab Kab'!E25</f>
        <v>96108.104234764687</v>
      </c>
      <c r="F27" s="2">
        <f>F3*'Rekab Kab'!F25</f>
        <v>122627.1737246078</v>
      </c>
      <c r="G27" s="2">
        <f>G3*'Rekab Kab'!G25</f>
        <v>157650.21361625727</v>
      </c>
      <c r="H27" s="2">
        <f>H3*'Rekab Kab'!H25</f>
        <v>193969.11609210577</v>
      </c>
      <c r="I27" s="2">
        <f>I3*'Rekab Kab'!I25</f>
        <v>231583.88115215331</v>
      </c>
      <c r="J27" s="2">
        <f>J3*'Rekab Kab'!J25</f>
        <v>270494.50879639981</v>
      </c>
      <c r="K27" s="2">
        <f>K3*'Rekab Kab'!K25</f>
        <v>310700.99902484531</v>
      </c>
      <c r="L27" s="2">
        <f>L3*'Rekab Kab'!L25</f>
        <v>345823.72065374086</v>
      </c>
      <c r="M27" s="2">
        <f>M3*'Rekab Kab'!M25</f>
        <v>380946.44228263642</v>
      </c>
      <c r="N27" s="2">
        <f>N3*'Rekab Kab'!N25</f>
        <v>416069.16391153191</v>
      </c>
      <c r="O27" s="2">
        <f>O3*'Rekab Kab'!O25</f>
        <v>451191.88554042747</v>
      </c>
      <c r="P27" s="2">
        <f>P3*'Rekab Kab'!P25</f>
        <v>486314.60716932308</v>
      </c>
    </row>
    <row r="28" spans="1:16" x14ac:dyDescent="0.25">
      <c r="A28" t="s">
        <v>74</v>
      </c>
      <c r="B28" s="2">
        <f>B3-B27</f>
        <v>428104.2</v>
      </c>
      <c r="C28" s="2">
        <f t="shared" ref="C28:P28" si="11">C3-C27</f>
        <v>414543.75635214703</v>
      </c>
      <c r="D28" s="2">
        <f t="shared" si="11"/>
        <v>399986.49533183326</v>
      </c>
      <c r="E28" s="2">
        <f t="shared" si="11"/>
        <v>384432.41693905869</v>
      </c>
      <c r="F28" s="2">
        <f t="shared" si="11"/>
        <v>367881.52117382339</v>
      </c>
      <c r="G28" s="2">
        <f t="shared" si="11"/>
        <v>342826.65500678169</v>
      </c>
      <c r="H28" s="2">
        <f t="shared" si="11"/>
        <v>316475.92625554104</v>
      </c>
      <c r="I28" s="2">
        <f t="shared" si="11"/>
        <v>288829.33492010128</v>
      </c>
      <c r="J28" s="2">
        <f t="shared" si="11"/>
        <v>259886.88100046257</v>
      </c>
      <c r="K28" s="2">
        <f t="shared" si="11"/>
        <v>229648.56449662487</v>
      </c>
      <c r="L28" s="2">
        <f t="shared" si="11"/>
        <v>194525.84286772931</v>
      </c>
      <c r="M28" s="2">
        <f t="shared" si="11"/>
        <v>159403.12123883376</v>
      </c>
      <c r="N28" s="2">
        <f t="shared" si="11"/>
        <v>124280.39960993826</v>
      </c>
      <c r="O28" s="2">
        <f t="shared" si="11"/>
        <v>89157.677981042711</v>
      </c>
      <c r="P28" s="2">
        <f t="shared" si="11"/>
        <v>54034.956352146983</v>
      </c>
    </row>
    <row r="29" spans="1:16" x14ac:dyDescent="0.25">
      <c r="A29" t="s">
        <v>53</v>
      </c>
    </row>
    <row r="30" spans="1:16" x14ac:dyDescent="0.25">
      <c r="A30" s="9" t="s">
        <v>61</v>
      </c>
      <c r="B30" s="7">
        <f>(B27*'Emisi GRK'!B36)+('Emisi GRK'!B35*B28)</f>
        <v>143234.65260000003</v>
      </c>
      <c r="C30" s="7">
        <f>(C27*'Emisi GRK'!C36)+('Emisi GRK'!C35*C28)</f>
        <v>144491.52929740949</v>
      </c>
      <c r="D30" s="7">
        <f>(D27*'Emisi GRK'!D36)+('Emisi GRK'!D35*D28)</f>
        <v>145665.6701529047</v>
      </c>
      <c r="E30" s="7">
        <f>(E27*'Emisi GRK'!E36)+('Emisi GRK'!E35*E28)</f>
        <v>146757.07516648568</v>
      </c>
      <c r="F30" s="7">
        <f>(F27*'Emisi GRK'!F36)+('Emisi GRK'!F35*F28)</f>
        <v>147765.74433815241</v>
      </c>
      <c r="G30" s="7">
        <f>(G27*'Emisi GRK'!G36)+('Emisi GRK'!G35*G28)</f>
        <v>148068.58396646919</v>
      </c>
      <c r="H30" s="7">
        <f>(H27*'Emisi GRK'!H36)+('Emisi GRK'!H35*H28)</f>
        <v>148263.8670002975</v>
      </c>
      <c r="I30" s="7">
        <f>(I27*'Emisi GRK'!I36)+('Emisi GRK'!I35*I28)</f>
        <v>148351.59343963725</v>
      </c>
      <c r="J30" s="7">
        <f>(J27*'Emisi GRK'!J36)+('Emisi GRK'!J35*J28)</f>
        <v>148331.76328448849</v>
      </c>
      <c r="K30" s="7">
        <f>(K27*'Emisi GRK'!K36)+('Emisi GRK'!K35*K28)</f>
        <v>148204.37653485124</v>
      </c>
      <c r="L30" s="7">
        <f>(L27*'Emisi GRK'!L36)+('Emisi GRK'!L35*L28)</f>
        <v>145289.19063965289</v>
      </c>
      <c r="M30" s="7">
        <f>(M27*'Emisi GRK'!M36)+('Emisi GRK'!M35*M28)</f>
        <v>142374.00474445458</v>
      </c>
      <c r="N30" s="7">
        <f>(N27*'Emisi GRK'!N36)+('Emisi GRK'!N35*N28)</f>
        <v>139458.81884925623</v>
      </c>
      <c r="O30" s="7">
        <f>(O27*'Emisi GRK'!O36)+('Emisi GRK'!O35*O28)</f>
        <v>136543.63295405792</v>
      </c>
      <c r="P30" s="7">
        <f>(P27*'Emisi GRK'!P36)+('Emisi GRK'!P35*P28)</f>
        <v>133628.44705885954</v>
      </c>
    </row>
    <row r="31" spans="1:16" x14ac:dyDescent="0.25">
      <c r="A31" s="9" t="s">
        <v>62</v>
      </c>
      <c r="B31" s="2">
        <f>B30*46%</f>
        <v>65887.94019600001</v>
      </c>
      <c r="C31" s="2">
        <f t="shared" ref="C31:P31" si="12">C30*46%</f>
        <v>66466.103476808363</v>
      </c>
      <c r="D31" s="2">
        <f t="shared" si="12"/>
        <v>67006.208270336167</v>
      </c>
      <c r="E31" s="2">
        <f t="shared" si="12"/>
        <v>67508.254576583422</v>
      </c>
      <c r="F31" s="2">
        <f t="shared" si="12"/>
        <v>67972.242395550114</v>
      </c>
      <c r="G31" s="2">
        <f t="shared" si="12"/>
        <v>68111.548624575837</v>
      </c>
      <c r="H31" s="2">
        <f t="shared" si="12"/>
        <v>68201.378820136859</v>
      </c>
      <c r="I31" s="2">
        <f t="shared" si="12"/>
        <v>68241.732982233138</v>
      </c>
      <c r="J31" s="2">
        <f t="shared" si="12"/>
        <v>68232.611110864716</v>
      </c>
      <c r="K31" s="2">
        <f t="shared" si="12"/>
        <v>68174.013206031566</v>
      </c>
      <c r="L31" s="2">
        <f t="shared" si="12"/>
        <v>66833.027694240329</v>
      </c>
      <c r="M31" s="2">
        <f t="shared" si="12"/>
        <v>65492.042182449106</v>
      </c>
      <c r="N31" s="2">
        <f t="shared" si="12"/>
        <v>64151.056670657868</v>
      </c>
      <c r="O31" s="2">
        <f t="shared" si="12"/>
        <v>62810.071158866645</v>
      </c>
      <c r="P31" s="2">
        <f t="shared" si="12"/>
        <v>61469.085647075393</v>
      </c>
    </row>
    <row r="32" spans="1:16" x14ac:dyDescent="0.25">
      <c r="A32" t="s">
        <v>63</v>
      </c>
      <c r="B32" s="2">
        <f>B30*'Emisi GRK'!B37*44/12</f>
        <v>105038.74524000003</v>
      </c>
      <c r="C32" s="2">
        <f>C30*'Emisi GRK'!C37*44/12</f>
        <v>105960.4548181003</v>
      </c>
      <c r="D32" s="2">
        <f>D30*'Emisi GRK'!D37*44/12</f>
        <v>106821.49144546346</v>
      </c>
      <c r="E32" s="2">
        <f>E30*'Emisi GRK'!E37*44/12</f>
        <v>107621.8551220895</v>
      </c>
      <c r="F32" s="2">
        <f>F30*'Emisi GRK'!F37*44/12</f>
        <v>108361.54584797844</v>
      </c>
      <c r="G32" s="2">
        <f>G30*'Emisi GRK'!G37*44/12</f>
        <v>108583.62824207741</v>
      </c>
      <c r="H32" s="2">
        <f>H30*'Emisi GRK'!H37*44/12</f>
        <v>108726.83580021816</v>
      </c>
      <c r="I32" s="2">
        <f>I30*'Emisi GRK'!I37*44/12</f>
        <v>108791.16852240065</v>
      </c>
      <c r="J32" s="2">
        <f>J30*'Emisi GRK'!J37*44/12</f>
        <v>108776.62640862488</v>
      </c>
      <c r="K32" s="2">
        <f>K30*'Emisi GRK'!K37*44/12</f>
        <v>108683.20945889091</v>
      </c>
      <c r="L32" s="2">
        <f>L30*'Emisi GRK'!L37*44/12</f>
        <v>106545.40646907879</v>
      </c>
      <c r="M32" s="2">
        <f>M30*'Emisi GRK'!M37*44/12</f>
        <v>104407.60347926669</v>
      </c>
      <c r="N32" s="2">
        <f>N30*'Emisi GRK'!N37*44/12</f>
        <v>102269.80048945457</v>
      </c>
      <c r="O32" s="2">
        <f>O30*'Emisi GRK'!O37*44/12</f>
        <v>100131.99749964247</v>
      </c>
      <c r="P32" s="2">
        <f>P30*'Emisi GRK'!P37*44/12</f>
        <v>97994.194509830326</v>
      </c>
    </row>
    <row r="33" spans="1:16" x14ac:dyDescent="0.25">
      <c r="A33" t="s">
        <v>64</v>
      </c>
      <c r="B33" s="11">
        <f>B31*'Emisi GRK'!B38*44/28*298</f>
        <v>308543.81137498288</v>
      </c>
      <c r="C33" s="11">
        <f>C31*'Emisi GRK'!C38*44/28*298</f>
        <v>311251.26742425404</v>
      </c>
      <c r="D33" s="11">
        <f>D31*'Emisi GRK'!D38*44/28*298</f>
        <v>313780.5010145171</v>
      </c>
      <c r="E33" s="11">
        <f>E31*'Emisi GRK'!E38*44/28*298</f>
        <v>316131.51214577205</v>
      </c>
      <c r="F33" s="11">
        <f>F31*'Emisi GRK'!F38*44/28*298</f>
        <v>318304.30081801896</v>
      </c>
      <c r="G33" s="11">
        <f>G31*'Emisi GRK'!G38*44/28*298</f>
        <v>318956.65198765654</v>
      </c>
      <c r="H33" s="11">
        <f>H31*'Emisi GRK'!H38*44/28*298</f>
        <v>319377.31396058371</v>
      </c>
      <c r="I33" s="11">
        <f>I31*'Emisi GRK'!I38*44/28*298</f>
        <v>319566.28673680028</v>
      </c>
      <c r="J33" s="11">
        <f>J31*'Emisi GRK'!J38*44/28*298</f>
        <v>319523.57031630655</v>
      </c>
      <c r="K33" s="11">
        <f>K31*'Emisi GRK'!K38*44/28*298</f>
        <v>319249.16469910211</v>
      </c>
      <c r="L33" s="11">
        <f>L31*'Emisi GRK'!L38*44/28*298</f>
        <v>312969.52111674257</v>
      </c>
      <c r="M33" s="11">
        <f>M31*'Emisi GRK'!M38*44/28*298</f>
        <v>306689.87753438309</v>
      </c>
      <c r="N33" s="11">
        <f>N31*'Emisi GRK'!N38*44/28*298</f>
        <v>300410.23395202361</v>
      </c>
      <c r="O33" s="11">
        <f>O31*'Emisi GRK'!O38*44/28*298</f>
        <v>294130.59036966413</v>
      </c>
      <c r="P33" s="11">
        <f>P31*'Emisi GRK'!P38*44/28*298</f>
        <v>287850.94678730448</v>
      </c>
    </row>
    <row r="34" spans="1:16" x14ac:dyDescent="0.25">
      <c r="A34" t="s">
        <v>65</v>
      </c>
      <c r="B34" s="2">
        <f>B31*'Emisi GRK'!B39*44/28*298</f>
        <v>100276.73869686943</v>
      </c>
      <c r="C34" s="2">
        <f>C31*'Emisi GRK'!C39*44/28*298</f>
        <v>101156.66191288256</v>
      </c>
      <c r="D34" s="2">
        <f>D31*'Emisi GRK'!D39*44/28*298</f>
        <v>101978.66282971806</v>
      </c>
      <c r="E34" s="2">
        <f>E31*'Emisi GRK'!E39*44/28*298</f>
        <v>102742.74144737593</v>
      </c>
      <c r="F34" s="2">
        <f>F31*'Emisi GRK'!F39*44/28*298</f>
        <v>103448.89776585616</v>
      </c>
      <c r="G34" s="2">
        <f>G31*'Emisi GRK'!G39*44/28*298</f>
        <v>103660.91189598839</v>
      </c>
      <c r="H34" s="2">
        <f>H31*'Emisi GRK'!H39*44/28*298</f>
        <v>103797.62703718973</v>
      </c>
      <c r="I34" s="2">
        <f>I31*'Emisi GRK'!I39*44/28*298</f>
        <v>103859.04318946009</v>
      </c>
      <c r="J34" s="2">
        <f>J31*'Emisi GRK'!J39*44/28*298</f>
        <v>103845.16035279962</v>
      </c>
      <c r="K34" s="2">
        <f>K31*'Emisi GRK'!K39*44/28*298</f>
        <v>103755.97852720818</v>
      </c>
      <c r="L34" s="2">
        <f>L31*'Emisi GRK'!L39*44/28*298</f>
        <v>101715.09436294134</v>
      </c>
      <c r="M34" s="2">
        <f>M31*'Emisi GRK'!M39*44/28*298</f>
        <v>99674.210198674482</v>
      </c>
      <c r="N34" s="2">
        <f>N31*'Emisi GRK'!N39*44/28*298</f>
        <v>97633.326034407655</v>
      </c>
      <c r="O34" s="2">
        <f>O31*'Emisi GRK'!O39*44/28*298</f>
        <v>95592.441870140843</v>
      </c>
      <c r="P34" s="2">
        <f>P31*'Emisi GRK'!P39*44/28*298</f>
        <v>93551.557705873958</v>
      </c>
    </row>
    <row r="35" spans="1:16" x14ac:dyDescent="0.25">
      <c r="A35" t="s">
        <v>66</v>
      </c>
      <c r="B35" s="2">
        <f>SUM(B32:B34)</f>
        <v>513859.29531185236</v>
      </c>
      <c r="C35" s="2">
        <f t="shared" ref="C35:P35" si="13">SUM(C32:C34)</f>
        <v>518368.38415523688</v>
      </c>
      <c r="D35" s="2">
        <f t="shared" si="13"/>
        <v>522580.65528969862</v>
      </c>
      <c r="E35" s="2">
        <f t="shared" si="13"/>
        <v>526496.10871523747</v>
      </c>
      <c r="F35" s="2">
        <f t="shared" si="13"/>
        <v>530114.74443185353</v>
      </c>
      <c r="G35" s="2">
        <f t="shared" si="13"/>
        <v>531201.1921257223</v>
      </c>
      <c r="H35" s="2">
        <f t="shared" si="13"/>
        <v>531901.7767979916</v>
      </c>
      <c r="I35" s="2">
        <f t="shared" si="13"/>
        <v>532216.49844866106</v>
      </c>
      <c r="J35" s="2">
        <f t="shared" si="13"/>
        <v>532145.35707773105</v>
      </c>
      <c r="K35" s="2">
        <f t="shared" si="13"/>
        <v>531688.35268520121</v>
      </c>
      <c r="L35" s="2">
        <f t="shared" si="13"/>
        <v>521230.0219487627</v>
      </c>
      <c r="M35" s="2">
        <f t="shared" si="13"/>
        <v>510771.69121232425</v>
      </c>
      <c r="N35" s="2">
        <f t="shared" si="13"/>
        <v>500313.36047588586</v>
      </c>
      <c r="O35" s="2">
        <f t="shared" si="13"/>
        <v>489855.02973944746</v>
      </c>
      <c r="P35" s="2">
        <f t="shared" si="13"/>
        <v>479396.69900300878</v>
      </c>
    </row>
    <row r="38" spans="1:16" x14ac:dyDescent="0.25">
      <c r="B38" s="63" t="s">
        <v>71</v>
      </c>
      <c r="C38" s="63"/>
      <c r="D38" s="63" t="s">
        <v>82</v>
      </c>
      <c r="E38" s="63"/>
    </row>
    <row r="39" spans="1:16" x14ac:dyDescent="0.25">
      <c r="B39" t="s">
        <v>79</v>
      </c>
      <c r="C39" t="s">
        <v>80</v>
      </c>
      <c r="D39" t="s">
        <v>79</v>
      </c>
      <c r="E39" t="s">
        <v>80</v>
      </c>
    </row>
    <row r="40" spans="1:16" x14ac:dyDescent="0.25">
      <c r="B40" s="17">
        <f>SUM(B19:P19)</f>
        <v>2465449.5545391343</v>
      </c>
      <c r="C40" s="17">
        <f>SUM(B24:P24)</f>
        <v>8844885.9806317538</v>
      </c>
      <c r="D40" s="18">
        <f>SUM(B30:P30)</f>
        <v>2166428.9500269778</v>
      </c>
      <c r="E40" s="17">
        <f>SUM(B35:P35)</f>
        <v>7772139.1674186159</v>
      </c>
    </row>
  </sheetData>
  <mergeCells count="2">
    <mergeCell ref="B38:C38"/>
    <mergeCell ref="D38:E38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P40"/>
  <sheetViews>
    <sheetView topLeftCell="A16" workbookViewId="0">
      <selection activeCell="F7" sqref="F7"/>
    </sheetView>
  </sheetViews>
  <sheetFormatPr defaultRowHeight="15" x14ac:dyDescent="0.25"/>
  <cols>
    <col min="1" max="1" width="48.28515625" customWidth="1"/>
    <col min="2" max="2" width="11" customWidth="1"/>
    <col min="3" max="16" width="11.7109375" customWidth="1"/>
  </cols>
  <sheetData>
    <row r="2" spans="1:16" x14ac:dyDescent="0.25">
      <c r="B2">
        <v>2016</v>
      </c>
      <c r="C2">
        <v>2017</v>
      </c>
      <c r="D2">
        <v>2018</v>
      </c>
      <c r="E2">
        <v>2019</v>
      </c>
      <c r="F2">
        <v>2020</v>
      </c>
      <c r="G2">
        <v>2021</v>
      </c>
      <c r="H2">
        <v>2022</v>
      </c>
      <c r="I2">
        <v>2023</v>
      </c>
      <c r="J2">
        <v>2024</v>
      </c>
      <c r="K2">
        <v>2025</v>
      </c>
      <c r="L2">
        <v>2026</v>
      </c>
      <c r="M2">
        <v>2027</v>
      </c>
      <c r="N2">
        <v>2028</v>
      </c>
      <c r="O2">
        <v>2029</v>
      </c>
      <c r="P2">
        <v>2030</v>
      </c>
    </row>
    <row r="3" spans="1:16" x14ac:dyDescent="0.25">
      <c r="A3" t="s">
        <v>0</v>
      </c>
      <c r="B3" s="1">
        <v>202313</v>
      </c>
      <c r="C3" s="1">
        <f>B3+C4</f>
        <v>208758.76080324664</v>
      </c>
      <c r="D3" s="1">
        <f t="shared" ref="D3:K3" si="0">C3+D4</f>
        <v>215204.52160649328</v>
      </c>
      <c r="E3" s="1">
        <f t="shared" si="0"/>
        <v>221650.28240973991</v>
      </c>
      <c r="F3" s="1">
        <f t="shared" si="0"/>
        <v>228096.04321298655</v>
      </c>
      <c r="G3" s="1">
        <f t="shared" si="0"/>
        <v>234541.80401623319</v>
      </c>
      <c r="H3" s="1">
        <f t="shared" si="0"/>
        <v>240987.56481947983</v>
      </c>
      <c r="I3" s="1">
        <f t="shared" si="0"/>
        <v>247433.32562272646</v>
      </c>
      <c r="J3" s="1">
        <f t="shared" si="0"/>
        <v>253879.0864259731</v>
      </c>
      <c r="K3" s="1">
        <f t="shared" si="0"/>
        <v>260324.84722921974</v>
      </c>
      <c r="L3" s="1">
        <f>K3+L4</f>
        <v>260324.84722921974</v>
      </c>
      <c r="M3" s="1">
        <f t="shared" ref="M3" si="1">L3+M4</f>
        <v>260324.84722921974</v>
      </c>
      <c r="N3" s="1">
        <f t="shared" ref="N3" si="2">M3+N4</f>
        <v>260324.84722921974</v>
      </c>
      <c r="O3" s="1">
        <f t="shared" ref="O3" si="3">N3+O4</f>
        <v>260324.84722921974</v>
      </c>
      <c r="P3" s="1">
        <f>[2]Proyeksi!$F$49</f>
        <v>260324.8472292198</v>
      </c>
    </row>
    <row r="4" spans="1:16" x14ac:dyDescent="0.25">
      <c r="A4" t="s">
        <v>2</v>
      </c>
      <c r="B4" s="1"/>
      <c r="C4" s="1">
        <f>(P3-B3)/9</f>
        <v>6445.7608032466442</v>
      </c>
      <c r="D4" s="1">
        <f>C4</f>
        <v>6445.7608032466442</v>
      </c>
      <c r="E4" s="1">
        <f t="shared" ref="E4:K4" si="4">D4</f>
        <v>6445.7608032466442</v>
      </c>
      <c r="F4" s="1">
        <f t="shared" si="4"/>
        <v>6445.7608032466442</v>
      </c>
      <c r="G4" s="1">
        <f t="shared" si="4"/>
        <v>6445.7608032466442</v>
      </c>
      <c r="H4" s="1">
        <f t="shared" si="4"/>
        <v>6445.7608032466442</v>
      </c>
      <c r="I4" s="1">
        <f t="shared" si="4"/>
        <v>6445.7608032466442</v>
      </c>
      <c r="J4" s="1">
        <f t="shared" si="4"/>
        <v>6445.7608032466442</v>
      </c>
      <c r="K4" s="1">
        <f t="shared" si="4"/>
        <v>6445.7608032466442</v>
      </c>
      <c r="L4" s="1"/>
      <c r="M4" s="1"/>
      <c r="N4" s="1"/>
      <c r="O4" s="1"/>
      <c r="P4" s="1"/>
    </row>
    <row r="5" spans="1:16" x14ac:dyDescent="0.25">
      <c r="A5" t="s">
        <v>12</v>
      </c>
      <c r="B5" s="1">
        <v>47646</v>
      </c>
      <c r="C5" s="1">
        <f>B5-(B5/4)</f>
        <v>35734.5</v>
      </c>
      <c r="D5" s="1">
        <f>C5-(B5/4)</f>
        <v>23823</v>
      </c>
      <c r="E5" s="1">
        <f>D5-(B5/4)</f>
        <v>11911.5</v>
      </c>
      <c r="F5" s="1">
        <f>E5-(B5/4)</f>
        <v>0</v>
      </c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25">
      <c r="A6" t="s">
        <v>13</v>
      </c>
      <c r="B6" s="1">
        <v>153594</v>
      </c>
      <c r="C6" s="1">
        <f>B6+(B5-C5)</f>
        <v>165505.5</v>
      </c>
      <c r="D6" s="1">
        <f>C6+(C5-D5)</f>
        <v>177417</v>
      </c>
      <c r="E6" s="1">
        <f>D6+(D5-E5)</f>
        <v>189328.5</v>
      </c>
      <c r="F6" s="1">
        <f>E6+(E5-F5)</f>
        <v>201240</v>
      </c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25">
      <c r="A7" t="s">
        <v>4</v>
      </c>
      <c r="B7" s="1">
        <f>B6</f>
        <v>153594</v>
      </c>
      <c r="C7" s="1">
        <f>C6</f>
        <v>165505.5</v>
      </c>
      <c r="D7" s="1">
        <f>D6</f>
        <v>177417</v>
      </c>
      <c r="E7" s="1">
        <f>E6</f>
        <v>189328.5</v>
      </c>
      <c r="F7" s="1">
        <f>F6</f>
        <v>201240</v>
      </c>
      <c r="G7" s="1">
        <f>F6+C4</f>
        <v>207685.76080324664</v>
      </c>
      <c r="H7" s="1">
        <f>G7+D4</f>
        <v>214131.52160649328</v>
      </c>
      <c r="I7" s="1">
        <f t="shared" ref="I7:P7" si="5">H7+E4</f>
        <v>220577.28240973991</v>
      </c>
      <c r="J7" s="1">
        <f t="shared" si="5"/>
        <v>227023.04321298655</v>
      </c>
      <c r="K7" s="1">
        <f t="shared" si="5"/>
        <v>233468.80401623319</v>
      </c>
      <c r="L7" s="1">
        <f t="shared" si="5"/>
        <v>239914.56481947983</v>
      </c>
      <c r="M7" s="1">
        <f t="shared" si="5"/>
        <v>246360.32562272646</v>
      </c>
      <c r="N7" s="1">
        <f t="shared" si="5"/>
        <v>252806.0864259731</v>
      </c>
      <c r="O7" s="1">
        <f t="shared" si="5"/>
        <v>259251.84722921974</v>
      </c>
      <c r="P7" s="1">
        <f t="shared" si="5"/>
        <v>259251.84722921974</v>
      </c>
    </row>
    <row r="8" spans="1:16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25">
      <c r="A9" t="s">
        <v>5</v>
      </c>
      <c r="B9">
        <v>12.6</v>
      </c>
      <c r="C9" s="5">
        <f>B9+0.792</f>
        <v>13.391999999999999</v>
      </c>
      <c r="D9" s="5">
        <f t="shared" ref="D9:P9" si="6">C9+0.792</f>
        <v>14.183999999999999</v>
      </c>
      <c r="E9" s="5">
        <f t="shared" si="6"/>
        <v>14.975999999999999</v>
      </c>
      <c r="F9" s="5">
        <f t="shared" si="6"/>
        <v>15.767999999999999</v>
      </c>
      <c r="G9" s="5">
        <f t="shared" si="6"/>
        <v>16.559999999999999</v>
      </c>
      <c r="H9" s="5">
        <f t="shared" si="6"/>
        <v>17.352</v>
      </c>
      <c r="I9" s="5">
        <f t="shared" si="6"/>
        <v>18.144000000000002</v>
      </c>
      <c r="J9" s="5">
        <f t="shared" si="6"/>
        <v>18.936000000000003</v>
      </c>
      <c r="K9" s="5">
        <f t="shared" si="6"/>
        <v>19.728000000000005</v>
      </c>
      <c r="L9" s="5">
        <f t="shared" si="6"/>
        <v>20.520000000000007</v>
      </c>
      <c r="M9" s="5">
        <f t="shared" si="6"/>
        <v>21.312000000000008</v>
      </c>
      <c r="N9" s="5">
        <f t="shared" si="6"/>
        <v>22.10400000000001</v>
      </c>
      <c r="O9" s="5">
        <f t="shared" si="6"/>
        <v>22.896000000000011</v>
      </c>
      <c r="P9" s="5">
        <f t="shared" si="6"/>
        <v>23.688000000000013</v>
      </c>
    </row>
    <row r="10" spans="1:16" x14ac:dyDescent="0.25">
      <c r="A10" t="s">
        <v>6</v>
      </c>
      <c r="B10" s="2">
        <f>B7*B9</f>
        <v>1935284.4</v>
      </c>
      <c r="C10" s="2">
        <f t="shared" ref="C10:P10" si="7">C7*C9</f>
        <v>2216449.656</v>
      </c>
      <c r="D10" s="2">
        <f t="shared" si="7"/>
        <v>2516482.7279999997</v>
      </c>
      <c r="E10" s="2">
        <f t="shared" si="7"/>
        <v>2835383.6159999999</v>
      </c>
      <c r="F10" s="2">
        <f t="shared" si="7"/>
        <v>3173152.32</v>
      </c>
      <c r="G10" s="2">
        <f t="shared" si="7"/>
        <v>3439276.1989017641</v>
      </c>
      <c r="H10" s="2">
        <f t="shared" si="7"/>
        <v>3715610.1629158715</v>
      </c>
      <c r="I10" s="2">
        <f t="shared" si="7"/>
        <v>4002154.2120423215</v>
      </c>
      <c r="J10" s="2">
        <f t="shared" si="7"/>
        <v>4298908.346281114</v>
      </c>
      <c r="K10" s="2">
        <f t="shared" si="7"/>
        <v>4605872.5656322492</v>
      </c>
      <c r="L10" s="2">
        <f t="shared" si="7"/>
        <v>4923046.870095728</v>
      </c>
      <c r="M10" s="2">
        <f t="shared" si="7"/>
        <v>5250431.2596715484</v>
      </c>
      <c r="N10" s="2">
        <f t="shared" si="7"/>
        <v>5588025.7343597123</v>
      </c>
      <c r="O10" s="2">
        <f t="shared" si="7"/>
        <v>5935830.294160218</v>
      </c>
      <c r="P10" s="2">
        <f t="shared" si="7"/>
        <v>6141157.7571657607</v>
      </c>
    </row>
    <row r="11" spans="1:16" x14ac:dyDescent="0.25">
      <c r="A11" t="s">
        <v>7</v>
      </c>
      <c r="B11" s="2">
        <f>B10*21/10^3</f>
        <v>40640.972399999999</v>
      </c>
      <c r="C11" s="2">
        <f t="shared" ref="C11:P11" si="8">C10*21/10^3</f>
        <v>46545.442776000004</v>
      </c>
      <c r="D11" s="2">
        <f t="shared" si="8"/>
        <v>52846.137287999998</v>
      </c>
      <c r="E11" s="2">
        <f t="shared" si="8"/>
        <v>59543.055935999997</v>
      </c>
      <c r="F11" s="2">
        <f t="shared" si="8"/>
        <v>66636.19872</v>
      </c>
      <c r="G11" s="2">
        <f t="shared" si="8"/>
        <v>72224.800176937046</v>
      </c>
      <c r="H11" s="2">
        <f t="shared" si="8"/>
        <v>78027.813421233295</v>
      </c>
      <c r="I11" s="2">
        <f t="shared" si="8"/>
        <v>84045.238452888763</v>
      </c>
      <c r="J11" s="2">
        <f t="shared" si="8"/>
        <v>90277.075271903392</v>
      </c>
      <c r="K11" s="2">
        <f t="shared" si="8"/>
        <v>96723.323878277224</v>
      </c>
      <c r="L11" s="2">
        <f t="shared" si="8"/>
        <v>103383.98427201028</v>
      </c>
      <c r="M11" s="2">
        <f t="shared" si="8"/>
        <v>110259.05645310252</v>
      </c>
      <c r="N11" s="2">
        <f t="shared" si="8"/>
        <v>117348.54042155396</v>
      </c>
      <c r="O11" s="2">
        <f t="shared" si="8"/>
        <v>124652.43617736458</v>
      </c>
      <c r="P11" s="2">
        <f t="shared" si="8"/>
        <v>128964.31290048097</v>
      </c>
    </row>
    <row r="12" spans="1:16" x14ac:dyDescent="0.25">
      <c r="A12" t="s">
        <v>8</v>
      </c>
      <c r="B12" s="2">
        <f>B11/6329</f>
        <v>6.4213892242060355</v>
      </c>
      <c r="C12" s="2">
        <f t="shared" ref="C12:P12" si="9">C11/6329</f>
        <v>7.3543123362300529</v>
      </c>
      <c r="D12" s="2">
        <f t="shared" si="9"/>
        <v>8.3498399886237955</v>
      </c>
      <c r="E12" s="2">
        <f t="shared" si="9"/>
        <v>9.4079721813872652</v>
      </c>
      <c r="F12" s="2">
        <f t="shared" si="9"/>
        <v>10.528708914520461</v>
      </c>
      <c r="G12" s="2">
        <f t="shared" si="9"/>
        <v>11.411723838985155</v>
      </c>
      <c r="H12" s="2">
        <f t="shared" si="9"/>
        <v>12.328616435650702</v>
      </c>
      <c r="I12" s="2">
        <f t="shared" si="9"/>
        <v>13.279386704517107</v>
      </c>
      <c r="J12" s="2">
        <f t="shared" si="9"/>
        <v>14.264034645584356</v>
      </c>
      <c r="K12" s="2">
        <f t="shared" si="9"/>
        <v>15.282560258852461</v>
      </c>
      <c r="L12" s="2">
        <f t="shared" si="9"/>
        <v>16.334963544321422</v>
      </c>
      <c r="M12" s="2">
        <f t="shared" si="9"/>
        <v>17.421244501991232</v>
      </c>
      <c r="N12" s="2">
        <f t="shared" si="9"/>
        <v>18.541403131861898</v>
      </c>
      <c r="O12" s="2">
        <f t="shared" si="9"/>
        <v>19.695439433933416</v>
      </c>
      <c r="P12" s="2">
        <f t="shared" si="9"/>
        <v>20.376728219383942</v>
      </c>
    </row>
    <row r="13" spans="1:16" x14ac:dyDescent="0.25">
      <c r="B13" s="2"/>
    </row>
    <row r="14" spans="1:16" x14ac:dyDescent="0.25">
      <c r="A14" t="s">
        <v>9</v>
      </c>
      <c r="B14" s="2">
        <f>B10/170000</f>
        <v>11.38402588235294</v>
      </c>
      <c r="C14" s="2">
        <f t="shared" ref="C14:P14" si="10">C10/170000</f>
        <v>13.037939152941176</v>
      </c>
      <c r="D14" s="2">
        <f t="shared" si="10"/>
        <v>14.802839576470586</v>
      </c>
      <c r="E14" s="2">
        <f t="shared" si="10"/>
        <v>16.678727152941175</v>
      </c>
      <c r="F14" s="2">
        <f t="shared" si="10"/>
        <v>18.665601882352941</v>
      </c>
      <c r="G14" s="2">
        <f t="shared" si="10"/>
        <v>20.231036464128024</v>
      </c>
      <c r="H14" s="2">
        <f t="shared" si="10"/>
        <v>21.856530370093363</v>
      </c>
      <c r="I14" s="2">
        <f t="shared" si="10"/>
        <v>23.542083600248951</v>
      </c>
      <c r="J14" s="2">
        <f t="shared" si="10"/>
        <v>25.287696154594787</v>
      </c>
      <c r="K14" s="2">
        <f t="shared" si="10"/>
        <v>27.093368033130879</v>
      </c>
      <c r="L14" s="2">
        <f t="shared" si="10"/>
        <v>28.959099235857224</v>
      </c>
      <c r="M14" s="2">
        <f t="shared" si="10"/>
        <v>30.884889762773813</v>
      </c>
      <c r="N14" s="2">
        <f t="shared" si="10"/>
        <v>32.870739613880659</v>
      </c>
      <c r="O14" s="2">
        <f t="shared" si="10"/>
        <v>34.916648789177749</v>
      </c>
      <c r="P14" s="2">
        <f t="shared" si="10"/>
        <v>36.124457395092712</v>
      </c>
    </row>
    <row r="17" spans="1:16" x14ac:dyDescent="0.25">
      <c r="A17" s="12" t="s">
        <v>71</v>
      </c>
      <c r="B17" s="10">
        <f>B2</f>
        <v>2016</v>
      </c>
      <c r="C17" s="10">
        <f t="shared" ref="C17:P17" si="11">C2</f>
        <v>2017</v>
      </c>
      <c r="D17" s="10">
        <f t="shared" si="11"/>
        <v>2018</v>
      </c>
      <c r="E17" s="10">
        <f t="shared" si="11"/>
        <v>2019</v>
      </c>
      <c r="F17" s="10">
        <f t="shared" si="11"/>
        <v>2020</v>
      </c>
      <c r="G17" s="10">
        <f t="shared" si="11"/>
        <v>2021</v>
      </c>
      <c r="H17" s="10">
        <f t="shared" si="11"/>
        <v>2022</v>
      </c>
      <c r="I17" s="10">
        <f t="shared" si="11"/>
        <v>2023</v>
      </c>
      <c r="J17" s="10">
        <f t="shared" si="11"/>
        <v>2024</v>
      </c>
      <c r="K17" s="10">
        <f t="shared" si="11"/>
        <v>2025</v>
      </c>
      <c r="L17" s="10">
        <f t="shared" si="11"/>
        <v>2026</v>
      </c>
      <c r="M17" s="10">
        <f t="shared" si="11"/>
        <v>2027</v>
      </c>
      <c r="N17" s="10">
        <f t="shared" si="11"/>
        <v>2028</v>
      </c>
      <c r="O17" s="10">
        <f t="shared" si="11"/>
        <v>2029</v>
      </c>
      <c r="P17" s="10">
        <f t="shared" si="11"/>
        <v>2030</v>
      </c>
    </row>
    <row r="18" spans="1:16" x14ac:dyDescent="0.25">
      <c r="A18" t="s">
        <v>53</v>
      </c>
      <c r="H18" s="4"/>
      <c r="I18" s="4"/>
      <c r="P18" s="7"/>
    </row>
    <row r="19" spans="1:16" x14ac:dyDescent="0.25">
      <c r="A19" s="9" t="s">
        <v>61</v>
      </c>
      <c r="B19" s="2">
        <f>B3*'Emisi GRK'!B35</f>
        <v>65144.786</v>
      </c>
      <c r="C19" s="2">
        <f>C3*'Emisi GRK'!C35</f>
        <v>67220.320978645424</v>
      </c>
      <c r="D19" s="2">
        <f>D3*'Emisi GRK'!D35</f>
        <v>69295.855957290842</v>
      </c>
      <c r="E19" s="2">
        <f>E3*'Emisi GRK'!E35</f>
        <v>71371.390935936259</v>
      </c>
      <c r="F19" s="2">
        <f>F3*'Emisi GRK'!F35</f>
        <v>73446.925914581676</v>
      </c>
      <c r="G19" s="2">
        <f>G3*'Emisi GRK'!G35</f>
        <v>75522.460893227093</v>
      </c>
      <c r="H19" s="2">
        <f>H3*'Emisi GRK'!H35</f>
        <v>77597.99587187251</v>
      </c>
      <c r="I19" s="2">
        <f>I3*'Emisi GRK'!I35</f>
        <v>79673.530850517927</v>
      </c>
      <c r="J19" s="2">
        <f>J3*'Emisi GRK'!J35</f>
        <v>81749.065829163344</v>
      </c>
      <c r="K19" s="2">
        <f>K3*'Emisi GRK'!K35</f>
        <v>83824.600807808762</v>
      </c>
      <c r="L19" s="2">
        <f>L3*'Emisi GRK'!L35</f>
        <v>83824.600807808762</v>
      </c>
      <c r="M19" s="2">
        <f>M3*'Emisi GRK'!M35</f>
        <v>83824.600807808762</v>
      </c>
      <c r="N19" s="2">
        <f>N3*'Emisi GRK'!N35</f>
        <v>83824.600807808762</v>
      </c>
      <c r="O19" s="2">
        <f>O3*'Emisi GRK'!O35</f>
        <v>83824.600807808762</v>
      </c>
      <c r="P19" s="2">
        <f>P3*'Emisi GRK'!P35</f>
        <v>83824.600807808776</v>
      </c>
    </row>
    <row r="20" spans="1:16" x14ac:dyDescent="0.25">
      <c r="A20" s="9" t="s">
        <v>62</v>
      </c>
      <c r="B20" s="2">
        <f>B19*46%</f>
        <v>29966.601560000003</v>
      </c>
      <c r="C20" s="2">
        <f t="shared" ref="C20:P20" si="12">C19*46%</f>
        <v>30921.347650176896</v>
      </c>
      <c r="D20" s="2">
        <f t="shared" si="12"/>
        <v>31876.09374035379</v>
      </c>
      <c r="E20" s="2">
        <f t="shared" si="12"/>
        <v>32830.839830530684</v>
      </c>
      <c r="F20" s="2">
        <f t="shared" si="12"/>
        <v>33785.58592070757</v>
      </c>
      <c r="G20" s="2">
        <f t="shared" si="12"/>
        <v>34740.332010884464</v>
      </c>
      <c r="H20" s="2">
        <f t="shared" si="12"/>
        <v>35695.078101061357</v>
      </c>
      <c r="I20" s="2">
        <f t="shared" si="12"/>
        <v>36649.824191238251</v>
      </c>
      <c r="J20" s="2">
        <f t="shared" si="12"/>
        <v>37604.570281415137</v>
      </c>
      <c r="K20" s="2">
        <f t="shared" si="12"/>
        <v>38559.316371592031</v>
      </c>
      <c r="L20" s="2">
        <f t="shared" si="12"/>
        <v>38559.316371592031</v>
      </c>
      <c r="M20" s="2">
        <f t="shared" si="12"/>
        <v>38559.316371592031</v>
      </c>
      <c r="N20" s="2">
        <f t="shared" si="12"/>
        <v>38559.316371592031</v>
      </c>
      <c r="O20" s="2">
        <f t="shared" si="12"/>
        <v>38559.316371592031</v>
      </c>
      <c r="P20" s="2">
        <f t="shared" si="12"/>
        <v>38559.316371592038</v>
      </c>
    </row>
    <row r="21" spans="1:16" x14ac:dyDescent="0.25">
      <c r="A21" t="s">
        <v>63</v>
      </c>
      <c r="B21" s="2">
        <f>B19*'Emisi GRK'!B37*44/12</f>
        <v>47772.843066666675</v>
      </c>
      <c r="C21" s="2">
        <f>C19*'Emisi GRK'!C37*44/12</f>
        <v>49294.902051006648</v>
      </c>
      <c r="D21" s="2">
        <f>D19*'Emisi GRK'!D37*44/12</f>
        <v>50816.961035346612</v>
      </c>
      <c r="E21" s="2">
        <f>E19*'Emisi GRK'!E37*44/12</f>
        <v>52339.020019686584</v>
      </c>
      <c r="F21" s="2">
        <f>F19*'Emisi GRK'!F37*44/12</f>
        <v>53861.079004026564</v>
      </c>
      <c r="G21" s="2">
        <f>G19*'Emisi GRK'!G37*44/12</f>
        <v>55383.137988366536</v>
      </c>
      <c r="H21" s="2">
        <f>H19*'Emisi GRK'!H37*44/12</f>
        <v>56905.196972706508</v>
      </c>
      <c r="I21" s="2">
        <f>I19*'Emisi GRK'!I37*44/12</f>
        <v>58427.255957046487</v>
      </c>
      <c r="J21" s="2">
        <f>J19*'Emisi GRK'!J37*44/12</f>
        <v>59949.314941386452</v>
      </c>
      <c r="K21" s="2">
        <f>K19*'Emisi GRK'!K37*44/12</f>
        <v>61471.373925726424</v>
      </c>
      <c r="L21" s="2">
        <f>L19*'Emisi GRK'!L37*44/12</f>
        <v>61471.373925726424</v>
      </c>
      <c r="M21" s="2">
        <f>M19*'Emisi GRK'!M37*44/12</f>
        <v>61471.373925726424</v>
      </c>
      <c r="N21" s="2">
        <f>N19*'Emisi GRK'!N37*44/12</f>
        <v>61471.373925726424</v>
      </c>
      <c r="O21" s="2">
        <f>O19*'Emisi GRK'!O37*44/12</f>
        <v>61471.373925726424</v>
      </c>
      <c r="P21" s="2">
        <f>P19*'Emisi GRK'!P37*44/12</f>
        <v>61471.373925726446</v>
      </c>
    </row>
    <row r="22" spans="1:16" x14ac:dyDescent="0.25">
      <c r="A22" t="s">
        <v>64</v>
      </c>
      <c r="B22" s="11">
        <f>B20*'Emisi GRK'!B38*44/28*298</f>
        <v>140329.31416240003</v>
      </c>
      <c r="C22" s="11">
        <f>C20*'Emisi GRK'!C38*44/28*298</f>
        <v>144800.25371039982</v>
      </c>
      <c r="D22" s="11">
        <f>D20*'Emisi GRK'!D38*44/28*298</f>
        <v>149271.19325839961</v>
      </c>
      <c r="E22" s="11">
        <f>E20*'Emisi GRK'!E38*44/28*298</f>
        <v>153742.13280639943</v>
      </c>
      <c r="F22" s="11">
        <f>F20*'Emisi GRK'!F38*44/28*298</f>
        <v>158213.07235439916</v>
      </c>
      <c r="G22" s="11">
        <f>G20*'Emisi GRK'!G38*44/28*298</f>
        <v>162684.01190239895</v>
      </c>
      <c r="H22" s="11">
        <f>H20*'Emisi GRK'!H38*44/28*298</f>
        <v>167154.95145039874</v>
      </c>
      <c r="I22" s="11">
        <f>I20*'Emisi GRK'!I38*44/28*298</f>
        <v>171625.89099839856</v>
      </c>
      <c r="J22" s="11">
        <f>J20*'Emisi GRK'!J38*44/28*298</f>
        <v>176096.8305463983</v>
      </c>
      <c r="K22" s="11">
        <f>K20*'Emisi GRK'!K38*44/28*298</f>
        <v>180567.77009439809</v>
      </c>
      <c r="L22" s="11">
        <f>L20*'Emisi GRK'!L38*44/28*298</f>
        <v>180567.77009439809</v>
      </c>
      <c r="M22" s="11">
        <f>M20*'Emisi GRK'!M38*44/28*298</f>
        <v>180567.77009439809</v>
      </c>
      <c r="N22" s="11">
        <f>N20*'Emisi GRK'!N38*44/28*298</f>
        <v>180567.77009439809</v>
      </c>
      <c r="O22" s="11">
        <f>O20*'Emisi GRK'!O38*44/28*298</f>
        <v>180567.77009439809</v>
      </c>
      <c r="P22" s="11">
        <f>P20*'Emisi GRK'!P38*44/28*298</f>
        <v>180567.77009439812</v>
      </c>
    </row>
    <row r="23" spans="1:16" x14ac:dyDescent="0.25">
      <c r="A23" t="s">
        <v>65</v>
      </c>
      <c r="B23" s="2">
        <f>B20*'Emisi GRK'!B39*44/28*298</f>
        <v>45607.027102779997</v>
      </c>
      <c r="C23" s="2">
        <f>C20*'Emisi GRK'!C39*44/28*298</f>
        <v>47060.082455879943</v>
      </c>
      <c r="D23" s="2">
        <f>D20*'Emisi GRK'!D39*44/28*298</f>
        <v>48513.137808979875</v>
      </c>
      <c r="E23" s="2">
        <f>E20*'Emisi GRK'!E39*44/28*298</f>
        <v>49966.193162079813</v>
      </c>
      <c r="F23" s="2">
        <f>F20*'Emisi GRK'!F39*44/28*298</f>
        <v>51419.248515179723</v>
      </c>
      <c r="G23" s="2">
        <f>G20*'Emisi GRK'!G39*44/28*298</f>
        <v>52872.303868279654</v>
      </c>
      <c r="H23" s="2">
        <f>H20*'Emisi GRK'!H39*44/28*298</f>
        <v>54325.3592213796</v>
      </c>
      <c r="I23" s="2">
        <f>I20*'Emisi GRK'!I39*44/28*298</f>
        <v>55778.414574479531</v>
      </c>
      <c r="J23" s="2">
        <f>J20*'Emisi GRK'!J39*44/28*298</f>
        <v>57231.469927579448</v>
      </c>
      <c r="K23" s="2">
        <f>K20*'Emisi GRK'!K39*44/28*298</f>
        <v>58684.52528067938</v>
      </c>
      <c r="L23" s="2">
        <f>L20*'Emisi GRK'!L39*44/28*298</f>
        <v>58684.52528067938</v>
      </c>
      <c r="M23" s="2">
        <f>M20*'Emisi GRK'!M39*44/28*298</f>
        <v>58684.52528067938</v>
      </c>
      <c r="N23" s="2">
        <f>N20*'Emisi GRK'!N39*44/28*298</f>
        <v>58684.52528067938</v>
      </c>
      <c r="O23" s="2">
        <f>O20*'Emisi GRK'!O39*44/28*298</f>
        <v>58684.52528067938</v>
      </c>
      <c r="P23" s="2">
        <f>P20*'Emisi GRK'!P39*44/28*298</f>
        <v>58684.525280679401</v>
      </c>
    </row>
    <row r="24" spans="1:16" x14ac:dyDescent="0.25">
      <c r="A24" t="s">
        <v>66</v>
      </c>
      <c r="B24" s="2">
        <f>SUM(B21:B23)</f>
        <v>233709.18433184671</v>
      </c>
      <c r="C24" s="2">
        <f t="shared" ref="C24:P24" si="13">SUM(C21:C23)</f>
        <v>241155.23821728642</v>
      </c>
      <c r="D24" s="2">
        <f t="shared" si="13"/>
        <v>248601.29210272609</v>
      </c>
      <c r="E24" s="2">
        <f t="shared" si="13"/>
        <v>256047.34598816582</v>
      </c>
      <c r="F24" s="2">
        <f t="shared" si="13"/>
        <v>263493.39987360546</v>
      </c>
      <c r="G24" s="2">
        <f t="shared" si="13"/>
        <v>270939.45375904517</v>
      </c>
      <c r="H24" s="2">
        <f t="shared" si="13"/>
        <v>278385.50764448487</v>
      </c>
      <c r="I24" s="2">
        <f t="shared" si="13"/>
        <v>285831.56152992457</v>
      </c>
      <c r="J24" s="2">
        <f t="shared" si="13"/>
        <v>293277.61541536421</v>
      </c>
      <c r="K24" s="2">
        <f t="shared" si="13"/>
        <v>300723.66930080391</v>
      </c>
      <c r="L24" s="2">
        <f t="shared" si="13"/>
        <v>300723.66930080391</v>
      </c>
      <c r="M24" s="2">
        <f t="shared" si="13"/>
        <v>300723.66930080391</v>
      </c>
      <c r="N24" s="2">
        <f t="shared" si="13"/>
        <v>300723.66930080391</v>
      </c>
      <c r="O24" s="2">
        <f t="shared" si="13"/>
        <v>300723.66930080391</v>
      </c>
      <c r="P24" s="2">
        <f t="shared" si="13"/>
        <v>300723.66930080397</v>
      </c>
    </row>
    <row r="25" spans="1:16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12" t="s">
        <v>72</v>
      </c>
    </row>
    <row r="27" spans="1:16" x14ac:dyDescent="0.25">
      <c r="A27" t="s">
        <v>73</v>
      </c>
      <c r="B27" s="2">
        <f>B3*'Rekab Kab'!B25</f>
        <v>10115.650000000001</v>
      </c>
      <c r="C27" s="2">
        <f>C3*'Rekab Kab'!C25</f>
        <v>20875.876080324666</v>
      </c>
      <c r="D27" s="2">
        <f>D3*'Rekab Kab'!D25</f>
        <v>32280.678240973997</v>
      </c>
      <c r="E27" s="2">
        <f>E3*'Rekab Kab'!E25</f>
        <v>44330.056481947984</v>
      </c>
      <c r="F27" s="2">
        <f>F3*'Rekab Kab'!F25</f>
        <v>57024.010803246638</v>
      </c>
      <c r="G27" s="2">
        <f>G3*'Rekab Kab'!G25</f>
        <v>73880.668265113462</v>
      </c>
      <c r="H27" s="2">
        <f>H3*'Rekab Kab'!H25</f>
        <v>91575.274631402339</v>
      </c>
      <c r="I27" s="2">
        <f>I3*'Rekab Kab'!I25</f>
        <v>110107.82990211328</v>
      </c>
      <c r="J27" s="2">
        <f>J3*'Rekab Kab'!J25</f>
        <v>129478.33407724628</v>
      </c>
      <c r="K27" s="2">
        <f>K3*'Rekab Kab'!K25</f>
        <v>149686.78715680135</v>
      </c>
      <c r="L27" s="2">
        <f>L3*'Rekab Kab'!L25</f>
        <v>166607.90222670062</v>
      </c>
      <c r="M27" s="2">
        <f>M3*'Rekab Kab'!M25</f>
        <v>183529.01729659986</v>
      </c>
      <c r="N27" s="2">
        <f>N3*'Rekab Kab'!N25</f>
        <v>200450.13236649914</v>
      </c>
      <c r="O27" s="2">
        <f>O3*'Rekab Kab'!O25</f>
        <v>217371.24743639841</v>
      </c>
      <c r="P27" s="2">
        <f>P3*'Rekab Kab'!P25</f>
        <v>234292.36250629782</v>
      </c>
    </row>
    <row r="28" spans="1:16" x14ac:dyDescent="0.25">
      <c r="A28" t="s">
        <v>74</v>
      </c>
      <c r="B28" s="2">
        <f>B3-B27</f>
        <v>192197.35</v>
      </c>
      <c r="C28" s="2">
        <f t="shared" ref="C28:P28" si="14">C3-C27</f>
        <v>187882.88472292197</v>
      </c>
      <c r="D28" s="2">
        <f t="shared" si="14"/>
        <v>182923.84336551928</v>
      </c>
      <c r="E28" s="2">
        <f t="shared" si="14"/>
        <v>177320.22592779194</v>
      </c>
      <c r="F28" s="2">
        <f t="shared" si="14"/>
        <v>171072.03240973991</v>
      </c>
      <c r="G28" s="2">
        <f t="shared" si="14"/>
        <v>160661.13575111973</v>
      </c>
      <c r="H28" s="2">
        <f t="shared" si="14"/>
        <v>149412.29018807749</v>
      </c>
      <c r="I28" s="2">
        <f t="shared" si="14"/>
        <v>137325.49572061317</v>
      </c>
      <c r="J28" s="2">
        <f t="shared" si="14"/>
        <v>124400.75234872682</v>
      </c>
      <c r="K28" s="2">
        <f t="shared" si="14"/>
        <v>110638.06007241839</v>
      </c>
      <c r="L28" s="2">
        <f t="shared" si="14"/>
        <v>93716.945002519118</v>
      </c>
      <c r="M28" s="2">
        <f t="shared" si="14"/>
        <v>76795.829932619876</v>
      </c>
      <c r="N28" s="2">
        <f t="shared" si="14"/>
        <v>59874.714862720604</v>
      </c>
      <c r="O28" s="2">
        <f t="shared" si="14"/>
        <v>42953.599792821333</v>
      </c>
      <c r="P28" s="2">
        <f t="shared" si="14"/>
        <v>26032.484722921974</v>
      </c>
    </row>
    <row r="29" spans="1:16" x14ac:dyDescent="0.25">
      <c r="A29" t="s">
        <v>53</v>
      </c>
    </row>
    <row r="30" spans="1:16" x14ac:dyDescent="0.25">
      <c r="A30" s="9" t="s">
        <v>61</v>
      </c>
      <c r="B30" s="7">
        <f>(B27*'Emisi GRK'!B36)+('Emisi GRK'!B35*B28)</f>
        <v>64305.187050000008</v>
      </c>
      <c r="C30" s="7">
        <f>(C27*'Emisi GRK'!C36)+('Emisi GRK'!C35*C28)</f>
        <v>65487.623263978472</v>
      </c>
      <c r="D30" s="7">
        <f>(D27*'Emisi GRK'!D36)+('Emisi GRK'!D35*D28)</f>
        <v>66616.559663289998</v>
      </c>
      <c r="E30" s="7">
        <f>(E27*'Emisi GRK'!E36)+('Emisi GRK'!E35*E28)</f>
        <v>67691.99624793457</v>
      </c>
      <c r="F30" s="7">
        <f>(F27*'Emisi GRK'!F36)+('Emisi GRK'!F35*F28)</f>
        <v>68713.933017912204</v>
      </c>
      <c r="G30" s="7">
        <f>(G27*'Emisi GRK'!G36)+('Emisi GRK'!G35*G28)</f>
        <v>69390.36542722267</v>
      </c>
      <c r="H30" s="7">
        <f>(H27*'Emisi GRK'!H36)+('Emisi GRK'!H35*H28)</f>
        <v>69997.248077466109</v>
      </c>
      <c r="I30" s="7">
        <f>(I27*'Emisi GRK'!I36)+('Emisi GRK'!I35*I28)</f>
        <v>70534.58096864252</v>
      </c>
      <c r="J30" s="7">
        <f>(J27*'Emisi GRK'!J36)+('Emisi GRK'!J35*J28)</f>
        <v>71002.364100751904</v>
      </c>
      <c r="K30" s="7">
        <f>(K27*'Emisi GRK'!K36)+('Emisi GRK'!K35*K28)</f>
        <v>71400.597473794245</v>
      </c>
      <c r="L30" s="7">
        <f>(L27*'Emisi GRK'!L36)+('Emisi GRK'!L35*L28)</f>
        <v>69996.144922992593</v>
      </c>
      <c r="M30" s="7">
        <f>(M27*'Emisi GRK'!M36)+('Emisi GRK'!M35*M28)</f>
        <v>68591.69237219097</v>
      </c>
      <c r="N30" s="7">
        <f>(N27*'Emisi GRK'!N36)+('Emisi GRK'!N35*N28)</f>
        <v>67187.239821389318</v>
      </c>
      <c r="O30" s="7">
        <f>(O27*'Emisi GRK'!O36)+('Emisi GRK'!O35*O28)</f>
        <v>65782.78727058768</v>
      </c>
      <c r="P30" s="7">
        <f>(P27*'Emisi GRK'!P36)+('Emisi GRK'!P35*P28)</f>
        <v>64378.334719786049</v>
      </c>
    </row>
    <row r="31" spans="1:16" x14ac:dyDescent="0.25">
      <c r="A31" s="9" t="s">
        <v>62</v>
      </c>
      <c r="B31" s="2">
        <f>B30*46%</f>
        <v>29580.386043000006</v>
      </c>
      <c r="C31" s="2">
        <f t="shared" ref="C31:P31" si="15">C30*46%</f>
        <v>30124.306701430098</v>
      </c>
      <c r="D31" s="2">
        <f t="shared" si="15"/>
        <v>30643.617445113399</v>
      </c>
      <c r="E31" s="2">
        <f t="shared" si="15"/>
        <v>31138.318274049903</v>
      </c>
      <c r="F31" s="2">
        <f t="shared" si="15"/>
        <v>31608.409188239617</v>
      </c>
      <c r="G31" s="2">
        <f t="shared" si="15"/>
        <v>31919.568096522431</v>
      </c>
      <c r="H31" s="2">
        <f t="shared" si="15"/>
        <v>32198.734115634412</v>
      </c>
      <c r="I31" s="2">
        <f t="shared" si="15"/>
        <v>32445.90724557556</v>
      </c>
      <c r="J31" s="2">
        <f t="shared" si="15"/>
        <v>32661.087486345878</v>
      </c>
      <c r="K31" s="2">
        <f t="shared" si="15"/>
        <v>32844.274837945355</v>
      </c>
      <c r="L31" s="2">
        <f t="shared" si="15"/>
        <v>32198.226664576596</v>
      </c>
      <c r="M31" s="2">
        <f t="shared" si="15"/>
        <v>31552.178491207847</v>
      </c>
      <c r="N31" s="2">
        <f t="shared" si="15"/>
        <v>30906.130317839088</v>
      </c>
      <c r="O31" s="2">
        <f t="shared" si="15"/>
        <v>30260.082144470332</v>
      </c>
      <c r="P31" s="2">
        <f t="shared" si="15"/>
        <v>29614.033971101584</v>
      </c>
    </row>
    <row r="32" spans="1:16" x14ac:dyDescent="0.25">
      <c r="A32" t="s">
        <v>63</v>
      </c>
      <c r="B32" s="2">
        <f>B30*'Emisi GRK'!B37*44/12</f>
        <v>47157.137170000009</v>
      </c>
      <c r="C32" s="2">
        <f>C30*'Emisi GRK'!C37*44/12</f>
        <v>48024.257060250879</v>
      </c>
      <c r="D32" s="2">
        <f>D30*'Emisi GRK'!D37*44/12</f>
        <v>48852.143753079326</v>
      </c>
      <c r="E32" s="2">
        <f>E30*'Emisi GRK'!E37*44/12</f>
        <v>49640.797248485353</v>
      </c>
      <c r="F32" s="2">
        <f>F30*'Emisi GRK'!F37*44/12</f>
        <v>50390.21754646895</v>
      </c>
      <c r="G32" s="2">
        <f>G30*'Emisi GRK'!G37*44/12</f>
        <v>50886.267979963297</v>
      </c>
      <c r="H32" s="2">
        <f>H30*'Emisi GRK'!H37*44/12</f>
        <v>51331.315256808477</v>
      </c>
      <c r="I32" s="2">
        <f>I30*'Emisi GRK'!I37*44/12</f>
        <v>51725.359377004519</v>
      </c>
      <c r="J32" s="2">
        <f>J30*'Emisi GRK'!J37*44/12</f>
        <v>52068.400340551401</v>
      </c>
      <c r="K32" s="2">
        <f>K30*'Emisi GRK'!K37*44/12</f>
        <v>52360.438147449117</v>
      </c>
      <c r="L32" s="2">
        <f>L30*'Emisi GRK'!L37*44/12</f>
        <v>51330.506276861241</v>
      </c>
      <c r="M32" s="2">
        <f>M30*'Emisi GRK'!M37*44/12</f>
        <v>50300.574406273379</v>
      </c>
      <c r="N32" s="2">
        <f>N30*'Emisi GRK'!N37*44/12</f>
        <v>49270.642535685503</v>
      </c>
      <c r="O32" s="2">
        <f>O30*'Emisi GRK'!O37*44/12</f>
        <v>48240.710665097635</v>
      </c>
      <c r="P32" s="2">
        <f>P30*'Emisi GRK'!P37*44/12</f>
        <v>47210.778794509773</v>
      </c>
    </row>
    <row r="33" spans="1:16" x14ac:dyDescent="0.25">
      <c r="A33" t="s">
        <v>64</v>
      </c>
      <c r="B33" s="11">
        <f>B31*'Emisi GRK'!B38*44/28*298</f>
        <v>138520.7220699343</v>
      </c>
      <c r="C33" s="11">
        <f>C31*'Emisi GRK'!C38*44/28*298</f>
        <v>141067.82481041123</v>
      </c>
      <c r="D33" s="11">
        <f>D31*'Emisi GRK'!D38*44/28*298</f>
        <v>143499.68283583102</v>
      </c>
      <c r="E33" s="11">
        <f>E31*'Emisi GRK'!E38*44/28*298</f>
        <v>145816.29614619366</v>
      </c>
      <c r="F33" s="11">
        <f>F31*'Emisi GRK'!F38*44/28*298</f>
        <v>148017.66474149923</v>
      </c>
      <c r="G33" s="11">
        <f>G31*'Emisi GRK'!G38*44/28*298</f>
        <v>149474.77745771504</v>
      </c>
      <c r="H33" s="11">
        <f>H31*'Emisi GRK'!H38*44/28*298</f>
        <v>150782.07204435658</v>
      </c>
      <c r="I33" s="11">
        <f>I31*'Emisi GRK'!I38*44/28*298</f>
        <v>151939.54850142382</v>
      </c>
      <c r="J33" s="11">
        <f>J31*'Emisi GRK'!J38*44/28*298</f>
        <v>152947.20682891682</v>
      </c>
      <c r="K33" s="11">
        <f>K31*'Emisi GRK'!K38*44/28*298</f>
        <v>153805.04702683553</v>
      </c>
      <c r="L33" s="11">
        <f>L31*'Emisi GRK'!L38*44/28*298</f>
        <v>150779.69572354582</v>
      </c>
      <c r="M33" s="11">
        <f>M31*'Emisi GRK'!M38*44/28*298</f>
        <v>147754.34442025618</v>
      </c>
      <c r="N33" s="11">
        <f>N31*'Emisi GRK'!N38*44/28*298</f>
        <v>144728.99311696651</v>
      </c>
      <c r="O33" s="11">
        <f>O31*'Emisi GRK'!O38*44/28*298</f>
        <v>141703.6418136768</v>
      </c>
      <c r="P33" s="11">
        <f>P31*'Emisi GRK'!P38*44/28*298</f>
        <v>138678.29051038713</v>
      </c>
    </row>
    <row r="34" spans="1:16" x14ac:dyDescent="0.25">
      <c r="A34" t="s">
        <v>65</v>
      </c>
      <c r="B34" s="2">
        <f>B31*'Emisi GRK'!B39*44/28*298</f>
        <v>45019.234672728642</v>
      </c>
      <c r="C34" s="2">
        <f>C31*'Emisi GRK'!C39*44/28*298</f>
        <v>45847.043063383644</v>
      </c>
      <c r="D34" s="2">
        <f>D31*'Emisi GRK'!D39*44/28*298</f>
        <v>46637.396921645086</v>
      </c>
      <c r="E34" s="2">
        <f>E31*'Emisi GRK'!E39*44/28*298</f>
        <v>47390.296247512953</v>
      </c>
      <c r="F34" s="2">
        <f>F31*'Emisi GRK'!F39*44/28*298</f>
        <v>48105.741040987254</v>
      </c>
      <c r="G34" s="2">
        <f>G31*'Emisi GRK'!G39*44/28*298</f>
        <v>48579.302673757382</v>
      </c>
      <c r="H34" s="2">
        <f>H31*'Emisi GRK'!H39*44/28*298</f>
        <v>49004.173414415884</v>
      </c>
      <c r="I34" s="2">
        <f>I31*'Emisi GRK'!I39*44/28*298</f>
        <v>49380.353262962744</v>
      </c>
      <c r="J34" s="2">
        <f>J31*'Emisi GRK'!J39*44/28*298</f>
        <v>49707.842219397971</v>
      </c>
      <c r="K34" s="2">
        <f>K31*'Emisi GRK'!K39*44/28*298</f>
        <v>49986.64028372155</v>
      </c>
      <c r="L34" s="2">
        <f>L31*'Emisi GRK'!L39*44/28*298</f>
        <v>49003.401110152387</v>
      </c>
      <c r="M34" s="2">
        <f>M31*'Emisi GRK'!M39*44/28*298</f>
        <v>48020.161936583267</v>
      </c>
      <c r="N34" s="2">
        <f>N31*'Emisi GRK'!N39*44/28*298</f>
        <v>47036.922763014103</v>
      </c>
      <c r="O34" s="2">
        <f>O31*'Emisi GRK'!O39*44/28*298</f>
        <v>46053.683589444954</v>
      </c>
      <c r="P34" s="2">
        <f>P31*'Emisi GRK'!P39*44/28*298</f>
        <v>45070.44441587582</v>
      </c>
    </row>
    <row r="35" spans="1:16" x14ac:dyDescent="0.25">
      <c r="A35" t="s">
        <v>66</v>
      </c>
      <c r="B35" s="2">
        <f>SUM(B32:B34)</f>
        <v>230697.09391266294</v>
      </c>
      <c r="C35" s="2">
        <f t="shared" ref="C35:P35" si="16">SUM(C32:C34)</f>
        <v>234939.12493404574</v>
      </c>
      <c r="D35" s="2">
        <f t="shared" si="16"/>
        <v>238989.22351055543</v>
      </c>
      <c r="E35" s="2">
        <f t="shared" si="16"/>
        <v>242847.38964219196</v>
      </c>
      <c r="F35" s="2">
        <f t="shared" si="16"/>
        <v>246513.62332895544</v>
      </c>
      <c r="G35" s="2">
        <f t="shared" si="16"/>
        <v>248940.34811143571</v>
      </c>
      <c r="H35" s="2">
        <f t="shared" si="16"/>
        <v>251117.56071558094</v>
      </c>
      <c r="I35" s="2">
        <f t="shared" si="16"/>
        <v>253045.26114139109</v>
      </c>
      <c r="J35" s="2">
        <f t="shared" si="16"/>
        <v>254723.4493888662</v>
      </c>
      <c r="K35" s="2">
        <f t="shared" si="16"/>
        <v>256152.12545800619</v>
      </c>
      <c r="L35" s="2">
        <f t="shared" si="16"/>
        <v>251113.60311055946</v>
      </c>
      <c r="M35" s="2">
        <f t="shared" si="16"/>
        <v>246075.08076311281</v>
      </c>
      <c r="N35" s="2">
        <f t="shared" si="16"/>
        <v>241036.55841566611</v>
      </c>
      <c r="O35" s="2">
        <f t="shared" si="16"/>
        <v>235998.0360682194</v>
      </c>
      <c r="P35" s="2">
        <f t="shared" si="16"/>
        <v>230959.51372077272</v>
      </c>
    </row>
    <row r="38" spans="1:16" x14ac:dyDescent="0.25">
      <c r="B38" s="63" t="s">
        <v>71</v>
      </c>
      <c r="C38" s="63"/>
      <c r="D38" s="63" t="s">
        <v>82</v>
      </c>
      <c r="E38" s="63"/>
    </row>
    <row r="39" spans="1:16" x14ac:dyDescent="0.25">
      <c r="B39" t="s">
        <v>79</v>
      </c>
      <c r="C39" t="s">
        <v>80</v>
      </c>
      <c r="D39" t="s">
        <v>79</v>
      </c>
      <c r="E39" t="s">
        <v>80</v>
      </c>
    </row>
    <row r="40" spans="1:16" x14ac:dyDescent="0.25">
      <c r="B40" s="17">
        <f>SUM(B19:P19)</f>
        <v>1163969.9380780878</v>
      </c>
      <c r="C40" s="17">
        <f>SUM(B24:P24)</f>
        <v>4175782.6146672727</v>
      </c>
      <c r="D40" s="18">
        <f>SUM(B30:P30)</f>
        <v>1021076.6543979393</v>
      </c>
      <c r="E40" s="17">
        <f>SUM(B35:P35)</f>
        <v>3663147.9922220218</v>
      </c>
    </row>
  </sheetData>
  <mergeCells count="2">
    <mergeCell ref="B38:C38"/>
    <mergeCell ref="D38:E38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P40"/>
  <sheetViews>
    <sheetView topLeftCell="A22" workbookViewId="0">
      <selection activeCell="Q7" sqref="Q7"/>
    </sheetView>
  </sheetViews>
  <sheetFormatPr defaultRowHeight="15" x14ac:dyDescent="0.25"/>
  <cols>
    <col min="1" max="1" width="48.28515625" customWidth="1"/>
    <col min="2" max="16" width="11.7109375" customWidth="1"/>
  </cols>
  <sheetData>
    <row r="2" spans="1:16" x14ac:dyDescent="0.25">
      <c r="B2">
        <v>2016</v>
      </c>
      <c r="C2">
        <v>2017</v>
      </c>
      <c r="D2">
        <v>2018</v>
      </c>
      <c r="E2">
        <v>2019</v>
      </c>
      <c r="F2">
        <v>2020</v>
      </c>
      <c r="G2">
        <v>2021</v>
      </c>
      <c r="H2">
        <v>2022</v>
      </c>
      <c r="I2">
        <v>2023</v>
      </c>
      <c r="J2">
        <v>2024</v>
      </c>
      <c r="K2">
        <v>2025</v>
      </c>
      <c r="L2">
        <v>2026</v>
      </c>
      <c r="M2">
        <v>2027</v>
      </c>
      <c r="N2">
        <v>2028</v>
      </c>
      <c r="O2">
        <v>2029</v>
      </c>
      <c r="P2">
        <v>2030</v>
      </c>
    </row>
    <row r="3" spans="1:16" x14ac:dyDescent="0.25">
      <c r="A3" t="s">
        <v>0</v>
      </c>
      <c r="B3" s="1">
        <v>127474</v>
      </c>
      <c r="C3" s="1">
        <f>B3+C4</f>
        <v>149882.66614718386</v>
      </c>
      <c r="D3" s="1">
        <f t="shared" ref="D3:L3" si="0">C3+D4</f>
        <v>172291.33229436772</v>
      </c>
      <c r="E3" s="1">
        <f t="shared" si="0"/>
        <v>194699.99844155158</v>
      </c>
      <c r="F3" s="1">
        <f t="shared" si="0"/>
        <v>217108.66458873544</v>
      </c>
      <c r="G3" s="1">
        <f t="shared" si="0"/>
        <v>239517.3307359193</v>
      </c>
      <c r="H3" s="1">
        <f t="shared" si="0"/>
        <v>261925.99688310316</v>
      </c>
      <c r="I3" s="1">
        <f t="shared" si="0"/>
        <v>284334.66303028702</v>
      </c>
      <c r="J3" s="1">
        <f t="shared" si="0"/>
        <v>306743.32917747088</v>
      </c>
      <c r="K3" s="1">
        <f t="shared" si="0"/>
        <v>329151.99532465474</v>
      </c>
      <c r="L3" s="1">
        <f t="shared" si="0"/>
        <v>329151.99532465474</v>
      </c>
      <c r="M3" s="1">
        <f>L3+M4</f>
        <v>329151.99532465474</v>
      </c>
      <c r="N3" s="1">
        <f t="shared" ref="N3" si="1">M3+N4</f>
        <v>329151.99532465474</v>
      </c>
      <c r="O3" s="1">
        <f t="shared" ref="O3" si="2">N3+O4</f>
        <v>329151.99532465474</v>
      </c>
      <c r="P3" s="1">
        <f>[2]Proyeksi!$F$54</f>
        <v>329151.9953246548</v>
      </c>
    </row>
    <row r="4" spans="1:16" x14ac:dyDescent="0.25">
      <c r="A4" t="s">
        <v>2</v>
      </c>
      <c r="B4" s="1"/>
      <c r="C4" s="1">
        <f>(P3-B3)/9</f>
        <v>22408.666147183867</v>
      </c>
      <c r="D4" s="1">
        <f>C4</f>
        <v>22408.666147183867</v>
      </c>
      <c r="E4" s="1">
        <f t="shared" ref="E4:K4" si="3">D4</f>
        <v>22408.666147183867</v>
      </c>
      <c r="F4" s="1">
        <f t="shared" si="3"/>
        <v>22408.666147183867</v>
      </c>
      <c r="G4" s="1">
        <f t="shared" si="3"/>
        <v>22408.666147183867</v>
      </c>
      <c r="H4" s="1">
        <f t="shared" si="3"/>
        <v>22408.666147183867</v>
      </c>
      <c r="I4" s="1">
        <f t="shared" si="3"/>
        <v>22408.666147183867</v>
      </c>
      <c r="J4" s="1">
        <f t="shared" si="3"/>
        <v>22408.666147183867</v>
      </c>
      <c r="K4" s="1">
        <f t="shared" si="3"/>
        <v>22408.666147183867</v>
      </c>
      <c r="L4" s="1"/>
      <c r="M4" s="1"/>
      <c r="N4" s="1"/>
      <c r="O4" s="1"/>
      <c r="P4" s="1"/>
    </row>
    <row r="5" spans="1:16" x14ac:dyDescent="0.25">
      <c r="A5" t="s">
        <v>10</v>
      </c>
      <c r="B5" s="1">
        <v>83432</v>
      </c>
      <c r="C5" s="1">
        <f>B5-(B5/4)</f>
        <v>62574</v>
      </c>
      <c r="D5" s="1">
        <f>C5-(B5/4)</f>
        <v>41716</v>
      </c>
      <c r="E5" s="1">
        <f>D5-(B5/4)</f>
        <v>20858</v>
      </c>
      <c r="F5" s="1">
        <f>E5-(B5/4)</f>
        <v>0</v>
      </c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25">
      <c r="A6" t="s">
        <v>13</v>
      </c>
      <c r="B6" s="1">
        <v>44042</v>
      </c>
      <c r="C6" s="1">
        <f>B6+(B5-C5)</f>
        <v>64900</v>
      </c>
      <c r="D6" s="1">
        <f>C6+(C5-D5)</f>
        <v>85758</v>
      </c>
      <c r="E6" s="1">
        <f>D6+(D5-E5)</f>
        <v>106616</v>
      </c>
      <c r="F6" s="1">
        <f>E6+(E5-F5)</f>
        <v>127474</v>
      </c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25">
      <c r="A7" t="s">
        <v>4</v>
      </c>
      <c r="B7" s="1">
        <f>B6</f>
        <v>44042</v>
      </c>
      <c r="C7" s="1">
        <f>C6</f>
        <v>64900</v>
      </c>
      <c r="D7" s="1">
        <f>D6</f>
        <v>85758</v>
      </c>
      <c r="E7" s="1">
        <f>E6</f>
        <v>106616</v>
      </c>
      <c r="F7" s="1">
        <f>F6</f>
        <v>127474</v>
      </c>
      <c r="G7" s="1">
        <f>F6+C4</f>
        <v>149882.66614718386</v>
      </c>
      <c r="H7" s="1">
        <f>G7+D4</f>
        <v>172291.33229436772</v>
      </c>
      <c r="I7" s="1">
        <f t="shared" ref="I7:P7" si="4">H7+E4</f>
        <v>194699.99844155158</v>
      </c>
      <c r="J7" s="1">
        <f t="shared" si="4"/>
        <v>217108.66458873544</v>
      </c>
      <c r="K7" s="1">
        <f t="shared" si="4"/>
        <v>239517.3307359193</v>
      </c>
      <c r="L7" s="1">
        <f t="shared" si="4"/>
        <v>261925.99688310316</v>
      </c>
      <c r="M7" s="1">
        <f t="shared" si="4"/>
        <v>284334.66303028702</v>
      </c>
      <c r="N7" s="1">
        <f t="shared" si="4"/>
        <v>306743.32917747088</v>
      </c>
      <c r="O7" s="1">
        <f t="shared" si="4"/>
        <v>329151.99532465474</v>
      </c>
      <c r="P7" s="1">
        <f t="shared" si="4"/>
        <v>329151.99532465474</v>
      </c>
    </row>
    <row r="8" spans="1:16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25">
      <c r="A9" t="s">
        <v>5</v>
      </c>
      <c r="B9">
        <v>13.3</v>
      </c>
      <c r="C9" s="5">
        <f>B9+0.743</f>
        <v>14.043000000000001</v>
      </c>
      <c r="D9" s="5">
        <f t="shared" ref="D9:O9" si="5">C9+0.743</f>
        <v>14.786000000000001</v>
      </c>
      <c r="E9" s="5">
        <f t="shared" si="5"/>
        <v>15.529000000000002</v>
      </c>
      <c r="F9" s="5">
        <f t="shared" si="5"/>
        <v>16.272000000000002</v>
      </c>
      <c r="G9" s="5">
        <f t="shared" si="5"/>
        <v>17.015000000000001</v>
      </c>
      <c r="H9" s="5">
        <f t="shared" si="5"/>
        <v>17.757999999999999</v>
      </c>
      <c r="I9" s="5">
        <f t="shared" si="5"/>
        <v>18.500999999999998</v>
      </c>
      <c r="J9" s="5">
        <f t="shared" si="5"/>
        <v>19.243999999999996</v>
      </c>
      <c r="K9" s="5">
        <f t="shared" si="5"/>
        <v>19.986999999999995</v>
      </c>
      <c r="L9" s="5">
        <f t="shared" si="5"/>
        <v>20.729999999999993</v>
      </c>
      <c r="M9" s="5">
        <f t="shared" si="5"/>
        <v>21.472999999999992</v>
      </c>
      <c r="N9" s="5">
        <f t="shared" si="5"/>
        <v>22.21599999999999</v>
      </c>
      <c r="O9" s="5">
        <f t="shared" si="5"/>
        <v>22.958999999999989</v>
      </c>
      <c r="P9" s="3">
        <v>23.7</v>
      </c>
    </row>
    <row r="10" spans="1:16" x14ac:dyDescent="0.25">
      <c r="A10" t="s">
        <v>6</v>
      </c>
      <c r="B10" s="2">
        <f>B7*B9</f>
        <v>585758.6</v>
      </c>
      <c r="C10" s="2">
        <f t="shared" ref="C10:P10" si="6">C7*C9</f>
        <v>911390.70000000007</v>
      </c>
      <c r="D10" s="2">
        <f t="shared" si="6"/>
        <v>1268017.7880000002</v>
      </c>
      <c r="E10" s="2">
        <f t="shared" si="6"/>
        <v>1655639.8640000003</v>
      </c>
      <c r="F10" s="2">
        <f t="shared" si="6"/>
        <v>2074256.9280000003</v>
      </c>
      <c r="G10" s="2">
        <f t="shared" si="6"/>
        <v>2550253.5644943332</v>
      </c>
      <c r="H10" s="2">
        <f t="shared" si="6"/>
        <v>3059549.4788833819</v>
      </c>
      <c r="I10" s="2">
        <f t="shared" si="6"/>
        <v>3602144.6711671455</v>
      </c>
      <c r="J10" s="2">
        <f t="shared" si="6"/>
        <v>4178039.1413456239</v>
      </c>
      <c r="K10" s="2">
        <f t="shared" si="6"/>
        <v>4787232.8894188181</v>
      </c>
      <c r="L10" s="2">
        <f t="shared" si="6"/>
        <v>5429725.9153867271</v>
      </c>
      <c r="M10" s="2">
        <f t="shared" si="6"/>
        <v>6105518.219249351</v>
      </c>
      <c r="N10" s="2">
        <f t="shared" si="6"/>
        <v>6814609.8010066897</v>
      </c>
      <c r="O10" s="2">
        <f t="shared" si="6"/>
        <v>7557000.6606587442</v>
      </c>
      <c r="P10" s="2">
        <f t="shared" si="6"/>
        <v>7800902.2891943166</v>
      </c>
    </row>
    <row r="11" spans="1:16" x14ac:dyDescent="0.25">
      <c r="A11" t="s">
        <v>7</v>
      </c>
      <c r="B11" s="2">
        <f>B10*21/10^3</f>
        <v>12300.9306</v>
      </c>
      <c r="C11" s="2">
        <f t="shared" ref="C11:P11" si="7">C10*21/10^3</f>
        <v>19139.204700000002</v>
      </c>
      <c r="D11" s="2">
        <f t="shared" si="7"/>
        <v>26628.373548000003</v>
      </c>
      <c r="E11" s="2">
        <f t="shared" si="7"/>
        <v>34768.43714400001</v>
      </c>
      <c r="F11" s="2">
        <f t="shared" si="7"/>
        <v>43559.395488000002</v>
      </c>
      <c r="G11" s="2">
        <f t="shared" si="7"/>
        <v>53555.324854380997</v>
      </c>
      <c r="H11" s="2">
        <f t="shared" si="7"/>
        <v>64250.539056551024</v>
      </c>
      <c r="I11" s="2">
        <f t="shared" si="7"/>
        <v>75645.038094510048</v>
      </c>
      <c r="J11" s="2">
        <f t="shared" si="7"/>
        <v>87738.821968258097</v>
      </c>
      <c r="K11" s="2">
        <f t="shared" si="7"/>
        <v>100531.89067779518</v>
      </c>
      <c r="L11" s="2">
        <f t="shared" si="7"/>
        <v>114024.24422312128</v>
      </c>
      <c r="M11" s="2">
        <f t="shared" si="7"/>
        <v>128215.88260423637</v>
      </c>
      <c r="N11" s="2">
        <f t="shared" si="7"/>
        <v>143106.80582114047</v>
      </c>
      <c r="O11" s="2">
        <f t="shared" si="7"/>
        <v>158697.01387383364</v>
      </c>
      <c r="P11" s="2">
        <f t="shared" si="7"/>
        <v>163818.94807308065</v>
      </c>
    </row>
    <row r="12" spans="1:16" x14ac:dyDescent="0.25">
      <c r="A12" t="s">
        <v>8</v>
      </c>
      <c r="B12" s="2">
        <f>B11/6329</f>
        <v>1.9435820192763469</v>
      </c>
      <c r="C12" s="2">
        <f t="shared" ref="C12:P12" si="8">C11/6329</f>
        <v>3.0240487754779588</v>
      </c>
      <c r="D12" s="2">
        <f t="shared" si="8"/>
        <v>4.2073587530415555</v>
      </c>
      <c r="E12" s="2">
        <f t="shared" si="8"/>
        <v>5.4935119519671369</v>
      </c>
      <c r="F12" s="2">
        <f t="shared" si="8"/>
        <v>6.8825083722547005</v>
      </c>
      <c r="G12" s="2">
        <f t="shared" si="8"/>
        <v>8.4618936410777366</v>
      </c>
      <c r="H12" s="2">
        <f t="shared" si="8"/>
        <v>10.151767902757312</v>
      </c>
      <c r="I12" s="2">
        <f t="shared" si="8"/>
        <v>11.952131157293419</v>
      </c>
      <c r="J12" s="2">
        <f t="shared" si="8"/>
        <v>13.862983404686064</v>
      </c>
      <c r="K12" s="2">
        <f t="shared" si="8"/>
        <v>15.884324644935248</v>
      </c>
      <c r="L12" s="2">
        <f t="shared" si="8"/>
        <v>18.016154878040968</v>
      </c>
      <c r="M12" s="2">
        <f t="shared" si="8"/>
        <v>20.258474104003216</v>
      </c>
      <c r="N12" s="2">
        <f t="shared" si="8"/>
        <v>22.611282322822007</v>
      </c>
      <c r="O12" s="2">
        <f t="shared" si="8"/>
        <v>25.074579534497335</v>
      </c>
      <c r="P12" s="2">
        <f t="shared" si="8"/>
        <v>25.883859705021433</v>
      </c>
    </row>
    <row r="13" spans="1:16" x14ac:dyDescent="0.25">
      <c r="B13" s="2"/>
    </row>
    <row r="14" spans="1:16" x14ac:dyDescent="0.25">
      <c r="A14" t="s">
        <v>9</v>
      </c>
      <c r="B14" s="2">
        <f>B10/170000</f>
        <v>3.4456388235294115</v>
      </c>
      <c r="C14" s="2">
        <f t="shared" ref="C14:P14" si="9">C10/170000</f>
        <v>5.3611217647058824</v>
      </c>
      <c r="D14" s="2">
        <f t="shared" si="9"/>
        <v>7.4589281647058838</v>
      </c>
      <c r="E14" s="2">
        <f t="shared" si="9"/>
        <v>9.7390580235294131</v>
      </c>
      <c r="F14" s="2">
        <f t="shared" si="9"/>
        <v>12.201511341176472</v>
      </c>
      <c r="G14" s="2">
        <f t="shared" si="9"/>
        <v>15.00149155584902</v>
      </c>
      <c r="H14" s="2">
        <f t="shared" si="9"/>
        <v>17.9973498757846</v>
      </c>
      <c r="I14" s="2">
        <f t="shared" si="9"/>
        <v>21.18908630098321</v>
      </c>
      <c r="J14" s="2">
        <f t="shared" si="9"/>
        <v>24.576700831444846</v>
      </c>
      <c r="K14" s="2">
        <f t="shared" si="9"/>
        <v>28.160193467169517</v>
      </c>
      <c r="L14" s="2">
        <f t="shared" si="9"/>
        <v>31.939564208157218</v>
      </c>
      <c r="M14" s="2">
        <f t="shared" si="9"/>
        <v>35.914813054407944</v>
      </c>
      <c r="N14" s="2">
        <f t="shared" si="9"/>
        <v>40.085940005921707</v>
      </c>
      <c r="O14" s="2">
        <f t="shared" si="9"/>
        <v>44.452945062698497</v>
      </c>
      <c r="P14" s="2">
        <f t="shared" si="9"/>
        <v>45.887660524672448</v>
      </c>
    </row>
    <row r="17" spans="1:16" x14ac:dyDescent="0.25">
      <c r="A17" s="12" t="s">
        <v>71</v>
      </c>
      <c r="B17" s="10">
        <f>B2</f>
        <v>2016</v>
      </c>
      <c r="C17" s="10">
        <f t="shared" ref="C17:P17" si="10">C2</f>
        <v>2017</v>
      </c>
      <c r="D17" s="10">
        <f t="shared" si="10"/>
        <v>2018</v>
      </c>
      <c r="E17" s="10">
        <f t="shared" si="10"/>
        <v>2019</v>
      </c>
      <c r="F17" s="10">
        <f t="shared" si="10"/>
        <v>2020</v>
      </c>
      <c r="G17" s="10">
        <f t="shared" si="10"/>
        <v>2021</v>
      </c>
      <c r="H17" s="10">
        <f t="shared" si="10"/>
        <v>2022</v>
      </c>
      <c r="I17" s="10">
        <f t="shared" si="10"/>
        <v>2023</v>
      </c>
      <c r="J17" s="10">
        <f t="shared" si="10"/>
        <v>2024</v>
      </c>
      <c r="K17" s="10">
        <f t="shared" si="10"/>
        <v>2025</v>
      </c>
      <c r="L17" s="10">
        <f t="shared" si="10"/>
        <v>2026</v>
      </c>
      <c r="M17" s="10">
        <f t="shared" si="10"/>
        <v>2027</v>
      </c>
      <c r="N17" s="10">
        <f t="shared" si="10"/>
        <v>2028</v>
      </c>
      <c r="O17" s="10">
        <f t="shared" si="10"/>
        <v>2029</v>
      </c>
      <c r="P17" s="10">
        <f t="shared" si="10"/>
        <v>2030</v>
      </c>
    </row>
    <row r="18" spans="1:16" x14ac:dyDescent="0.25">
      <c r="A18" t="s">
        <v>53</v>
      </c>
      <c r="H18" s="4"/>
      <c r="I18" s="4"/>
      <c r="P18" s="7"/>
    </row>
    <row r="19" spans="1:16" x14ac:dyDescent="0.25">
      <c r="A19" s="9" t="s">
        <v>61</v>
      </c>
      <c r="B19" s="2">
        <f>B3*'Emisi GRK'!B35</f>
        <v>41046.628000000004</v>
      </c>
      <c r="C19" s="2">
        <f>C3*'Emisi GRK'!C35</f>
        <v>48262.218499393202</v>
      </c>
      <c r="D19" s="2">
        <f>D3*'Emisi GRK'!D35</f>
        <v>55477.808998786408</v>
      </c>
      <c r="E19" s="2">
        <f>E3*'Emisi GRK'!E35</f>
        <v>62693.399498179613</v>
      </c>
      <c r="F19" s="2">
        <f>F3*'Emisi GRK'!F35</f>
        <v>69908.989997572819</v>
      </c>
      <c r="G19" s="2">
        <f>G3*'Emisi GRK'!G35</f>
        <v>77124.580496966009</v>
      </c>
      <c r="H19" s="2">
        <f>H3*'Emisi GRK'!H35</f>
        <v>84340.170996359215</v>
      </c>
      <c r="I19" s="2">
        <f>I3*'Emisi GRK'!I35</f>
        <v>91555.76149575242</v>
      </c>
      <c r="J19" s="2">
        <f>J3*'Emisi GRK'!J35</f>
        <v>98771.351995145626</v>
      </c>
      <c r="K19" s="2">
        <f>K3*'Emisi GRK'!K35</f>
        <v>105986.94249453883</v>
      </c>
      <c r="L19" s="2">
        <f>L3*'Emisi GRK'!L35</f>
        <v>105986.94249453883</v>
      </c>
      <c r="M19" s="2">
        <f>M3*'Emisi GRK'!M35</f>
        <v>105986.94249453883</v>
      </c>
      <c r="N19" s="2">
        <f>N3*'Emisi GRK'!N35</f>
        <v>105986.94249453883</v>
      </c>
      <c r="O19" s="2">
        <f>O3*'Emisi GRK'!O35</f>
        <v>105986.94249453883</v>
      </c>
      <c r="P19" s="2">
        <f>P3*'Emisi GRK'!P35</f>
        <v>105986.94249453885</v>
      </c>
    </row>
    <row r="20" spans="1:16" x14ac:dyDescent="0.25">
      <c r="A20" s="9" t="s">
        <v>62</v>
      </c>
      <c r="B20" s="2">
        <f>B19*46%</f>
        <v>18881.448880000004</v>
      </c>
      <c r="C20" s="2">
        <f t="shared" ref="C20:P20" si="11">C19*46%</f>
        <v>22200.620509720873</v>
      </c>
      <c r="D20" s="2">
        <f t="shared" si="11"/>
        <v>25519.79213944175</v>
      </c>
      <c r="E20" s="2">
        <f t="shared" si="11"/>
        <v>28838.963769162623</v>
      </c>
      <c r="F20" s="2">
        <f t="shared" si="11"/>
        <v>32158.135398883496</v>
      </c>
      <c r="G20" s="2">
        <f t="shared" si="11"/>
        <v>35477.307028604366</v>
      </c>
      <c r="H20" s="2">
        <f t="shared" si="11"/>
        <v>38796.478658325243</v>
      </c>
      <c r="I20" s="2">
        <f t="shared" si="11"/>
        <v>42115.650288046112</v>
      </c>
      <c r="J20" s="2">
        <f t="shared" si="11"/>
        <v>45434.821917766989</v>
      </c>
      <c r="K20" s="2">
        <f t="shared" si="11"/>
        <v>48753.993547487866</v>
      </c>
      <c r="L20" s="2">
        <f t="shared" si="11"/>
        <v>48753.993547487866</v>
      </c>
      <c r="M20" s="2">
        <f t="shared" si="11"/>
        <v>48753.993547487866</v>
      </c>
      <c r="N20" s="2">
        <f t="shared" si="11"/>
        <v>48753.993547487866</v>
      </c>
      <c r="O20" s="2">
        <f t="shared" si="11"/>
        <v>48753.993547487866</v>
      </c>
      <c r="P20" s="2">
        <f t="shared" si="11"/>
        <v>48753.993547487873</v>
      </c>
    </row>
    <row r="21" spans="1:16" x14ac:dyDescent="0.25">
      <c r="A21" t="s">
        <v>63</v>
      </c>
      <c r="B21" s="2">
        <f>B19*'Emisi GRK'!B37*44/12</f>
        <v>30100.86053333334</v>
      </c>
      <c r="C21" s="2">
        <f>C19*'Emisi GRK'!C37*44/12</f>
        <v>35392.293566221684</v>
      </c>
      <c r="D21" s="2">
        <f>D19*'Emisi GRK'!D37*44/12</f>
        <v>40683.726599110036</v>
      </c>
      <c r="E21" s="2">
        <f>E19*'Emisi GRK'!E37*44/12</f>
        <v>45975.159631998387</v>
      </c>
      <c r="F21" s="2">
        <f>F19*'Emisi GRK'!F37*44/12</f>
        <v>51266.592664886739</v>
      </c>
      <c r="G21" s="2">
        <f>G19*'Emisi GRK'!G37*44/12</f>
        <v>56558.025697775069</v>
      </c>
      <c r="H21" s="2">
        <f>H19*'Emisi GRK'!H37*44/12</f>
        <v>61849.458730663428</v>
      </c>
      <c r="I21" s="2">
        <f>I19*'Emisi GRK'!I37*44/12</f>
        <v>67140.891763551786</v>
      </c>
      <c r="J21" s="2">
        <f>J19*'Emisi GRK'!J37*44/12</f>
        <v>72432.324796440123</v>
      </c>
      <c r="K21" s="2">
        <f>K19*'Emisi GRK'!K37*44/12</f>
        <v>77723.757829328475</v>
      </c>
      <c r="L21" s="2">
        <f>L19*'Emisi GRK'!L37*44/12</f>
        <v>77723.757829328475</v>
      </c>
      <c r="M21" s="2">
        <f>M19*'Emisi GRK'!M37*44/12</f>
        <v>77723.757829328475</v>
      </c>
      <c r="N21" s="2">
        <f>N19*'Emisi GRK'!N37*44/12</f>
        <v>77723.757829328475</v>
      </c>
      <c r="O21" s="2">
        <f>O19*'Emisi GRK'!O37*44/12</f>
        <v>77723.757829328475</v>
      </c>
      <c r="P21" s="2">
        <f>P19*'Emisi GRK'!P37*44/12</f>
        <v>77723.75782932849</v>
      </c>
    </row>
    <row r="22" spans="1:16" x14ac:dyDescent="0.25">
      <c r="A22" t="s">
        <v>64</v>
      </c>
      <c r="B22" s="11">
        <f>B20*'Emisi GRK'!B38*44/28*298</f>
        <v>88419.12775520001</v>
      </c>
      <c r="C22" s="11">
        <f>C20*'Emisi GRK'!C38*44/28*298</f>
        <v>103962.33432980718</v>
      </c>
      <c r="D22" s="11">
        <f>D20*'Emisi GRK'!D38*44/28*298</f>
        <v>119505.54090441436</v>
      </c>
      <c r="E22" s="11">
        <f>E20*'Emisi GRK'!E38*44/28*298</f>
        <v>135048.74747902155</v>
      </c>
      <c r="F22" s="11">
        <f>F20*'Emisi GRK'!F38*44/28*298</f>
        <v>150591.95405362872</v>
      </c>
      <c r="G22" s="11">
        <f>G20*'Emisi GRK'!G38*44/28*298</f>
        <v>166135.16062823587</v>
      </c>
      <c r="H22" s="11">
        <f>H20*'Emisi GRK'!H38*44/28*298</f>
        <v>181678.36720284302</v>
      </c>
      <c r="I22" s="11">
        <f>I20*'Emisi GRK'!I38*44/28*298</f>
        <v>197221.57377745022</v>
      </c>
      <c r="J22" s="11">
        <f>J20*'Emisi GRK'!J38*44/28*298</f>
        <v>212764.78035205739</v>
      </c>
      <c r="K22" s="11">
        <f>K20*'Emisi GRK'!K38*44/28*298</f>
        <v>228307.98692666466</v>
      </c>
      <c r="L22" s="11">
        <f>L20*'Emisi GRK'!L38*44/28*298</f>
        <v>228307.98692666466</v>
      </c>
      <c r="M22" s="11">
        <f>M20*'Emisi GRK'!M38*44/28*298</f>
        <v>228307.98692666466</v>
      </c>
      <c r="N22" s="11">
        <f>N20*'Emisi GRK'!N38*44/28*298</f>
        <v>228307.98692666466</v>
      </c>
      <c r="O22" s="11">
        <f>O20*'Emisi GRK'!O38*44/28*298</f>
        <v>228307.98692666466</v>
      </c>
      <c r="P22" s="11">
        <f>P20*'Emisi GRK'!P38*44/28*298</f>
        <v>228307.98692666466</v>
      </c>
    </row>
    <row r="23" spans="1:16" x14ac:dyDescent="0.25">
      <c r="A23" t="s">
        <v>65</v>
      </c>
      <c r="B23" s="2">
        <f>B20*'Emisi GRK'!B39*44/28*298</f>
        <v>28736.216520440001</v>
      </c>
      <c r="C23" s="2">
        <f>C20*'Emisi GRK'!C39*44/28*298</f>
        <v>33787.758657187333</v>
      </c>
      <c r="D23" s="2">
        <f>D20*'Emisi GRK'!D39*44/28*298</f>
        <v>38839.300793934664</v>
      </c>
      <c r="E23" s="2">
        <f>E20*'Emisi GRK'!E39*44/28*298</f>
        <v>43890.842930681996</v>
      </c>
      <c r="F23" s="2">
        <f>F20*'Emisi GRK'!F39*44/28*298</f>
        <v>48942.385067429335</v>
      </c>
      <c r="G23" s="2">
        <f>G20*'Emisi GRK'!G39*44/28*298</f>
        <v>53993.92720417666</v>
      </c>
      <c r="H23" s="2">
        <f>H20*'Emisi GRK'!H39*44/28*298</f>
        <v>59045.469340923992</v>
      </c>
      <c r="I23" s="2">
        <f>I20*'Emisi GRK'!I39*44/28*298</f>
        <v>64097.011477671331</v>
      </c>
      <c r="J23" s="2">
        <f>J20*'Emisi GRK'!J39*44/28*298</f>
        <v>69148.553614418663</v>
      </c>
      <c r="K23" s="2">
        <f>K20*'Emisi GRK'!K39*44/28*298</f>
        <v>74200.095751165994</v>
      </c>
      <c r="L23" s="2">
        <f>L20*'Emisi GRK'!L39*44/28*298</f>
        <v>74200.095751165994</v>
      </c>
      <c r="M23" s="2">
        <f>M20*'Emisi GRK'!M39*44/28*298</f>
        <v>74200.095751165994</v>
      </c>
      <c r="N23" s="2">
        <f>N20*'Emisi GRK'!N39*44/28*298</f>
        <v>74200.095751165994</v>
      </c>
      <c r="O23" s="2">
        <f>O20*'Emisi GRK'!O39*44/28*298</f>
        <v>74200.095751165994</v>
      </c>
      <c r="P23" s="2">
        <f>P20*'Emisi GRK'!P39*44/28*298</f>
        <v>74200.095751166009</v>
      </c>
    </row>
    <row r="24" spans="1:16" x14ac:dyDescent="0.25">
      <c r="A24" t="s">
        <v>66</v>
      </c>
      <c r="B24" s="2">
        <f>SUM(B21:B23)</f>
        <v>147256.20480897336</v>
      </c>
      <c r="C24" s="2">
        <f t="shared" ref="C24:P24" si="12">SUM(C21:C23)</f>
        <v>173142.3865532162</v>
      </c>
      <c r="D24" s="2">
        <f t="shared" si="12"/>
        <v>199028.56829745907</v>
      </c>
      <c r="E24" s="2">
        <f t="shared" si="12"/>
        <v>224914.75004170195</v>
      </c>
      <c r="F24" s="2">
        <f t="shared" si="12"/>
        <v>250800.93178594479</v>
      </c>
      <c r="G24" s="2">
        <f t="shared" si="12"/>
        <v>276687.11353018758</v>
      </c>
      <c r="H24" s="2">
        <f t="shared" si="12"/>
        <v>302573.29527443042</v>
      </c>
      <c r="I24" s="2">
        <f t="shared" si="12"/>
        <v>328459.47701867332</v>
      </c>
      <c r="J24" s="2">
        <f t="shared" si="12"/>
        <v>354345.65876291617</v>
      </c>
      <c r="K24" s="2">
        <f t="shared" si="12"/>
        <v>380231.84050715913</v>
      </c>
      <c r="L24" s="2">
        <f t="shared" si="12"/>
        <v>380231.84050715913</v>
      </c>
      <c r="M24" s="2">
        <f t="shared" si="12"/>
        <v>380231.84050715913</v>
      </c>
      <c r="N24" s="2">
        <f t="shared" si="12"/>
        <v>380231.84050715913</v>
      </c>
      <c r="O24" s="2">
        <f t="shared" si="12"/>
        <v>380231.84050715913</v>
      </c>
      <c r="P24" s="2">
        <f t="shared" si="12"/>
        <v>380231.84050715913</v>
      </c>
    </row>
    <row r="25" spans="1:16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12" t="s">
        <v>72</v>
      </c>
    </row>
    <row r="27" spans="1:16" x14ac:dyDescent="0.25">
      <c r="A27" t="s">
        <v>73</v>
      </c>
      <c r="B27" s="2">
        <f>B3*'Rekab Kab'!B25</f>
        <v>6373.7000000000007</v>
      </c>
      <c r="C27" s="2">
        <f>C3*'Rekab Kab'!C25</f>
        <v>14988.266614718386</v>
      </c>
      <c r="D27" s="2">
        <f>D3*'Rekab Kab'!D25</f>
        <v>25843.699844155162</v>
      </c>
      <c r="E27" s="2">
        <f>E3*'Rekab Kab'!E25</f>
        <v>38939.999688310316</v>
      </c>
      <c r="F27" s="2">
        <f>F3*'Rekab Kab'!F25</f>
        <v>54277.16614718386</v>
      </c>
      <c r="G27" s="2">
        <f>G3*'Rekab Kab'!G25</f>
        <v>75447.959181814585</v>
      </c>
      <c r="H27" s="2">
        <f>H3*'Rekab Kab'!H25</f>
        <v>99531.878815579199</v>
      </c>
      <c r="I27" s="2">
        <f>I3*'Rekab Kab'!I25</f>
        <v>126528.92504847773</v>
      </c>
      <c r="J27" s="2">
        <f>J3*'Rekab Kab'!J25</f>
        <v>156439.09788051015</v>
      </c>
      <c r="K27" s="2">
        <f>K3*'Rekab Kab'!K25</f>
        <v>189262.39731167647</v>
      </c>
      <c r="L27" s="2">
        <f>L3*'Rekab Kab'!L25</f>
        <v>210657.27700777899</v>
      </c>
      <c r="M27" s="2">
        <f>M3*'Rekab Kab'!M25</f>
        <v>232052.15670388154</v>
      </c>
      <c r="N27" s="2">
        <f>N3*'Rekab Kab'!N25</f>
        <v>253447.03639998409</v>
      </c>
      <c r="O27" s="2">
        <f>O3*'Rekab Kab'!O25</f>
        <v>274841.91609608661</v>
      </c>
      <c r="P27" s="2">
        <f>P3*'Rekab Kab'!P25</f>
        <v>296236.79579218931</v>
      </c>
    </row>
    <row r="28" spans="1:16" x14ac:dyDescent="0.25">
      <c r="A28" t="s">
        <v>74</v>
      </c>
      <c r="B28" s="2">
        <f>B3-B27</f>
        <v>121100.3</v>
      </c>
      <c r="C28" s="2">
        <f t="shared" ref="C28:P28" si="13">C3-C27</f>
        <v>134894.39953246547</v>
      </c>
      <c r="D28" s="2">
        <f t="shared" si="13"/>
        <v>146447.63245021255</v>
      </c>
      <c r="E28" s="2">
        <f t="shared" si="13"/>
        <v>155759.99875324126</v>
      </c>
      <c r="F28" s="2">
        <f t="shared" si="13"/>
        <v>162831.49844155158</v>
      </c>
      <c r="G28" s="2">
        <f t="shared" si="13"/>
        <v>164069.37155410473</v>
      </c>
      <c r="H28" s="2">
        <f t="shared" si="13"/>
        <v>162394.11806752396</v>
      </c>
      <c r="I28" s="2">
        <f t="shared" si="13"/>
        <v>157805.7379818093</v>
      </c>
      <c r="J28" s="2">
        <f t="shared" si="13"/>
        <v>150304.23129696073</v>
      </c>
      <c r="K28" s="2">
        <f t="shared" si="13"/>
        <v>139889.59801297827</v>
      </c>
      <c r="L28" s="2">
        <f t="shared" si="13"/>
        <v>118494.71831687575</v>
      </c>
      <c r="M28" s="2">
        <f t="shared" si="13"/>
        <v>97099.838620773196</v>
      </c>
      <c r="N28" s="2">
        <f t="shared" si="13"/>
        <v>75704.958924670646</v>
      </c>
      <c r="O28" s="2">
        <f t="shared" si="13"/>
        <v>54310.079228568124</v>
      </c>
      <c r="P28" s="2">
        <f t="shared" si="13"/>
        <v>32915.199532465485</v>
      </c>
    </row>
    <row r="29" spans="1:16" x14ac:dyDescent="0.25">
      <c r="A29" t="s">
        <v>53</v>
      </c>
    </row>
    <row r="30" spans="1:16" x14ac:dyDescent="0.25">
      <c r="A30" s="9" t="s">
        <v>61</v>
      </c>
      <c r="B30" s="7">
        <f>(B27*'Emisi GRK'!B36)+('Emisi GRK'!B35*B28)</f>
        <v>40517.6109</v>
      </c>
      <c r="C30" s="7">
        <f>(C27*'Emisi GRK'!C36)+('Emisi GRK'!C35*C28)</f>
        <v>47018.192370371573</v>
      </c>
      <c r="D30" s="7">
        <f>(D27*'Emisi GRK'!D36)+('Emisi GRK'!D35*D28)</f>
        <v>53332.781911721526</v>
      </c>
      <c r="E30" s="7">
        <f>(E27*'Emisi GRK'!E36)+('Emisi GRK'!E35*E28)</f>
        <v>59461.379524049851</v>
      </c>
      <c r="F30" s="7">
        <f>(F27*'Emisi GRK'!F36)+('Emisi GRK'!F35*F28)</f>
        <v>65403.985207356549</v>
      </c>
      <c r="G30" s="7">
        <f>(G27*'Emisi GRK'!G36)+('Emisi GRK'!G35*G28)</f>
        <v>70862.399884875413</v>
      </c>
      <c r="H30" s="7">
        <f>(H27*'Emisi GRK'!H36)+('Emisi GRK'!H35*H28)</f>
        <v>76079.025054666141</v>
      </c>
      <c r="I30" s="7">
        <f>(I27*'Emisi GRK'!I36)+('Emisi GRK'!I35*I28)</f>
        <v>81053.86071672877</v>
      </c>
      <c r="J30" s="7">
        <f>(J27*'Emisi GRK'!J36)+('Emisi GRK'!J35*J28)</f>
        <v>85786.906871063286</v>
      </c>
      <c r="K30" s="7">
        <f>(K27*'Emisi GRK'!K36)+('Emisi GRK'!K35*K28)</f>
        <v>90278.163517669673</v>
      </c>
      <c r="L30" s="7">
        <f>(L27*'Emisi GRK'!L36)+('Emisi GRK'!L35*L28)</f>
        <v>88502.388502893169</v>
      </c>
      <c r="M30" s="7">
        <f>(M27*'Emisi GRK'!M36)+('Emisi GRK'!M35*M28)</f>
        <v>86726.613488116651</v>
      </c>
      <c r="N30" s="7">
        <f>(N27*'Emisi GRK'!N36)+('Emisi GRK'!N35*N28)</f>
        <v>84950.838473340147</v>
      </c>
      <c r="O30" s="7">
        <f>(O27*'Emisi GRK'!O36)+('Emisi GRK'!O35*O28)</f>
        <v>83175.063458563629</v>
      </c>
      <c r="P30" s="7">
        <f>(P27*'Emisi GRK'!P36)+('Emisi GRK'!P35*P28)</f>
        <v>81399.288443787125</v>
      </c>
    </row>
    <row r="31" spans="1:16" x14ac:dyDescent="0.25">
      <c r="A31" s="9" t="s">
        <v>62</v>
      </c>
      <c r="B31" s="2">
        <f>B30*46%</f>
        <v>18638.101014</v>
      </c>
      <c r="C31" s="2">
        <f t="shared" ref="C31:P31" si="14">C30*46%</f>
        <v>21628.368490370925</v>
      </c>
      <c r="D31" s="2">
        <f t="shared" si="14"/>
        <v>24533.079679391903</v>
      </c>
      <c r="E31" s="2">
        <f t="shared" si="14"/>
        <v>27352.234581062934</v>
      </c>
      <c r="F31" s="2">
        <f t="shared" si="14"/>
        <v>30085.833195384013</v>
      </c>
      <c r="G31" s="2">
        <f t="shared" si="14"/>
        <v>32596.70394704269</v>
      </c>
      <c r="H31" s="2">
        <f t="shared" si="14"/>
        <v>34996.351525146427</v>
      </c>
      <c r="I31" s="2">
        <f t="shared" si="14"/>
        <v>37284.775929695235</v>
      </c>
      <c r="J31" s="2">
        <f t="shared" si="14"/>
        <v>39461.977160689115</v>
      </c>
      <c r="K31" s="2">
        <f t="shared" si="14"/>
        <v>41527.955218128052</v>
      </c>
      <c r="L31" s="2">
        <f t="shared" si="14"/>
        <v>40711.098711330858</v>
      </c>
      <c r="M31" s="2">
        <f t="shared" si="14"/>
        <v>39894.242204533664</v>
      </c>
      <c r="N31" s="2">
        <f t="shared" si="14"/>
        <v>39077.38569773647</v>
      </c>
      <c r="O31" s="2">
        <f t="shared" si="14"/>
        <v>38260.529190939269</v>
      </c>
      <c r="P31" s="2">
        <f t="shared" si="14"/>
        <v>37443.672684142082</v>
      </c>
    </row>
    <row r="32" spans="1:16" x14ac:dyDescent="0.25">
      <c r="A32" t="s">
        <v>63</v>
      </c>
      <c r="B32" s="2">
        <f>B30*'Emisi GRK'!B37*44/12</f>
        <v>29712.914659999999</v>
      </c>
      <c r="C32" s="2">
        <f>C30*'Emisi GRK'!C37*44/12</f>
        <v>34480.007738272485</v>
      </c>
      <c r="D32" s="2">
        <f>D30*'Emisi GRK'!D37*44/12</f>
        <v>39110.706735262458</v>
      </c>
      <c r="E32" s="2">
        <f>E30*'Emisi GRK'!E37*44/12</f>
        <v>43605.011650969893</v>
      </c>
      <c r="F32" s="2">
        <f>F30*'Emisi GRK'!F37*44/12</f>
        <v>47962.922485394811</v>
      </c>
      <c r="G32" s="2">
        <f>G30*'Emisi GRK'!G37*44/12</f>
        <v>51965.759915575305</v>
      </c>
      <c r="H32" s="2">
        <f>H30*'Emisi GRK'!H37*44/12</f>
        <v>55791.2850400885</v>
      </c>
      <c r="I32" s="2">
        <f>I30*'Emisi GRK'!I37*44/12</f>
        <v>59439.497858934432</v>
      </c>
      <c r="J32" s="2">
        <f>J30*'Emisi GRK'!J37*44/12</f>
        <v>62910.398372113086</v>
      </c>
      <c r="K32" s="2">
        <f>K30*'Emisi GRK'!K37*44/12</f>
        <v>66203.986579624427</v>
      </c>
      <c r="L32" s="2">
        <f>L30*'Emisi GRK'!L37*44/12</f>
        <v>64901.751568788321</v>
      </c>
      <c r="M32" s="2">
        <f>M30*'Emisi GRK'!M37*44/12</f>
        <v>63599.516557952214</v>
      </c>
      <c r="N32" s="2">
        <f>N30*'Emisi GRK'!N37*44/12</f>
        <v>62297.281547116116</v>
      </c>
      <c r="O32" s="2">
        <f>O30*'Emisi GRK'!O37*44/12</f>
        <v>60995.046536279995</v>
      </c>
      <c r="P32" s="2">
        <f>P30*'Emisi GRK'!P37*44/12</f>
        <v>59692.811525443889</v>
      </c>
    </row>
    <row r="33" spans="1:16" x14ac:dyDescent="0.25">
      <c r="A33" t="s">
        <v>64</v>
      </c>
      <c r="B33" s="11">
        <f>B31*'Emisi GRK'!B38*44/28*298</f>
        <v>87279.564462702852</v>
      </c>
      <c r="C33" s="11">
        <f>C31*'Emisi GRK'!C38*44/28*298</f>
        <v>101282.55987347986</v>
      </c>
      <c r="D33" s="11">
        <f>D31*'Emisi GRK'!D38*44/28*298</f>
        <v>114884.9074129238</v>
      </c>
      <c r="E33" s="11">
        <f>E31*'Emisi GRK'!E38*44/28*298</f>
        <v>128086.60708103472</v>
      </c>
      <c r="F33" s="11">
        <f>F31*'Emisi GRK'!F38*44/28*298</f>
        <v>140887.65887781259</v>
      </c>
      <c r="G33" s="11">
        <f>G31*'Emisi GRK'!G38*44/28*298</f>
        <v>152645.70791200848</v>
      </c>
      <c r="H33" s="11">
        <f>H31*'Emisi GRK'!H38*44/28*298</f>
        <v>163882.91471347143</v>
      </c>
      <c r="I33" s="11">
        <f>I31*'Emisi GRK'!I38*44/28*298</f>
        <v>174599.27928220137</v>
      </c>
      <c r="J33" s="11">
        <f>J31*'Emisi GRK'!J38*44/28*298</f>
        <v>184794.80161819849</v>
      </c>
      <c r="K33" s="11">
        <f>K31*'Emisi GRK'!K38*44/28*298</f>
        <v>194469.48172146251</v>
      </c>
      <c r="L33" s="11">
        <f>L31*'Emisi GRK'!L38*44/28*298</f>
        <v>190644.25939391792</v>
      </c>
      <c r="M33" s="11">
        <f>M31*'Emisi GRK'!M38*44/28*298</f>
        <v>186819.03706637336</v>
      </c>
      <c r="N33" s="11">
        <f>N31*'Emisi GRK'!N38*44/28*298</f>
        <v>182993.81473882878</v>
      </c>
      <c r="O33" s="11">
        <f>O31*'Emisi GRK'!O38*44/28*298</f>
        <v>179168.59241128419</v>
      </c>
      <c r="P33" s="11">
        <f>P31*'Emisi GRK'!P38*44/28*298</f>
        <v>175343.37008373963</v>
      </c>
    </row>
    <row r="34" spans="1:16" x14ac:dyDescent="0.25">
      <c r="A34" t="s">
        <v>65</v>
      </c>
      <c r="B34" s="2">
        <f>B31*'Emisi GRK'!B39*44/28*298</f>
        <v>28365.85845037843</v>
      </c>
      <c r="C34" s="2">
        <f>C31*'Emisi GRK'!C39*44/28*298</f>
        <v>32916.831958880954</v>
      </c>
      <c r="D34" s="2">
        <f>D31*'Emisi GRK'!D39*44/28*298</f>
        <v>37337.594909200234</v>
      </c>
      <c r="E34" s="2">
        <f>E31*'Emisi GRK'!E39*44/28*298</f>
        <v>41628.147301336285</v>
      </c>
      <c r="F34" s="2">
        <f>F31*'Emisi GRK'!F39*44/28*298</f>
        <v>45788.489135289077</v>
      </c>
      <c r="G34" s="2">
        <f>G31*'Emisi GRK'!G39*44/28*298</f>
        <v>49609.855071402759</v>
      </c>
      <c r="H34" s="2">
        <f>H31*'Emisi GRK'!H39*44/28*298</f>
        <v>53261.947281878201</v>
      </c>
      <c r="I34" s="2">
        <f>I31*'Emisi GRK'!I39*44/28*298</f>
        <v>56744.765766715449</v>
      </c>
      <c r="J34" s="2">
        <f>J31*'Emisi GRK'!J39*44/28*298</f>
        <v>60058.310525914494</v>
      </c>
      <c r="K34" s="2">
        <f>K31*'Emisi GRK'!K39*44/28*298</f>
        <v>63202.581559475315</v>
      </c>
      <c r="L34" s="2">
        <f>L31*'Emisi GRK'!L39*44/28*298</f>
        <v>61959.384303023333</v>
      </c>
      <c r="M34" s="2">
        <f>M31*'Emisi GRK'!M39*44/28*298</f>
        <v>60716.187046571351</v>
      </c>
      <c r="N34" s="2">
        <f>N31*'Emisi GRK'!N39*44/28*298</f>
        <v>59472.989790119362</v>
      </c>
      <c r="O34" s="2">
        <f>O31*'Emisi GRK'!O39*44/28*298</f>
        <v>58229.792533667351</v>
      </c>
      <c r="P34" s="2">
        <f>P31*'Emisi GRK'!P39*44/28*298</f>
        <v>56986.595277215383</v>
      </c>
    </row>
    <row r="35" spans="1:16" x14ac:dyDescent="0.25">
      <c r="A35" t="s">
        <v>66</v>
      </c>
      <c r="B35" s="2">
        <f>SUM(B32:B34)</f>
        <v>145358.33757308128</v>
      </c>
      <c r="C35" s="2">
        <f t="shared" ref="C35:P35" si="15">SUM(C32:C34)</f>
        <v>168679.39957063331</v>
      </c>
      <c r="D35" s="2">
        <f t="shared" si="15"/>
        <v>191333.2090573865</v>
      </c>
      <c r="E35" s="2">
        <f t="shared" si="15"/>
        <v>213319.76603334089</v>
      </c>
      <c r="F35" s="2">
        <f t="shared" si="15"/>
        <v>234639.07049849647</v>
      </c>
      <c r="G35" s="2">
        <f t="shared" si="15"/>
        <v>254221.32289898655</v>
      </c>
      <c r="H35" s="2">
        <f t="shared" si="15"/>
        <v>272936.1470354381</v>
      </c>
      <c r="I35" s="2">
        <f t="shared" si="15"/>
        <v>290783.54290785122</v>
      </c>
      <c r="J35" s="2">
        <f t="shared" si="15"/>
        <v>307763.51051622606</v>
      </c>
      <c r="K35" s="2">
        <f t="shared" si="15"/>
        <v>323876.04986056226</v>
      </c>
      <c r="L35" s="2">
        <f t="shared" si="15"/>
        <v>317505.39526572957</v>
      </c>
      <c r="M35" s="2">
        <f t="shared" si="15"/>
        <v>311134.74067089695</v>
      </c>
      <c r="N35" s="2">
        <f t="shared" si="15"/>
        <v>304764.08607606427</v>
      </c>
      <c r="O35" s="2">
        <f t="shared" si="15"/>
        <v>298393.43148123153</v>
      </c>
      <c r="P35" s="2">
        <f t="shared" si="15"/>
        <v>292022.7768863989</v>
      </c>
    </row>
    <row r="38" spans="1:16" x14ac:dyDescent="0.25">
      <c r="B38" s="63" t="s">
        <v>71</v>
      </c>
      <c r="C38" s="63"/>
      <c r="D38" s="63" t="s">
        <v>82</v>
      </c>
      <c r="E38" s="63"/>
    </row>
    <row r="39" spans="1:16" x14ac:dyDescent="0.25">
      <c r="B39" t="s">
        <v>79</v>
      </c>
      <c r="C39" t="s">
        <v>80</v>
      </c>
      <c r="D39" t="s">
        <v>79</v>
      </c>
      <c r="E39" t="s">
        <v>80</v>
      </c>
    </row>
    <row r="40" spans="1:16" x14ac:dyDescent="0.25">
      <c r="B40" s="17">
        <f>SUM(B19:P19)</f>
        <v>1265102.5649453884</v>
      </c>
      <c r="C40" s="17">
        <f>SUM(B24:P24)</f>
        <v>4538599.4291164568</v>
      </c>
      <c r="D40" s="18">
        <f>SUM(B30:P30)</f>
        <v>1094548.4983252035</v>
      </c>
      <c r="E40" s="17">
        <f>SUM(B35:P35)</f>
        <v>3926730.7863323237</v>
      </c>
    </row>
  </sheetData>
  <mergeCells count="2">
    <mergeCell ref="B38:C38"/>
    <mergeCell ref="D38:E38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P40"/>
  <sheetViews>
    <sheetView topLeftCell="A19" workbookViewId="0">
      <selection activeCell="A32" sqref="A32:A35"/>
    </sheetView>
  </sheetViews>
  <sheetFormatPr defaultRowHeight="15" x14ac:dyDescent="0.25"/>
  <cols>
    <col min="1" max="1" width="48.28515625" customWidth="1"/>
    <col min="2" max="16" width="10.7109375" customWidth="1"/>
  </cols>
  <sheetData>
    <row r="2" spans="1:16" x14ac:dyDescent="0.25">
      <c r="B2">
        <v>2016</v>
      </c>
      <c r="C2">
        <v>2017</v>
      </c>
      <c r="D2">
        <v>2018</v>
      </c>
      <c r="E2">
        <v>2019</v>
      </c>
      <c r="F2">
        <v>2020</v>
      </c>
      <c r="G2">
        <v>2021</v>
      </c>
      <c r="H2">
        <v>2022</v>
      </c>
      <c r="I2">
        <v>2023</v>
      </c>
      <c r="J2">
        <v>2024</v>
      </c>
      <c r="K2">
        <v>2025</v>
      </c>
      <c r="L2">
        <v>2026</v>
      </c>
      <c r="M2">
        <v>2027</v>
      </c>
      <c r="N2">
        <v>2028</v>
      </c>
      <c r="O2">
        <v>2029</v>
      </c>
      <c r="P2">
        <v>2030</v>
      </c>
    </row>
    <row r="3" spans="1:16" x14ac:dyDescent="0.25">
      <c r="A3" t="s">
        <v>0</v>
      </c>
      <c r="B3" s="1">
        <v>180329</v>
      </c>
      <c r="C3" s="1">
        <f>B3+C4</f>
        <v>184353.40124244362</v>
      </c>
      <c r="D3" s="1">
        <f t="shared" ref="D3:O3" si="0">C3+D4</f>
        <v>188377.80248488724</v>
      </c>
      <c r="E3" s="1">
        <f t="shared" si="0"/>
        <v>192402.20372733087</v>
      </c>
      <c r="F3" s="1">
        <f t="shared" si="0"/>
        <v>196426.60496977449</v>
      </c>
      <c r="G3" s="1">
        <f t="shared" si="0"/>
        <v>200451.00621221811</v>
      </c>
      <c r="H3" s="1">
        <f t="shared" si="0"/>
        <v>204475.40745466173</v>
      </c>
      <c r="I3" s="1">
        <f t="shared" si="0"/>
        <v>208499.80869710536</v>
      </c>
      <c r="J3" s="1">
        <f t="shared" si="0"/>
        <v>212524.20993954898</v>
      </c>
      <c r="K3" s="1">
        <f t="shared" si="0"/>
        <v>216548.6111819926</v>
      </c>
      <c r="L3" s="1">
        <f t="shared" si="0"/>
        <v>216548.6111819926</v>
      </c>
      <c r="M3" s="1">
        <f t="shared" si="0"/>
        <v>216548.6111819926</v>
      </c>
      <c r="N3" s="1">
        <f t="shared" si="0"/>
        <v>216548.6111819926</v>
      </c>
      <c r="O3" s="1">
        <f t="shared" si="0"/>
        <v>216548.6111819926</v>
      </c>
      <c r="P3" s="1">
        <f>[2]Proyeksi!$F$59</f>
        <v>216548.6111819926</v>
      </c>
    </row>
    <row r="4" spans="1:16" x14ac:dyDescent="0.25">
      <c r="A4" t="s">
        <v>2</v>
      </c>
      <c r="B4" s="1"/>
      <c r="C4" s="1">
        <f>(P3-B3)/9</f>
        <v>4024.4012424436223</v>
      </c>
      <c r="D4" s="1">
        <f>C4</f>
        <v>4024.4012424436223</v>
      </c>
      <c r="E4" s="1">
        <f t="shared" ref="E4:K4" si="1">D4</f>
        <v>4024.4012424436223</v>
      </c>
      <c r="F4" s="1">
        <f t="shared" si="1"/>
        <v>4024.4012424436223</v>
      </c>
      <c r="G4" s="1">
        <f t="shared" si="1"/>
        <v>4024.4012424436223</v>
      </c>
      <c r="H4" s="1">
        <f t="shared" si="1"/>
        <v>4024.4012424436223</v>
      </c>
      <c r="I4" s="1">
        <f t="shared" si="1"/>
        <v>4024.4012424436223</v>
      </c>
      <c r="J4" s="1">
        <f t="shared" si="1"/>
        <v>4024.4012424436223</v>
      </c>
      <c r="K4" s="1">
        <f t="shared" si="1"/>
        <v>4024.4012424436223</v>
      </c>
      <c r="L4" s="1"/>
      <c r="M4" s="1"/>
      <c r="N4" s="1"/>
      <c r="O4" s="1"/>
      <c r="P4" s="1"/>
    </row>
    <row r="5" spans="1:16" x14ac:dyDescent="0.25">
      <c r="A5" t="s">
        <v>1</v>
      </c>
      <c r="B5" s="1">
        <v>33786</v>
      </c>
      <c r="C5" s="1">
        <f>B5-(B5/4)</f>
        <v>25339.5</v>
      </c>
      <c r="D5" s="1">
        <f>C5-(B5/4)</f>
        <v>16893</v>
      </c>
      <c r="E5" s="1">
        <f>D5-(B5/4)</f>
        <v>8446.5</v>
      </c>
      <c r="F5" s="1">
        <f>E5-(B5/4)</f>
        <v>0</v>
      </c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25">
      <c r="A6" t="s">
        <v>3</v>
      </c>
      <c r="B6" s="1">
        <v>145929</v>
      </c>
      <c r="C6" s="1">
        <f>B6+(B5-C5)</f>
        <v>154375.5</v>
      </c>
      <c r="D6" s="1">
        <f>C6+(C5-D5)</f>
        <v>162822</v>
      </c>
      <c r="E6" s="1">
        <f>D6+(D5-E5)</f>
        <v>171268.5</v>
      </c>
      <c r="F6" s="1">
        <f>E6+(E5-F5)</f>
        <v>179715</v>
      </c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25">
      <c r="A7" t="s">
        <v>4</v>
      </c>
      <c r="B7" s="1">
        <f>B6</f>
        <v>145929</v>
      </c>
      <c r="C7" s="1">
        <f>C6</f>
        <v>154375.5</v>
      </c>
      <c r="D7" s="1">
        <f>D6</f>
        <v>162822</v>
      </c>
      <c r="E7" s="1">
        <f>E6</f>
        <v>171268.5</v>
      </c>
      <c r="F7" s="1">
        <f>F6</f>
        <v>179715</v>
      </c>
      <c r="G7" s="1">
        <f>F6+C4</f>
        <v>183739.40124244362</v>
      </c>
      <c r="H7" s="1">
        <f>G7+D4</f>
        <v>187763.80248488724</v>
      </c>
      <c r="I7" s="1">
        <f t="shared" ref="I7:P7" si="2">H7+E4</f>
        <v>191788.20372733087</v>
      </c>
      <c r="J7" s="1">
        <f t="shared" si="2"/>
        <v>195812.60496977449</v>
      </c>
      <c r="K7" s="1">
        <f t="shared" si="2"/>
        <v>199837.00621221811</v>
      </c>
      <c r="L7" s="1">
        <f t="shared" si="2"/>
        <v>203861.40745466173</v>
      </c>
      <c r="M7" s="1">
        <f t="shared" si="2"/>
        <v>207885.80869710536</v>
      </c>
      <c r="N7" s="1">
        <f t="shared" si="2"/>
        <v>211910.20993954898</v>
      </c>
      <c r="O7" s="1">
        <f t="shared" si="2"/>
        <v>215934.6111819926</v>
      </c>
      <c r="P7" s="1">
        <f t="shared" si="2"/>
        <v>215934.6111819926</v>
      </c>
    </row>
    <row r="8" spans="1:16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25">
      <c r="A9" t="s">
        <v>5</v>
      </c>
      <c r="B9">
        <v>14.6</v>
      </c>
      <c r="C9">
        <f>B9+0.65</f>
        <v>15.25</v>
      </c>
      <c r="D9">
        <f t="shared" ref="D9:O9" si="3">C9+0.65</f>
        <v>15.9</v>
      </c>
      <c r="E9">
        <f t="shared" si="3"/>
        <v>16.55</v>
      </c>
      <c r="F9">
        <f t="shared" si="3"/>
        <v>17.2</v>
      </c>
      <c r="G9">
        <f t="shared" si="3"/>
        <v>17.849999999999998</v>
      </c>
      <c r="H9">
        <f t="shared" si="3"/>
        <v>18.499999999999996</v>
      </c>
      <c r="I9">
        <f t="shared" si="3"/>
        <v>19.149999999999995</v>
      </c>
      <c r="J9">
        <f t="shared" si="3"/>
        <v>19.799999999999994</v>
      </c>
      <c r="K9">
        <f t="shared" si="3"/>
        <v>20.449999999999992</v>
      </c>
      <c r="L9">
        <f t="shared" si="3"/>
        <v>21.099999999999991</v>
      </c>
      <c r="M9">
        <f t="shared" si="3"/>
        <v>21.749999999999989</v>
      </c>
      <c r="N9">
        <f t="shared" si="3"/>
        <v>22.399999999999988</v>
      </c>
      <c r="O9">
        <f t="shared" si="3"/>
        <v>23.049999999999986</v>
      </c>
      <c r="P9" s="3">
        <v>23.7</v>
      </c>
    </row>
    <row r="10" spans="1:16" x14ac:dyDescent="0.25">
      <c r="A10" t="s">
        <v>6</v>
      </c>
      <c r="B10" s="2">
        <f>B7*B9</f>
        <v>2130563.4</v>
      </c>
      <c r="C10" s="2">
        <f t="shared" ref="C10:P10" si="4">C7*C9</f>
        <v>2354226.375</v>
      </c>
      <c r="D10" s="2">
        <f t="shared" si="4"/>
        <v>2588869.8000000003</v>
      </c>
      <c r="E10" s="2">
        <f t="shared" si="4"/>
        <v>2834493.6750000003</v>
      </c>
      <c r="F10" s="2">
        <f t="shared" si="4"/>
        <v>3091098</v>
      </c>
      <c r="G10" s="2">
        <f t="shared" si="4"/>
        <v>3279748.312177618</v>
      </c>
      <c r="H10" s="2">
        <f t="shared" si="4"/>
        <v>3473630.3459704132</v>
      </c>
      <c r="I10" s="2">
        <f t="shared" si="4"/>
        <v>3672744.101378385</v>
      </c>
      <c r="J10" s="2">
        <f t="shared" si="4"/>
        <v>3877089.5784015334</v>
      </c>
      <c r="K10" s="2">
        <f t="shared" si="4"/>
        <v>4086666.777039859</v>
      </c>
      <c r="L10" s="2">
        <f t="shared" si="4"/>
        <v>4301475.6972933607</v>
      </c>
      <c r="M10" s="2">
        <f t="shared" si="4"/>
        <v>4521516.3391620396</v>
      </c>
      <c r="N10" s="2">
        <f t="shared" si="4"/>
        <v>4746788.7026458941</v>
      </c>
      <c r="O10" s="2">
        <f t="shared" si="4"/>
        <v>4977292.7877449263</v>
      </c>
      <c r="P10" s="2">
        <f t="shared" si="4"/>
        <v>5117650.2850132249</v>
      </c>
    </row>
    <row r="11" spans="1:16" x14ac:dyDescent="0.25">
      <c r="A11" t="s">
        <v>7</v>
      </c>
      <c r="B11" s="2">
        <f>B10*21/10^3</f>
        <v>44741.831399999995</v>
      </c>
      <c r="C11" s="2">
        <f t="shared" ref="C11:P11" si="5">C10*21/10^3</f>
        <v>49438.753875000002</v>
      </c>
      <c r="D11" s="2">
        <f t="shared" si="5"/>
        <v>54366.265800000001</v>
      </c>
      <c r="E11" s="2">
        <f t="shared" si="5"/>
        <v>59524.367175000007</v>
      </c>
      <c r="F11" s="2">
        <f t="shared" si="5"/>
        <v>64913.057999999997</v>
      </c>
      <c r="G11" s="2">
        <f t="shared" si="5"/>
        <v>68874.714555729981</v>
      </c>
      <c r="H11" s="2">
        <f t="shared" si="5"/>
        <v>72946.237265378688</v>
      </c>
      <c r="I11" s="2">
        <f t="shared" si="5"/>
        <v>77127.626128946082</v>
      </c>
      <c r="J11" s="2">
        <f t="shared" si="5"/>
        <v>81418.881146432206</v>
      </c>
      <c r="K11" s="2">
        <f t="shared" si="5"/>
        <v>85820.002317837047</v>
      </c>
      <c r="L11" s="2">
        <f t="shared" si="5"/>
        <v>90330.989643160588</v>
      </c>
      <c r="M11" s="2">
        <f t="shared" si="5"/>
        <v>94951.843122402832</v>
      </c>
      <c r="N11" s="2">
        <f t="shared" si="5"/>
        <v>99682.562755563777</v>
      </c>
      <c r="O11" s="2">
        <f t="shared" si="5"/>
        <v>104523.14854264345</v>
      </c>
      <c r="P11" s="2">
        <f t="shared" si="5"/>
        <v>107470.65598527773</v>
      </c>
    </row>
    <row r="12" spans="1:16" x14ac:dyDescent="0.25">
      <c r="A12" t="s">
        <v>8</v>
      </c>
      <c r="B12" s="2">
        <f>B11/6329</f>
        <v>7.0693366092589658</v>
      </c>
      <c r="C12" s="2">
        <f t="shared" ref="C12:P12" si="6">C11/6329</f>
        <v>7.8114637185969347</v>
      </c>
      <c r="D12" s="2">
        <f t="shared" si="6"/>
        <v>8.5900246168431025</v>
      </c>
      <c r="E12" s="2">
        <f t="shared" si="6"/>
        <v>9.4050193039974737</v>
      </c>
      <c r="F12" s="2">
        <f t="shared" si="6"/>
        <v>10.256447780060041</v>
      </c>
      <c r="G12" s="2">
        <f t="shared" si="6"/>
        <v>10.882400783019431</v>
      </c>
      <c r="H12" s="2">
        <f t="shared" si="6"/>
        <v>11.525712950762946</v>
      </c>
      <c r="I12" s="2">
        <f t="shared" si="6"/>
        <v>12.186384283290581</v>
      </c>
      <c r="J12" s="2">
        <f t="shared" si="6"/>
        <v>12.86441478060234</v>
      </c>
      <c r="K12" s="2">
        <f t="shared" si="6"/>
        <v>13.559804442698223</v>
      </c>
      <c r="L12" s="2">
        <f t="shared" si="6"/>
        <v>14.272553269578225</v>
      </c>
      <c r="M12" s="2">
        <f t="shared" si="6"/>
        <v>15.00266126124235</v>
      </c>
      <c r="N12" s="2">
        <f t="shared" si="6"/>
        <v>15.750128417690595</v>
      </c>
      <c r="O12" s="2">
        <f t="shared" si="6"/>
        <v>16.514954738922967</v>
      </c>
      <c r="P12" s="2">
        <f t="shared" si="6"/>
        <v>16.980669297721239</v>
      </c>
    </row>
    <row r="13" spans="1:16" x14ac:dyDescent="0.25">
      <c r="B13" s="2"/>
    </row>
    <row r="14" spans="1:16" x14ac:dyDescent="0.25">
      <c r="A14" t="s">
        <v>9</v>
      </c>
      <c r="B14" s="2">
        <f>B10/170000</f>
        <v>12.53272588235294</v>
      </c>
      <c r="C14" s="2">
        <f t="shared" ref="C14:P14" si="7">C10/170000</f>
        <v>13.84839044117647</v>
      </c>
      <c r="D14" s="2">
        <f t="shared" si="7"/>
        <v>15.228645882352943</v>
      </c>
      <c r="E14" s="2">
        <f t="shared" si="7"/>
        <v>16.673492205882354</v>
      </c>
      <c r="F14" s="2">
        <f t="shared" si="7"/>
        <v>18.182929411764707</v>
      </c>
      <c r="G14" s="2">
        <f t="shared" si="7"/>
        <v>19.292637130456576</v>
      </c>
      <c r="H14" s="2">
        <f t="shared" si="7"/>
        <v>20.433119682178901</v>
      </c>
      <c r="I14" s="2">
        <f t="shared" si="7"/>
        <v>21.604377066931676</v>
      </c>
      <c r="J14" s="2">
        <f t="shared" si="7"/>
        <v>22.806409284714903</v>
      </c>
      <c r="K14" s="2">
        <f t="shared" si="7"/>
        <v>24.039216335528582</v>
      </c>
      <c r="L14" s="2">
        <f t="shared" si="7"/>
        <v>25.302798219372711</v>
      </c>
      <c r="M14" s="2">
        <f t="shared" si="7"/>
        <v>26.597154936247293</v>
      </c>
      <c r="N14" s="2">
        <f t="shared" si="7"/>
        <v>27.92228648615232</v>
      </c>
      <c r="O14" s="2">
        <f t="shared" si="7"/>
        <v>29.278192869087803</v>
      </c>
      <c r="P14" s="2">
        <f t="shared" si="7"/>
        <v>30.103825205960145</v>
      </c>
    </row>
    <row r="16" spans="1:16" x14ac:dyDescent="0.25">
      <c r="H16" s="6"/>
    </row>
    <row r="17" spans="1:16" x14ac:dyDescent="0.25">
      <c r="A17" s="12" t="s">
        <v>71</v>
      </c>
      <c r="B17" s="10">
        <f>B2</f>
        <v>2016</v>
      </c>
      <c r="C17" s="10">
        <f t="shared" ref="C17:P17" si="8">C2</f>
        <v>2017</v>
      </c>
      <c r="D17" s="10">
        <f t="shared" si="8"/>
        <v>2018</v>
      </c>
      <c r="E17" s="10">
        <f t="shared" si="8"/>
        <v>2019</v>
      </c>
      <c r="F17" s="10">
        <f t="shared" si="8"/>
        <v>2020</v>
      </c>
      <c r="G17" s="10">
        <f t="shared" si="8"/>
        <v>2021</v>
      </c>
      <c r="H17" s="10">
        <f t="shared" si="8"/>
        <v>2022</v>
      </c>
      <c r="I17" s="10">
        <f t="shared" si="8"/>
        <v>2023</v>
      </c>
      <c r="J17" s="10">
        <f t="shared" si="8"/>
        <v>2024</v>
      </c>
      <c r="K17" s="10">
        <f t="shared" si="8"/>
        <v>2025</v>
      </c>
      <c r="L17" s="10">
        <f t="shared" si="8"/>
        <v>2026</v>
      </c>
      <c r="M17" s="10">
        <f t="shared" si="8"/>
        <v>2027</v>
      </c>
      <c r="N17" s="10">
        <f t="shared" si="8"/>
        <v>2028</v>
      </c>
      <c r="O17" s="10">
        <f t="shared" si="8"/>
        <v>2029</v>
      </c>
      <c r="P17" s="10">
        <f t="shared" si="8"/>
        <v>2030</v>
      </c>
    </row>
    <row r="18" spans="1:16" x14ac:dyDescent="0.25">
      <c r="A18" t="s">
        <v>53</v>
      </c>
      <c r="H18" s="4"/>
      <c r="I18" s="4"/>
      <c r="P18" s="7"/>
    </row>
    <row r="19" spans="1:16" x14ac:dyDescent="0.25">
      <c r="A19" s="9" t="s">
        <v>61</v>
      </c>
      <c r="B19" s="2">
        <f>B3*'Emisi GRK'!B35</f>
        <v>58065.938000000002</v>
      </c>
      <c r="C19" s="2">
        <f>C3*'Emisi GRK'!C35</f>
        <v>59361.795200066845</v>
      </c>
      <c r="D19" s="2">
        <f>D3*'Emisi GRK'!D35</f>
        <v>60657.652400133695</v>
      </c>
      <c r="E19" s="2">
        <f>E3*'Emisi GRK'!E35</f>
        <v>61953.509600200538</v>
      </c>
      <c r="F19" s="2">
        <f>F3*'Emisi GRK'!F35</f>
        <v>63249.366800267388</v>
      </c>
      <c r="G19" s="2">
        <f>G3*'Emisi GRK'!G35</f>
        <v>64545.22400033423</v>
      </c>
      <c r="H19" s="2">
        <f>H3*'Emisi GRK'!H35</f>
        <v>65841.08120040108</v>
      </c>
      <c r="I19" s="2">
        <f>I3*'Emisi GRK'!I35</f>
        <v>67136.93840046793</v>
      </c>
      <c r="J19" s="2">
        <f>J3*'Emisi GRK'!J35</f>
        <v>68432.795600534766</v>
      </c>
      <c r="K19" s="2">
        <f>K3*'Emisi GRK'!K35</f>
        <v>69728.652800601616</v>
      </c>
      <c r="L19" s="2">
        <f>L3*'Emisi GRK'!L35</f>
        <v>69728.652800601616</v>
      </c>
      <c r="M19" s="2">
        <f>M3*'Emisi GRK'!M35</f>
        <v>69728.652800601616</v>
      </c>
      <c r="N19" s="2">
        <f>N3*'Emisi GRK'!N35</f>
        <v>69728.652800601616</v>
      </c>
      <c r="O19" s="2">
        <f>O3*'Emisi GRK'!O35</f>
        <v>69728.652800601616</v>
      </c>
      <c r="P19" s="2">
        <f>P3*'Emisi GRK'!P35</f>
        <v>69728.652800601616</v>
      </c>
    </row>
    <row r="20" spans="1:16" x14ac:dyDescent="0.25">
      <c r="A20" s="9" t="s">
        <v>62</v>
      </c>
      <c r="B20" s="2">
        <f>B19*46%</f>
        <v>26710.331480000001</v>
      </c>
      <c r="C20" s="2">
        <f t="shared" ref="C20:P20" si="9">C19*46%</f>
        <v>27306.42579203075</v>
      </c>
      <c r="D20" s="2">
        <f t="shared" si="9"/>
        <v>27902.520104061499</v>
      </c>
      <c r="E20" s="2">
        <f t="shared" si="9"/>
        <v>28498.614416092249</v>
      </c>
      <c r="F20" s="2">
        <f t="shared" si="9"/>
        <v>29094.708728122998</v>
      </c>
      <c r="G20" s="2">
        <f t="shared" si="9"/>
        <v>29690.803040153747</v>
      </c>
      <c r="H20" s="2">
        <f t="shared" si="9"/>
        <v>30286.8973521845</v>
      </c>
      <c r="I20" s="2">
        <f t="shared" si="9"/>
        <v>30882.991664215249</v>
      </c>
      <c r="J20" s="2">
        <f t="shared" si="9"/>
        <v>31479.085976245995</v>
      </c>
      <c r="K20" s="2">
        <f t="shared" si="9"/>
        <v>32075.180288276744</v>
      </c>
      <c r="L20" s="2">
        <f t="shared" si="9"/>
        <v>32075.180288276744</v>
      </c>
      <c r="M20" s="2">
        <f t="shared" si="9"/>
        <v>32075.180288276744</v>
      </c>
      <c r="N20" s="2">
        <f t="shared" si="9"/>
        <v>32075.180288276744</v>
      </c>
      <c r="O20" s="2">
        <f t="shared" si="9"/>
        <v>32075.180288276744</v>
      </c>
      <c r="P20" s="2">
        <f t="shared" si="9"/>
        <v>32075.180288276744</v>
      </c>
    </row>
    <row r="21" spans="1:16" x14ac:dyDescent="0.25">
      <c r="A21" t="s">
        <v>63</v>
      </c>
      <c r="B21" s="2">
        <f>B19*'Emisi GRK'!B37*44/12</f>
        <v>42581.687866666667</v>
      </c>
      <c r="C21" s="2">
        <f>C19*'Emisi GRK'!C37*44/12</f>
        <v>43531.983146715684</v>
      </c>
      <c r="D21" s="2">
        <f>D19*'Emisi GRK'!D37*44/12</f>
        <v>44482.278426764715</v>
      </c>
      <c r="E21" s="2">
        <f>E19*'Emisi GRK'!E37*44/12</f>
        <v>45432.573706813731</v>
      </c>
      <c r="F21" s="2">
        <f>F19*'Emisi GRK'!F37*44/12</f>
        <v>46382.868986862748</v>
      </c>
      <c r="G21" s="2">
        <f>G19*'Emisi GRK'!G37*44/12</f>
        <v>47333.164266911772</v>
      </c>
      <c r="H21" s="2">
        <f>H19*'Emisi GRK'!H37*44/12</f>
        <v>48283.459546960796</v>
      </c>
      <c r="I21" s="2">
        <f>I19*'Emisi GRK'!I37*44/12</f>
        <v>49233.754827009812</v>
      </c>
      <c r="J21" s="2">
        <f>J19*'Emisi GRK'!J37*44/12</f>
        <v>50184.050107058836</v>
      </c>
      <c r="K21" s="2">
        <f>K19*'Emisi GRK'!K37*44/12</f>
        <v>51134.34538710786</v>
      </c>
      <c r="L21" s="2">
        <f>L19*'Emisi GRK'!L37*44/12</f>
        <v>51134.34538710786</v>
      </c>
      <c r="M21" s="2">
        <f>M19*'Emisi GRK'!M37*44/12</f>
        <v>51134.34538710786</v>
      </c>
      <c r="N21" s="2">
        <f>N19*'Emisi GRK'!N37*44/12</f>
        <v>51134.34538710786</v>
      </c>
      <c r="O21" s="2">
        <f>O19*'Emisi GRK'!O37*44/12</f>
        <v>51134.34538710786</v>
      </c>
      <c r="P21" s="2">
        <f>P19*'Emisi GRK'!P37*44/12</f>
        <v>51134.34538710786</v>
      </c>
    </row>
    <row r="22" spans="1:16" x14ac:dyDescent="0.25">
      <c r="A22" t="s">
        <v>64</v>
      </c>
      <c r="B22" s="11">
        <f>B20*'Emisi GRK'!B38*44/28*298</f>
        <v>125080.66655920001</v>
      </c>
      <c r="C22" s="11">
        <f>C20*'Emisi GRK'!C38*44/28*298</f>
        <v>127872.09106610973</v>
      </c>
      <c r="D22" s="11">
        <f>D20*'Emisi GRK'!D38*44/28*298</f>
        <v>130663.51557301944</v>
      </c>
      <c r="E22" s="11">
        <f>E20*'Emisi GRK'!E38*44/28*298</f>
        <v>133454.94007992913</v>
      </c>
      <c r="F22" s="11">
        <f>F20*'Emisi GRK'!F38*44/28*298</f>
        <v>136246.36458683884</v>
      </c>
      <c r="G22" s="11">
        <f>G20*'Emisi GRK'!G38*44/28*298</f>
        <v>139037.78909374855</v>
      </c>
      <c r="H22" s="11">
        <f>H20*'Emisi GRK'!H38*44/28*298</f>
        <v>141829.21360065829</v>
      </c>
      <c r="I22" s="11">
        <f>I20*'Emisi GRK'!I38*44/28*298</f>
        <v>144620.638107568</v>
      </c>
      <c r="J22" s="11">
        <f>J20*'Emisi GRK'!J38*44/28*298</f>
        <v>147412.06261447768</v>
      </c>
      <c r="K22" s="11">
        <f>K20*'Emisi GRK'!K38*44/28*298</f>
        <v>150203.48712138738</v>
      </c>
      <c r="L22" s="11">
        <f>L20*'Emisi GRK'!L38*44/28*298</f>
        <v>150203.48712138738</v>
      </c>
      <c r="M22" s="11">
        <f>M20*'Emisi GRK'!M38*44/28*298</f>
        <v>150203.48712138738</v>
      </c>
      <c r="N22" s="11">
        <f>N20*'Emisi GRK'!N38*44/28*298</f>
        <v>150203.48712138738</v>
      </c>
      <c r="O22" s="11">
        <f>O20*'Emisi GRK'!O38*44/28*298</f>
        <v>150203.48712138738</v>
      </c>
      <c r="P22" s="11">
        <f>P20*'Emisi GRK'!P38*44/28*298</f>
        <v>150203.48712138738</v>
      </c>
    </row>
    <row r="23" spans="1:16" x14ac:dyDescent="0.25">
      <c r="A23" t="s">
        <v>65</v>
      </c>
      <c r="B23" s="2">
        <f>B20*'Emisi GRK'!B39*44/28*298</f>
        <v>40651.216631740004</v>
      </c>
      <c r="C23" s="2">
        <f>C20*'Emisi GRK'!C39*44/28*298</f>
        <v>41558.429596485657</v>
      </c>
      <c r="D23" s="2">
        <f>D20*'Emisi GRK'!D39*44/28*298</f>
        <v>42465.642561231303</v>
      </c>
      <c r="E23" s="2">
        <f>E20*'Emisi GRK'!E39*44/28*298</f>
        <v>43372.855525976971</v>
      </c>
      <c r="F23" s="2">
        <f>F20*'Emisi GRK'!F39*44/28*298</f>
        <v>44280.068490722624</v>
      </c>
      <c r="G23" s="2">
        <f>G20*'Emisi GRK'!G39*44/28*298</f>
        <v>45187.281455468285</v>
      </c>
      <c r="H23" s="2">
        <f>H20*'Emisi GRK'!H39*44/28*298</f>
        <v>46094.494420213945</v>
      </c>
      <c r="I23" s="2">
        <f>I20*'Emisi GRK'!I39*44/28*298</f>
        <v>47001.707384959591</v>
      </c>
      <c r="J23" s="2">
        <f>J20*'Emisi GRK'!J39*44/28*298</f>
        <v>47908.920349705229</v>
      </c>
      <c r="K23" s="2">
        <f>K20*'Emisi GRK'!K39*44/28*298</f>
        <v>48816.133314450904</v>
      </c>
      <c r="L23" s="2">
        <f>L20*'Emisi GRK'!L39*44/28*298</f>
        <v>48816.133314450904</v>
      </c>
      <c r="M23" s="2">
        <f>M20*'Emisi GRK'!M39*44/28*298</f>
        <v>48816.133314450904</v>
      </c>
      <c r="N23" s="2">
        <f>N20*'Emisi GRK'!N39*44/28*298</f>
        <v>48816.133314450904</v>
      </c>
      <c r="O23" s="2">
        <f>O20*'Emisi GRK'!O39*44/28*298</f>
        <v>48816.133314450904</v>
      </c>
      <c r="P23" s="2">
        <f>P20*'Emisi GRK'!P39*44/28*298</f>
        <v>48816.133314450904</v>
      </c>
    </row>
    <row r="24" spans="1:16" x14ac:dyDescent="0.25">
      <c r="A24" t="s">
        <v>66</v>
      </c>
      <c r="B24" s="2">
        <f>SUM(B21:B23)</f>
        <v>208313.57105760669</v>
      </c>
      <c r="C24" s="2">
        <f t="shared" ref="C24:P24" si="10">SUM(C21:C23)</f>
        <v>212962.50380931108</v>
      </c>
      <c r="D24" s="2">
        <f t="shared" si="10"/>
        <v>217611.43656101546</v>
      </c>
      <c r="E24" s="2">
        <f t="shared" si="10"/>
        <v>222260.36931271985</v>
      </c>
      <c r="F24" s="2">
        <f t="shared" si="10"/>
        <v>226909.30206442421</v>
      </c>
      <c r="G24" s="2">
        <f t="shared" si="10"/>
        <v>231558.23481612862</v>
      </c>
      <c r="H24" s="2">
        <f t="shared" si="10"/>
        <v>236207.16756783304</v>
      </c>
      <c r="I24" s="2">
        <f t="shared" si="10"/>
        <v>240856.10031953739</v>
      </c>
      <c r="J24" s="2">
        <f t="shared" si="10"/>
        <v>245505.03307124175</v>
      </c>
      <c r="K24" s="2">
        <f t="shared" si="10"/>
        <v>250153.96582294616</v>
      </c>
      <c r="L24" s="2">
        <f t="shared" si="10"/>
        <v>250153.96582294616</v>
      </c>
      <c r="M24" s="2">
        <f t="shared" si="10"/>
        <v>250153.96582294616</v>
      </c>
      <c r="N24" s="2">
        <f t="shared" si="10"/>
        <v>250153.96582294616</v>
      </c>
      <c r="O24" s="2">
        <f t="shared" si="10"/>
        <v>250153.96582294616</v>
      </c>
      <c r="P24" s="2">
        <f t="shared" si="10"/>
        <v>250153.96582294616</v>
      </c>
    </row>
    <row r="25" spans="1:16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12" t="s">
        <v>72</v>
      </c>
    </row>
    <row r="27" spans="1:16" x14ac:dyDescent="0.25">
      <c r="A27" t="s">
        <v>73</v>
      </c>
      <c r="B27" s="2">
        <f>B3*'Rekab Kab'!B25</f>
        <v>9016.4500000000007</v>
      </c>
      <c r="C27" s="2">
        <f>C3*'Rekab Kab'!C25</f>
        <v>18435.340124244362</v>
      </c>
      <c r="D27" s="2">
        <f>D3*'Rekab Kab'!D25</f>
        <v>28256.67037273309</v>
      </c>
      <c r="E27" s="2">
        <f>E3*'Rekab Kab'!E25</f>
        <v>38480.440745466178</v>
      </c>
      <c r="F27" s="2">
        <f>F3*'Rekab Kab'!F25</f>
        <v>49106.651242443622</v>
      </c>
      <c r="G27" s="2">
        <f>G3*'Rekab Kab'!G25</f>
        <v>63142.066956848706</v>
      </c>
      <c r="H27" s="2">
        <f>H3*'Rekab Kab'!H25</f>
        <v>77700.654832771455</v>
      </c>
      <c r="I27" s="2">
        <f>I3*'Rekab Kab'!I25</f>
        <v>92782.414870211884</v>
      </c>
      <c r="J27" s="2">
        <f>J3*'Rekab Kab'!J25</f>
        <v>108387.34706916998</v>
      </c>
      <c r="K27" s="2">
        <f>K3*'Rekab Kab'!K25</f>
        <v>124515.45142964573</v>
      </c>
      <c r="L27" s="2">
        <f>L3*'Rekab Kab'!L25</f>
        <v>138591.11115647524</v>
      </c>
      <c r="M27" s="2">
        <f>M3*'Rekab Kab'!M25</f>
        <v>152666.77088330477</v>
      </c>
      <c r="N27" s="2">
        <f>N3*'Rekab Kab'!N25</f>
        <v>166742.43061013427</v>
      </c>
      <c r="O27" s="2">
        <f>O3*'Rekab Kab'!O25</f>
        <v>180818.09033696377</v>
      </c>
      <c r="P27" s="2">
        <f>P3*'Rekab Kab'!P25</f>
        <v>194893.75006379336</v>
      </c>
    </row>
    <row r="28" spans="1:16" x14ac:dyDescent="0.25">
      <c r="A28" t="s">
        <v>74</v>
      </c>
      <c r="B28" s="2">
        <f>B3-B27</f>
        <v>171312.55</v>
      </c>
      <c r="C28" s="2">
        <f t="shared" ref="C28:P28" si="11">C3-C27</f>
        <v>165918.06111819926</v>
      </c>
      <c r="D28" s="2">
        <f t="shared" si="11"/>
        <v>160121.13211215416</v>
      </c>
      <c r="E28" s="2">
        <f t="shared" si="11"/>
        <v>153921.76298186468</v>
      </c>
      <c r="F28" s="2">
        <f t="shared" si="11"/>
        <v>147319.95372733087</v>
      </c>
      <c r="G28" s="2">
        <f t="shared" si="11"/>
        <v>137308.93925536942</v>
      </c>
      <c r="H28" s="2">
        <f t="shared" si="11"/>
        <v>126774.75262189028</v>
      </c>
      <c r="I28" s="2">
        <f t="shared" si="11"/>
        <v>115717.39382689347</v>
      </c>
      <c r="J28" s="2">
        <f t="shared" si="11"/>
        <v>104136.862870379</v>
      </c>
      <c r="K28" s="2">
        <f t="shared" si="11"/>
        <v>92033.159752346866</v>
      </c>
      <c r="L28" s="2">
        <f t="shared" si="11"/>
        <v>77957.500025517365</v>
      </c>
      <c r="M28" s="2">
        <f t="shared" si="11"/>
        <v>63881.840298687835</v>
      </c>
      <c r="N28" s="2">
        <f t="shared" si="11"/>
        <v>49806.180571858335</v>
      </c>
      <c r="O28" s="2">
        <f t="shared" si="11"/>
        <v>35730.520845028834</v>
      </c>
      <c r="P28" s="2">
        <f t="shared" si="11"/>
        <v>21654.861118199246</v>
      </c>
    </row>
    <row r="29" spans="1:16" x14ac:dyDescent="0.25">
      <c r="A29" t="s">
        <v>53</v>
      </c>
    </row>
    <row r="30" spans="1:16" x14ac:dyDescent="0.25">
      <c r="A30" s="9" t="s">
        <v>61</v>
      </c>
      <c r="B30" s="7">
        <f>(B27*'Emisi GRK'!B36)+('Emisi GRK'!B35*B28)</f>
        <v>57317.572650000002</v>
      </c>
      <c r="C30" s="7">
        <f>(C27*'Emisi GRK'!C36)+('Emisi GRK'!C35*C28)</f>
        <v>57831.661969754561</v>
      </c>
      <c r="D30" s="7">
        <f>(D27*'Emisi GRK'!D36)+('Emisi GRK'!D35*D28)</f>
        <v>58312.348759196844</v>
      </c>
      <c r="E30" s="7">
        <f>(E27*'Emisi GRK'!E36)+('Emisi GRK'!E35*E28)</f>
        <v>58759.633018326844</v>
      </c>
      <c r="F30" s="7">
        <f>(F27*'Emisi GRK'!F36)+('Emisi GRK'!F35*F28)</f>
        <v>59173.514747144567</v>
      </c>
      <c r="G30" s="7">
        <f>(G27*'Emisi GRK'!G36)+('Emisi GRK'!G35*G28)</f>
        <v>59304.432442915793</v>
      </c>
      <c r="H30" s="7">
        <f>(H27*'Emisi GRK'!H36)+('Emisi GRK'!H35*H28)</f>
        <v>59391.926849281052</v>
      </c>
      <c r="I30" s="7">
        <f>(I27*'Emisi GRK'!I36)+('Emisi GRK'!I35*I28)</f>
        <v>59435.997966240335</v>
      </c>
      <c r="J30" s="7">
        <f>(J27*'Emisi GRK'!J36)+('Emisi GRK'!J35*J28)</f>
        <v>59436.645793793665</v>
      </c>
      <c r="K30" s="7">
        <f>(K27*'Emisi GRK'!K36)+('Emisi GRK'!K35*K28)</f>
        <v>59393.87033194102</v>
      </c>
      <c r="L30" s="7">
        <f>(L27*'Emisi GRK'!L36)+('Emisi GRK'!L35*L28)</f>
        <v>58225.590574614165</v>
      </c>
      <c r="M30" s="7">
        <f>(M27*'Emisi GRK'!M36)+('Emisi GRK'!M35*M28)</f>
        <v>57057.310817287318</v>
      </c>
      <c r="N30" s="7">
        <f>(N27*'Emisi GRK'!N36)+('Emisi GRK'!N35*N28)</f>
        <v>55889.031059960471</v>
      </c>
      <c r="O30" s="7">
        <f>(O27*'Emisi GRK'!O36)+('Emisi GRK'!O35*O28)</f>
        <v>54720.751302633624</v>
      </c>
      <c r="P30" s="7">
        <f>(P27*'Emisi GRK'!P36)+('Emisi GRK'!P35*P28)</f>
        <v>53552.471545306769</v>
      </c>
    </row>
    <row r="31" spans="1:16" x14ac:dyDescent="0.25">
      <c r="A31" s="9" t="s">
        <v>62</v>
      </c>
      <c r="B31" s="2">
        <f>B30*46%</f>
        <v>26366.083419000002</v>
      </c>
      <c r="C31" s="2">
        <f t="shared" ref="C31:P31" si="12">C30*46%</f>
        <v>26602.564506087099</v>
      </c>
      <c r="D31" s="2">
        <f t="shared" si="12"/>
        <v>26823.68042923055</v>
      </c>
      <c r="E31" s="2">
        <f t="shared" si="12"/>
        <v>27029.43118843035</v>
      </c>
      <c r="F31" s="2">
        <f t="shared" si="12"/>
        <v>27219.816783686503</v>
      </c>
      <c r="G31" s="2">
        <f t="shared" si="12"/>
        <v>27280.038923741267</v>
      </c>
      <c r="H31" s="2">
        <f t="shared" si="12"/>
        <v>27320.286350669285</v>
      </c>
      <c r="I31" s="2">
        <f t="shared" si="12"/>
        <v>27340.559064470555</v>
      </c>
      <c r="J31" s="2">
        <f t="shared" si="12"/>
        <v>27340.857065145086</v>
      </c>
      <c r="K31" s="2">
        <f t="shared" si="12"/>
        <v>27321.180352692871</v>
      </c>
      <c r="L31" s="2">
        <f t="shared" si="12"/>
        <v>26783.771664322518</v>
      </c>
      <c r="M31" s="2">
        <f t="shared" si="12"/>
        <v>26246.362975952168</v>
      </c>
      <c r="N31" s="2">
        <f t="shared" si="12"/>
        <v>25708.954287581819</v>
      </c>
      <c r="O31" s="2">
        <f t="shared" si="12"/>
        <v>25171.545599211469</v>
      </c>
      <c r="P31" s="2">
        <f t="shared" si="12"/>
        <v>24634.136910841116</v>
      </c>
    </row>
    <row r="32" spans="1:16" x14ac:dyDescent="0.25">
      <c r="A32" t="s">
        <v>63</v>
      </c>
      <c r="B32" s="2">
        <f>B30*'Emisi GRK'!B37*44/12</f>
        <v>42032.886610000001</v>
      </c>
      <c r="C32" s="2">
        <f>C30*'Emisi GRK'!C37*44/12</f>
        <v>42409.885444486681</v>
      </c>
      <c r="D32" s="2">
        <f>D30*'Emisi GRK'!D37*44/12</f>
        <v>42762.38909007769</v>
      </c>
      <c r="E32" s="2">
        <f>E30*'Emisi GRK'!E37*44/12</f>
        <v>43090.397546773027</v>
      </c>
      <c r="F32" s="2">
        <f>F30*'Emisi GRK'!F37*44/12</f>
        <v>43393.910814572686</v>
      </c>
      <c r="G32" s="2">
        <f>G30*'Emisi GRK'!G37*44/12</f>
        <v>43489.917124804917</v>
      </c>
      <c r="H32" s="2">
        <f>H30*'Emisi GRK'!H37*44/12</f>
        <v>43554.079689472775</v>
      </c>
      <c r="I32" s="2">
        <f>I30*'Emisi GRK'!I37*44/12</f>
        <v>43586.398508576247</v>
      </c>
      <c r="J32" s="2">
        <f>J30*'Emisi GRK'!J37*44/12</f>
        <v>43586.87358211536</v>
      </c>
      <c r="K32" s="2">
        <f>K30*'Emisi GRK'!K37*44/12</f>
        <v>43555.504910090087</v>
      </c>
      <c r="L32" s="2">
        <f>L30*'Emisi GRK'!L37*44/12</f>
        <v>42698.766421383727</v>
      </c>
      <c r="M32" s="2">
        <f>M30*'Emisi GRK'!M37*44/12</f>
        <v>41842.027932677367</v>
      </c>
      <c r="N32" s="2">
        <f>N30*'Emisi GRK'!N37*44/12</f>
        <v>40985.289443971014</v>
      </c>
      <c r="O32" s="2">
        <f>O30*'Emisi GRK'!O37*44/12</f>
        <v>40128.550955264662</v>
      </c>
      <c r="P32" s="2">
        <f>P30*'Emisi GRK'!P37*44/12</f>
        <v>39271.812466558295</v>
      </c>
    </row>
    <row r="33" spans="1:16" x14ac:dyDescent="0.25">
      <c r="A33" t="s">
        <v>64</v>
      </c>
      <c r="B33" s="11">
        <f>B31*'Emisi GRK'!B38*44/28*298</f>
        <v>123468.60206783144</v>
      </c>
      <c r="C33" s="11">
        <f>C31*'Emisi GRK'!C38*44/28*298</f>
        <v>124576.00921564788</v>
      </c>
      <c r="D33" s="11">
        <f>D31*'Emisi GRK'!D38*44/28*298</f>
        <v>125611.46349573965</v>
      </c>
      <c r="E33" s="11">
        <f>E31*'Emisi GRK'!E38*44/28*298</f>
        <v>126574.96490810669</v>
      </c>
      <c r="F33" s="11">
        <f>F31*'Emisi GRK'!F38*44/28*298</f>
        <v>127466.51345274909</v>
      </c>
      <c r="G33" s="11">
        <f>G31*'Emisi GRK'!G38*44/28*298</f>
        <v>127748.52513146268</v>
      </c>
      <c r="H33" s="11">
        <f>H31*'Emisi GRK'!H38*44/28*298</f>
        <v>127936.99808213416</v>
      </c>
      <c r="I33" s="11">
        <f>I31*'Emisi GRK'!I38*44/28*298</f>
        <v>128031.93230476356</v>
      </c>
      <c r="J33" s="11">
        <f>J31*'Emisi GRK'!J38*44/28*298</f>
        <v>128033.32779935087</v>
      </c>
      <c r="K33" s="11">
        <f>K31*'Emisi GRK'!K38*44/28*298</f>
        <v>127941.18456589602</v>
      </c>
      <c r="L33" s="11">
        <f>L31*'Emisi GRK'!L38*44/28*298</f>
        <v>125424.57645092744</v>
      </c>
      <c r="M33" s="11">
        <f>M31*'Emisi GRK'!M38*44/28*298</f>
        <v>122907.96833595885</v>
      </c>
      <c r="N33" s="11">
        <f>N31*'Emisi GRK'!N38*44/28*298</f>
        <v>120391.3602209903</v>
      </c>
      <c r="O33" s="11">
        <f>O31*'Emisi GRK'!O38*44/28*298</f>
        <v>117874.75210602171</v>
      </c>
      <c r="P33" s="11">
        <f>P31*'Emisi GRK'!P38*44/28*298</f>
        <v>115358.1439910531</v>
      </c>
    </row>
    <row r="34" spans="1:16" x14ac:dyDescent="0.25">
      <c r="A34" t="s">
        <v>65</v>
      </c>
      <c r="B34" s="2">
        <f>B31*'Emisi GRK'!B39*44/28*298</f>
        <v>40127.29567204522</v>
      </c>
      <c r="C34" s="2">
        <f>C31*'Emisi GRK'!C39*44/28*298</f>
        <v>40487.202995085565</v>
      </c>
      <c r="D34" s="2">
        <f>D31*'Emisi GRK'!D39*44/28*298</f>
        <v>40823.725636115378</v>
      </c>
      <c r="E34" s="2">
        <f>E31*'Emisi GRK'!E39*44/28*298</f>
        <v>41136.863595134673</v>
      </c>
      <c r="F34" s="2">
        <f>F31*'Emisi GRK'!F39*44/28*298</f>
        <v>41426.616872143451</v>
      </c>
      <c r="G34" s="2">
        <f>G31*'Emisi GRK'!G39*44/28*298</f>
        <v>41518.270667725366</v>
      </c>
      <c r="H34" s="2">
        <f>H31*'Emisi GRK'!H39*44/28*298</f>
        <v>41579.524376693604</v>
      </c>
      <c r="I34" s="2">
        <f>I31*'Emisi GRK'!I39*44/28*298</f>
        <v>41610.377999048149</v>
      </c>
      <c r="J34" s="2">
        <f>J31*'Emisi GRK'!J39*44/28*298</f>
        <v>41610.831534789024</v>
      </c>
      <c r="K34" s="2">
        <f>K31*'Emisi GRK'!K39*44/28*298</f>
        <v>41580.884983916207</v>
      </c>
      <c r="L34" s="2">
        <f>L31*'Emisi GRK'!L39*44/28*298</f>
        <v>40762.987346551425</v>
      </c>
      <c r="M34" s="2">
        <f>M31*'Emisi GRK'!M39*44/28*298</f>
        <v>39945.089709186635</v>
      </c>
      <c r="N34" s="2">
        <f>N31*'Emisi GRK'!N39*44/28*298</f>
        <v>39127.192071821846</v>
      </c>
      <c r="O34" s="2">
        <f>O31*'Emisi GRK'!O39*44/28*298</f>
        <v>38309.29443445705</v>
      </c>
      <c r="P34" s="2">
        <f>P31*'Emisi GRK'!P39*44/28*298</f>
        <v>37491.39679709226</v>
      </c>
    </row>
    <row r="35" spans="1:16" x14ac:dyDescent="0.25">
      <c r="A35" t="s">
        <v>66</v>
      </c>
      <c r="B35" s="2">
        <f>SUM(B32:B34)</f>
        <v>205628.78434987663</v>
      </c>
      <c r="C35" s="2">
        <f t="shared" ref="C35:P35" si="13">SUM(C32:C34)</f>
        <v>207473.09765522013</v>
      </c>
      <c r="D35" s="2">
        <f t="shared" si="13"/>
        <v>209197.57822193272</v>
      </c>
      <c r="E35" s="2">
        <f t="shared" si="13"/>
        <v>210802.22605001437</v>
      </c>
      <c r="F35" s="2">
        <f t="shared" si="13"/>
        <v>212287.04113946523</v>
      </c>
      <c r="G35" s="2">
        <f t="shared" si="13"/>
        <v>212756.71292399295</v>
      </c>
      <c r="H35" s="2">
        <f t="shared" si="13"/>
        <v>213070.60214830056</v>
      </c>
      <c r="I35" s="2">
        <f t="shared" si="13"/>
        <v>213228.70881238795</v>
      </c>
      <c r="J35" s="2">
        <f t="shared" si="13"/>
        <v>213231.03291625527</v>
      </c>
      <c r="K35" s="2">
        <f t="shared" si="13"/>
        <v>213077.57445990233</v>
      </c>
      <c r="L35" s="2">
        <f t="shared" si="13"/>
        <v>208886.33021886263</v>
      </c>
      <c r="M35" s="2">
        <f t="shared" si="13"/>
        <v>204695.08597782286</v>
      </c>
      <c r="N35" s="2">
        <f t="shared" si="13"/>
        <v>200503.84173678316</v>
      </c>
      <c r="O35" s="2">
        <f t="shared" si="13"/>
        <v>196312.59749574342</v>
      </c>
      <c r="P35" s="2">
        <f t="shared" si="13"/>
        <v>192121.35325470366</v>
      </c>
    </row>
    <row r="38" spans="1:16" x14ac:dyDescent="0.25">
      <c r="B38" s="63" t="s">
        <v>71</v>
      </c>
      <c r="C38" s="63"/>
      <c r="D38" s="63" t="s">
        <v>82</v>
      </c>
      <c r="E38" s="63"/>
    </row>
    <row r="39" spans="1:16" x14ac:dyDescent="0.25">
      <c r="B39" t="s">
        <v>79</v>
      </c>
      <c r="C39" t="s">
        <v>80</v>
      </c>
      <c r="D39" t="s">
        <v>79</v>
      </c>
      <c r="E39" t="s">
        <v>80</v>
      </c>
    </row>
    <row r="40" spans="1:16" x14ac:dyDescent="0.25">
      <c r="B40" s="17">
        <f>SUM(B19:P19)</f>
        <v>987616.21800601645</v>
      </c>
      <c r="C40" s="17">
        <f>SUM(B24:P24)</f>
        <v>3543107.5135174957</v>
      </c>
      <c r="D40" s="18">
        <f>SUM(B30:P30)</f>
        <v>867802.75982839696</v>
      </c>
      <c r="E40" s="17">
        <f>SUM(B35:P35)</f>
        <v>3113272.5673612645</v>
      </c>
    </row>
  </sheetData>
  <mergeCells count="2">
    <mergeCell ref="B38:C38"/>
    <mergeCell ref="D38:E38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P40"/>
  <sheetViews>
    <sheetView topLeftCell="A19" workbookViewId="0">
      <selection activeCell="K7" sqref="K7"/>
    </sheetView>
  </sheetViews>
  <sheetFormatPr defaultRowHeight="15" x14ac:dyDescent="0.25"/>
  <cols>
    <col min="1" max="1" width="48.28515625" customWidth="1"/>
    <col min="2" max="16" width="10.7109375" customWidth="1"/>
  </cols>
  <sheetData>
    <row r="2" spans="1:16" x14ac:dyDescent="0.25">
      <c r="B2">
        <v>2016</v>
      </c>
      <c r="C2">
        <v>2017</v>
      </c>
      <c r="D2">
        <v>2018</v>
      </c>
      <c r="E2">
        <v>2019</v>
      </c>
      <c r="F2">
        <v>2020</v>
      </c>
      <c r="G2">
        <v>2021</v>
      </c>
      <c r="H2">
        <v>2022</v>
      </c>
      <c r="I2">
        <v>2023</v>
      </c>
      <c r="J2">
        <v>2024</v>
      </c>
      <c r="K2">
        <v>2025</v>
      </c>
      <c r="L2">
        <v>2026</v>
      </c>
      <c r="M2">
        <v>2027</v>
      </c>
      <c r="N2">
        <v>2028</v>
      </c>
      <c r="O2">
        <v>2029</v>
      </c>
      <c r="P2">
        <v>2030</v>
      </c>
    </row>
    <row r="3" spans="1:16" x14ac:dyDescent="0.25">
      <c r="A3" t="s">
        <v>0</v>
      </c>
      <c r="B3" s="1">
        <v>47162</v>
      </c>
      <c r="C3" s="1">
        <f>B3+C4</f>
        <v>47069.44079370996</v>
      </c>
      <c r="D3" s="1">
        <f t="shared" ref="D3:O3" si="0">C3+D4</f>
        <v>46976.881587419921</v>
      </c>
      <c r="E3" s="1">
        <f t="shared" si="0"/>
        <v>46884.322381129881</v>
      </c>
      <c r="F3" s="1">
        <f t="shared" si="0"/>
        <v>46791.763174839842</v>
      </c>
      <c r="G3" s="1">
        <f t="shared" si="0"/>
        <v>46699.203968549802</v>
      </c>
      <c r="H3" s="1">
        <f t="shared" si="0"/>
        <v>46606.644762259763</v>
      </c>
      <c r="I3" s="1">
        <f t="shared" si="0"/>
        <v>46514.085555969723</v>
      </c>
      <c r="J3" s="1">
        <f t="shared" si="0"/>
        <v>46421.526349679683</v>
      </c>
      <c r="K3" s="1">
        <f t="shared" si="0"/>
        <v>46328.967143389644</v>
      </c>
      <c r="L3" s="1">
        <f t="shared" si="0"/>
        <v>46328.967143389644</v>
      </c>
      <c r="M3" s="1">
        <f t="shared" si="0"/>
        <v>46328.967143389644</v>
      </c>
      <c r="N3" s="1">
        <f t="shared" si="0"/>
        <v>46328.967143389644</v>
      </c>
      <c r="O3" s="1">
        <f t="shared" si="0"/>
        <v>46328.967143389644</v>
      </c>
      <c r="P3" s="1">
        <f>[2]Proyeksi!$F$64</f>
        <v>46328.967143389636</v>
      </c>
    </row>
    <row r="4" spans="1:16" x14ac:dyDescent="0.25">
      <c r="A4" t="s">
        <v>2</v>
      </c>
      <c r="B4" s="1"/>
      <c r="C4" s="1">
        <f>(P3-B3)/9</f>
        <v>-92.559206290040393</v>
      </c>
      <c r="D4" s="1">
        <f>C4</f>
        <v>-92.559206290040393</v>
      </c>
      <c r="E4" s="1">
        <f t="shared" ref="E4:K4" si="1">D4</f>
        <v>-92.559206290040393</v>
      </c>
      <c r="F4" s="1">
        <f t="shared" si="1"/>
        <v>-92.559206290040393</v>
      </c>
      <c r="G4" s="1">
        <f t="shared" si="1"/>
        <v>-92.559206290040393</v>
      </c>
      <c r="H4" s="1">
        <f t="shared" si="1"/>
        <v>-92.559206290040393</v>
      </c>
      <c r="I4" s="1">
        <f t="shared" si="1"/>
        <v>-92.559206290040393</v>
      </c>
      <c r="J4" s="1">
        <f t="shared" si="1"/>
        <v>-92.559206290040393</v>
      </c>
      <c r="K4" s="1">
        <f t="shared" si="1"/>
        <v>-92.559206290040393</v>
      </c>
      <c r="L4" s="1"/>
      <c r="M4" s="1"/>
      <c r="N4" s="1"/>
      <c r="O4" s="1"/>
      <c r="P4" s="1"/>
    </row>
    <row r="5" spans="1:16" x14ac:dyDescent="0.25">
      <c r="A5" t="s">
        <v>1</v>
      </c>
      <c r="B5" s="1">
        <v>7396</v>
      </c>
      <c r="C5" s="1">
        <f>B5-(B5/4)</f>
        <v>5547</v>
      </c>
      <c r="D5" s="1">
        <f>C5-(B5/4)</f>
        <v>3698</v>
      </c>
      <c r="E5" s="1">
        <f>D5-(B5/4)</f>
        <v>1849</v>
      </c>
      <c r="F5" s="1">
        <f>E5-(B5/4)</f>
        <v>0</v>
      </c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25">
      <c r="A6" t="s">
        <v>3</v>
      </c>
      <c r="B6" s="1">
        <v>39766</v>
      </c>
      <c r="C6" s="1">
        <f>B6+(B5-C5)</f>
        <v>41615</v>
      </c>
      <c r="D6" s="1">
        <f>C6+(C5-D5)</f>
        <v>43464</v>
      </c>
      <c r="E6" s="1">
        <f>D6+(D5-E5)</f>
        <v>45313</v>
      </c>
      <c r="F6" s="1">
        <f>E6+(E5-F5)</f>
        <v>47162</v>
      </c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25">
      <c r="A7" t="s">
        <v>4</v>
      </c>
      <c r="B7" s="1">
        <f>B6</f>
        <v>39766</v>
      </c>
      <c r="C7" s="1">
        <f>C6</f>
        <v>41615</v>
      </c>
      <c r="D7" s="1">
        <f>D6</f>
        <v>43464</v>
      </c>
      <c r="E7" s="1">
        <f>E6</f>
        <v>45313</v>
      </c>
      <c r="F7" s="1">
        <f>F6</f>
        <v>47162</v>
      </c>
      <c r="G7" s="1">
        <f>F6+C4</f>
        <v>47069.44079370996</v>
      </c>
      <c r="H7" s="1">
        <f>G7+D4</f>
        <v>46976.881587419921</v>
      </c>
      <c r="I7" s="1">
        <f t="shared" ref="I7:P7" si="2">H7+E4</f>
        <v>46884.322381129881</v>
      </c>
      <c r="J7" s="1">
        <f t="shared" si="2"/>
        <v>46791.763174839842</v>
      </c>
      <c r="K7" s="1">
        <f t="shared" si="2"/>
        <v>46699.203968549802</v>
      </c>
      <c r="L7" s="1">
        <f t="shared" si="2"/>
        <v>46606.644762259763</v>
      </c>
      <c r="M7" s="1">
        <f t="shared" si="2"/>
        <v>46514.085555969723</v>
      </c>
      <c r="N7" s="1">
        <f t="shared" si="2"/>
        <v>46421.526349679683</v>
      </c>
      <c r="O7" s="1">
        <f t="shared" si="2"/>
        <v>46328.967143389644</v>
      </c>
      <c r="P7" s="1">
        <f t="shared" si="2"/>
        <v>46328.967143389644</v>
      </c>
    </row>
    <row r="8" spans="1:16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25">
      <c r="A9" t="s">
        <v>5</v>
      </c>
      <c r="B9">
        <v>11.4</v>
      </c>
      <c r="C9" s="5">
        <f>B9+0.879</f>
        <v>12.279</v>
      </c>
      <c r="D9" s="5">
        <f t="shared" ref="D9:O9" si="3">C9+0.879</f>
        <v>13.157999999999999</v>
      </c>
      <c r="E9" s="5">
        <f t="shared" si="3"/>
        <v>14.036999999999999</v>
      </c>
      <c r="F9" s="5">
        <f t="shared" si="3"/>
        <v>14.915999999999999</v>
      </c>
      <c r="G9" s="5">
        <f t="shared" si="3"/>
        <v>15.794999999999998</v>
      </c>
      <c r="H9" s="5">
        <f t="shared" si="3"/>
        <v>16.673999999999999</v>
      </c>
      <c r="I9" s="5">
        <f t="shared" si="3"/>
        <v>17.553000000000001</v>
      </c>
      <c r="J9" s="5">
        <f t="shared" si="3"/>
        <v>18.432000000000002</v>
      </c>
      <c r="K9" s="5">
        <f t="shared" si="3"/>
        <v>19.311000000000003</v>
      </c>
      <c r="L9" s="5">
        <f t="shared" si="3"/>
        <v>20.190000000000005</v>
      </c>
      <c r="M9" s="5">
        <f t="shared" si="3"/>
        <v>21.069000000000006</v>
      </c>
      <c r="N9" s="5">
        <f t="shared" si="3"/>
        <v>21.948000000000008</v>
      </c>
      <c r="O9" s="5">
        <f t="shared" si="3"/>
        <v>22.827000000000009</v>
      </c>
      <c r="P9" s="3">
        <v>23.7</v>
      </c>
    </row>
    <row r="10" spans="1:16" x14ac:dyDescent="0.25">
      <c r="A10" t="s">
        <v>6</v>
      </c>
      <c r="B10" s="2">
        <f>B7*B9</f>
        <v>453332.4</v>
      </c>
      <c r="C10" s="2">
        <f t="shared" ref="C10:P10" si="4">C7*C9</f>
        <v>510990.58500000002</v>
      </c>
      <c r="D10" s="2">
        <f t="shared" si="4"/>
        <v>571899.31200000003</v>
      </c>
      <c r="E10" s="2">
        <f t="shared" si="4"/>
        <v>636058.58100000001</v>
      </c>
      <c r="F10" s="2">
        <f t="shared" si="4"/>
        <v>703468.39199999988</v>
      </c>
      <c r="G10" s="2">
        <f t="shared" si="4"/>
        <v>743461.8173366487</v>
      </c>
      <c r="H10" s="2">
        <f t="shared" si="4"/>
        <v>783292.52358863968</v>
      </c>
      <c r="I10" s="2">
        <f t="shared" si="4"/>
        <v>822960.51075597282</v>
      </c>
      <c r="J10" s="2">
        <f t="shared" si="4"/>
        <v>862465.77883864811</v>
      </c>
      <c r="K10" s="2">
        <f t="shared" si="4"/>
        <v>901808.32783666544</v>
      </c>
      <c r="L10" s="2">
        <f t="shared" si="4"/>
        <v>940988.15775002481</v>
      </c>
      <c r="M10" s="2">
        <f t="shared" si="4"/>
        <v>980005.26857872633</v>
      </c>
      <c r="N10" s="2">
        <f t="shared" si="4"/>
        <v>1018859.66032277</v>
      </c>
      <c r="O10" s="2">
        <f t="shared" si="4"/>
        <v>1057551.3329821557</v>
      </c>
      <c r="P10" s="2">
        <f t="shared" si="4"/>
        <v>1097996.5212983345</v>
      </c>
    </row>
    <row r="11" spans="1:16" x14ac:dyDescent="0.25">
      <c r="A11" t="s">
        <v>7</v>
      </c>
      <c r="B11" s="2">
        <f>B10*21/10^3</f>
        <v>9519.9804000000004</v>
      </c>
      <c r="C11" s="2">
        <f t="shared" ref="C11:P11" si="5">C10*21/10^3</f>
        <v>10730.802285</v>
      </c>
      <c r="D11" s="2">
        <f t="shared" si="5"/>
        <v>12009.885552000002</v>
      </c>
      <c r="E11" s="2">
        <f t="shared" si="5"/>
        <v>13357.230201</v>
      </c>
      <c r="F11" s="2">
        <f t="shared" si="5"/>
        <v>14772.836231999998</v>
      </c>
      <c r="G11" s="2">
        <f t="shared" si="5"/>
        <v>15612.698164069623</v>
      </c>
      <c r="H11" s="2">
        <f t="shared" si="5"/>
        <v>16449.142995361432</v>
      </c>
      <c r="I11" s="2">
        <f t="shared" si="5"/>
        <v>17282.170725875429</v>
      </c>
      <c r="J11" s="2">
        <f t="shared" si="5"/>
        <v>18111.781355611613</v>
      </c>
      <c r="K11" s="2">
        <f t="shared" si="5"/>
        <v>18937.974884569972</v>
      </c>
      <c r="L11" s="2">
        <f t="shared" si="5"/>
        <v>19760.751312750523</v>
      </c>
      <c r="M11" s="2">
        <f t="shared" si="5"/>
        <v>20580.110640153252</v>
      </c>
      <c r="N11" s="2">
        <f t="shared" si="5"/>
        <v>21396.052866778169</v>
      </c>
      <c r="O11" s="2">
        <f t="shared" si="5"/>
        <v>22208.577992625269</v>
      </c>
      <c r="P11" s="2">
        <f t="shared" si="5"/>
        <v>23057.926947265027</v>
      </c>
    </row>
    <row r="12" spans="1:16" x14ac:dyDescent="0.25">
      <c r="A12" t="s">
        <v>8</v>
      </c>
      <c r="B12" s="2">
        <f>B11/6329</f>
        <v>1.5041839785116133</v>
      </c>
      <c r="C12" s="2">
        <f t="shared" ref="C12:P12" si="6">C11/6329</f>
        <v>1.6954972799810397</v>
      </c>
      <c r="D12" s="2">
        <f t="shared" si="6"/>
        <v>1.8975960739453313</v>
      </c>
      <c r="E12" s="2">
        <f t="shared" si="6"/>
        <v>2.1104803604044875</v>
      </c>
      <c r="F12" s="2">
        <f t="shared" si="6"/>
        <v>2.334150139358508</v>
      </c>
      <c r="G12" s="2">
        <f t="shared" si="6"/>
        <v>2.4668507132358388</v>
      </c>
      <c r="H12" s="2">
        <f t="shared" si="6"/>
        <v>2.5990113754718647</v>
      </c>
      <c r="I12" s="2">
        <f t="shared" si="6"/>
        <v>2.7306321260665869</v>
      </c>
      <c r="J12" s="2">
        <f t="shared" si="6"/>
        <v>2.8617129650200051</v>
      </c>
      <c r="K12" s="2">
        <f t="shared" si="6"/>
        <v>2.9922538923321178</v>
      </c>
      <c r="L12" s="2">
        <f t="shared" si="6"/>
        <v>3.1222549080029265</v>
      </c>
      <c r="M12" s="2">
        <f t="shared" si="6"/>
        <v>3.2517160120324307</v>
      </c>
      <c r="N12" s="2">
        <f t="shared" si="6"/>
        <v>3.3806372044206303</v>
      </c>
      <c r="O12" s="2">
        <f t="shared" si="6"/>
        <v>3.5090184851675255</v>
      </c>
      <c r="P12" s="2">
        <f t="shared" si="6"/>
        <v>3.6432180355925148</v>
      </c>
    </row>
    <row r="13" spans="1:16" x14ac:dyDescent="0.25">
      <c r="B13" s="2"/>
    </row>
    <row r="14" spans="1:16" x14ac:dyDescent="0.25">
      <c r="A14" t="s">
        <v>9</v>
      </c>
      <c r="B14" s="2">
        <f>B10/170000</f>
        <v>2.6666611764705883</v>
      </c>
      <c r="C14" s="2">
        <f t="shared" ref="C14:P14" si="7">C10/170000</f>
        <v>3.0058269705882354</v>
      </c>
      <c r="D14" s="2">
        <f t="shared" si="7"/>
        <v>3.3641136</v>
      </c>
      <c r="E14" s="2">
        <f t="shared" si="7"/>
        <v>3.7415210647058825</v>
      </c>
      <c r="F14" s="2">
        <f t="shared" si="7"/>
        <v>4.138049364705882</v>
      </c>
      <c r="G14" s="2">
        <f t="shared" si="7"/>
        <v>4.3733048078626391</v>
      </c>
      <c r="H14" s="2">
        <f t="shared" si="7"/>
        <v>4.6076030799331749</v>
      </c>
      <c r="I14" s="2">
        <f t="shared" si="7"/>
        <v>4.8409441809174876</v>
      </c>
      <c r="J14" s="2">
        <f t="shared" si="7"/>
        <v>5.0733281108155772</v>
      </c>
      <c r="K14" s="2">
        <f t="shared" si="7"/>
        <v>5.3047548696274438</v>
      </c>
      <c r="L14" s="2">
        <f t="shared" si="7"/>
        <v>5.5352244573530873</v>
      </c>
      <c r="M14" s="2">
        <f t="shared" si="7"/>
        <v>5.7647368739925078</v>
      </c>
      <c r="N14" s="2">
        <f t="shared" si="7"/>
        <v>5.9932921195457061</v>
      </c>
      <c r="O14" s="2">
        <f t="shared" si="7"/>
        <v>6.2208901940126804</v>
      </c>
      <c r="P14" s="2">
        <f t="shared" si="7"/>
        <v>6.4588030664607912</v>
      </c>
    </row>
    <row r="17" spans="1:16" x14ac:dyDescent="0.25">
      <c r="A17" s="12" t="s">
        <v>71</v>
      </c>
      <c r="B17" s="10">
        <f>B2</f>
        <v>2016</v>
      </c>
      <c r="C17" s="10">
        <f t="shared" ref="C17:P17" si="8">C2</f>
        <v>2017</v>
      </c>
      <c r="D17" s="10">
        <f t="shared" si="8"/>
        <v>2018</v>
      </c>
      <c r="E17" s="10">
        <f t="shared" si="8"/>
        <v>2019</v>
      </c>
      <c r="F17" s="10">
        <f t="shared" si="8"/>
        <v>2020</v>
      </c>
      <c r="G17" s="10">
        <f t="shared" si="8"/>
        <v>2021</v>
      </c>
      <c r="H17" s="10">
        <f t="shared" si="8"/>
        <v>2022</v>
      </c>
      <c r="I17" s="10">
        <f t="shared" si="8"/>
        <v>2023</v>
      </c>
      <c r="J17" s="10">
        <f t="shared" si="8"/>
        <v>2024</v>
      </c>
      <c r="K17" s="10">
        <f t="shared" si="8"/>
        <v>2025</v>
      </c>
      <c r="L17" s="10">
        <f t="shared" si="8"/>
        <v>2026</v>
      </c>
      <c r="M17" s="10">
        <f t="shared" si="8"/>
        <v>2027</v>
      </c>
      <c r="N17" s="10">
        <f t="shared" si="8"/>
        <v>2028</v>
      </c>
      <c r="O17" s="10">
        <f t="shared" si="8"/>
        <v>2029</v>
      </c>
      <c r="P17" s="10">
        <f t="shared" si="8"/>
        <v>2030</v>
      </c>
    </row>
    <row r="18" spans="1:16" x14ac:dyDescent="0.25">
      <c r="A18" t="s">
        <v>53</v>
      </c>
      <c r="H18" s="4"/>
      <c r="I18" s="4"/>
      <c r="P18" s="7"/>
    </row>
    <row r="19" spans="1:16" x14ac:dyDescent="0.25">
      <c r="A19" s="9" t="s">
        <v>61</v>
      </c>
      <c r="B19" s="2">
        <f>B3*'Emisi GRK'!B35</f>
        <v>15186.164000000001</v>
      </c>
      <c r="C19" s="2">
        <f>C3*'Emisi GRK'!C35</f>
        <v>15156.359935574608</v>
      </c>
      <c r="D19" s="2">
        <f>D3*'Emisi GRK'!D35</f>
        <v>15126.555871149214</v>
      </c>
      <c r="E19" s="2">
        <f>E3*'Emisi GRK'!E35</f>
        <v>15096.751806723822</v>
      </c>
      <c r="F19" s="2">
        <f>F3*'Emisi GRK'!F35</f>
        <v>15066.947742298429</v>
      </c>
      <c r="G19" s="2">
        <f>G3*'Emisi GRK'!G35</f>
        <v>15037.143677873037</v>
      </c>
      <c r="H19" s="2">
        <f>H3*'Emisi GRK'!H35</f>
        <v>15007.339613447644</v>
      </c>
      <c r="I19" s="2">
        <f>I3*'Emisi GRK'!I35</f>
        <v>14977.535549022252</v>
      </c>
      <c r="J19" s="2">
        <f>J3*'Emisi GRK'!J35</f>
        <v>14947.731484596858</v>
      </c>
      <c r="K19" s="2">
        <f>K3*'Emisi GRK'!K35</f>
        <v>14917.927420171465</v>
      </c>
      <c r="L19" s="2">
        <f>L3*'Emisi GRK'!L35</f>
        <v>14917.927420171465</v>
      </c>
      <c r="M19" s="2">
        <f>M3*'Emisi GRK'!M35</f>
        <v>14917.927420171465</v>
      </c>
      <c r="N19" s="2">
        <f>N3*'Emisi GRK'!N35</f>
        <v>14917.927420171465</v>
      </c>
      <c r="O19" s="2">
        <f>O3*'Emisi GRK'!O35</f>
        <v>14917.927420171465</v>
      </c>
      <c r="P19" s="2">
        <f>P3*'Emisi GRK'!P35</f>
        <v>14917.927420171463</v>
      </c>
    </row>
    <row r="20" spans="1:16" x14ac:dyDescent="0.25">
      <c r="A20" s="9" t="s">
        <v>62</v>
      </c>
      <c r="B20" s="2">
        <f>B19*46%</f>
        <v>6985.6354400000009</v>
      </c>
      <c r="C20" s="2">
        <f t="shared" ref="C20:P20" si="9">C19*46%</f>
        <v>6971.9255703643203</v>
      </c>
      <c r="D20" s="2">
        <f t="shared" si="9"/>
        <v>6958.2157007286387</v>
      </c>
      <c r="E20" s="2">
        <f t="shared" si="9"/>
        <v>6944.505831092958</v>
      </c>
      <c r="F20" s="2">
        <f t="shared" si="9"/>
        <v>6930.7959614572774</v>
      </c>
      <c r="G20" s="2">
        <f t="shared" si="9"/>
        <v>6917.0860918215976</v>
      </c>
      <c r="H20" s="2">
        <f t="shared" si="9"/>
        <v>6903.376222185917</v>
      </c>
      <c r="I20" s="2">
        <f t="shared" si="9"/>
        <v>6889.6663525502363</v>
      </c>
      <c r="J20" s="2">
        <f t="shared" si="9"/>
        <v>6875.9564829145547</v>
      </c>
      <c r="K20" s="2">
        <f t="shared" si="9"/>
        <v>6862.2466132788741</v>
      </c>
      <c r="L20" s="2">
        <f t="shared" si="9"/>
        <v>6862.2466132788741</v>
      </c>
      <c r="M20" s="2">
        <f t="shared" si="9"/>
        <v>6862.2466132788741</v>
      </c>
      <c r="N20" s="2">
        <f t="shared" si="9"/>
        <v>6862.2466132788741</v>
      </c>
      <c r="O20" s="2">
        <f t="shared" si="9"/>
        <v>6862.2466132788741</v>
      </c>
      <c r="P20" s="2">
        <f t="shared" si="9"/>
        <v>6862.2466132788732</v>
      </c>
    </row>
    <row r="21" spans="1:16" x14ac:dyDescent="0.25">
      <c r="A21" t="s">
        <v>63</v>
      </c>
      <c r="B21" s="2">
        <f>B19*'Emisi GRK'!B37*44/12</f>
        <v>11136.520266666666</v>
      </c>
      <c r="C21" s="2">
        <f>C19*'Emisi GRK'!C37*44/12</f>
        <v>11114.663952754714</v>
      </c>
      <c r="D21" s="2">
        <f>D19*'Emisi GRK'!D37*44/12</f>
        <v>11092.807638842758</v>
      </c>
      <c r="E21" s="2">
        <f>E19*'Emisi GRK'!E37*44/12</f>
        <v>11070.951324930802</v>
      </c>
      <c r="F21" s="2">
        <f>F19*'Emisi GRK'!F37*44/12</f>
        <v>11049.09501101885</v>
      </c>
      <c r="G21" s="2">
        <f>G19*'Emisi GRK'!G37*44/12</f>
        <v>11027.238697106894</v>
      </c>
      <c r="H21" s="2">
        <f>H19*'Emisi GRK'!H37*44/12</f>
        <v>11005.382383194941</v>
      </c>
      <c r="I21" s="2">
        <f>I19*'Emisi GRK'!I37*44/12</f>
        <v>10983.526069282985</v>
      </c>
      <c r="J21" s="2">
        <f>J19*'Emisi GRK'!J37*44/12</f>
        <v>10961.669755371031</v>
      </c>
      <c r="K21" s="2">
        <f>K19*'Emisi GRK'!K37*44/12</f>
        <v>10939.813441459075</v>
      </c>
      <c r="L21" s="2">
        <f>L19*'Emisi GRK'!L37*44/12</f>
        <v>10939.813441459075</v>
      </c>
      <c r="M21" s="2">
        <f>M19*'Emisi GRK'!M37*44/12</f>
        <v>10939.813441459075</v>
      </c>
      <c r="N21" s="2">
        <f>N19*'Emisi GRK'!N37*44/12</f>
        <v>10939.813441459075</v>
      </c>
      <c r="O21" s="2">
        <f>O19*'Emisi GRK'!O37*44/12</f>
        <v>10939.813441459075</v>
      </c>
      <c r="P21" s="2">
        <f>P19*'Emisi GRK'!P37*44/12</f>
        <v>10939.813441459073</v>
      </c>
    </row>
    <row r="22" spans="1:16" x14ac:dyDescent="0.25">
      <c r="A22" t="s">
        <v>64</v>
      </c>
      <c r="B22" s="11">
        <f>B20*'Emisi GRK'!B38*44/28*298</f>
        <v>32712.732817600008</v>
      </c>
      <c r="C22" s="11">
        <f>C20*'Emisi GRK'!C38*44/28*298</f>
        <v>32648.531456648914</v>
      </c>
      <c r="D22" s="11">
        <f>D20*'Emisi GRK'!D38*44/28*298</f>
        <v>32584.330095697824</v>
      </c>
      <c r="E22" s="11">
        <f>E20*'Emisi GRK'!E38*44/28*298</f>
        <v>32520.128734746737</v>
      </c>
      <c r="F22" s="11">
        <f>F20*'Emisi GRK'!F38*44/28*298</f>
        <v>32455.92737379565</v>
      </c>
      <c r="G22" s="11">
        <f>G20*'Emisi GRK'!G38*44/28*298</f>
        <v>32391.726012844571</v>
      </c>
      <c r="H22" s="11">
        <f>H20*'Emisi GRK'!H38*44/28*298</f>
        <v>32327.52465189348</v>
      </c>
      <c r="I22" s="11">
        <f>I20*'Emisi GRK'!I38*44/28*298</f>
        <v>32263.323290942393</v>
      </c>
      <c r="J22" s="11">
        <f>J20*'Emisi GRK'!J38*44/28*298</f>
        <v>32199.121929991299</v>
      </c>
      <c r="K22" s="11">
        <f>K20*'Emisi GRK'!K38*44/28*298</f>
        <v>32134.920569040216</v>
      </c>
      <c r="L22" s="11">
        <f>L20*'Emisi GRK'!L38*44/28*298</f>
        <v>32134.920569040216</v>
      </c>
      <c r="M22" s="11">
        <f>M20*'Emisi GRK'!M38*44/28*298</f>
        <v>32134.920569040216</v>
      </c>
      <c r="N22" s="11">
        <f>N20*'Emisi GRK'!N38*44/28*298</f>
        <v>32134.920569040216</v>
      </c>
      <c r="O22" s="11">
        <f>O20*'Emisi GRK'!O38*44/28*298</f>
        <v>32134.920569040216</v>
      </c>
      <c r="P22" s="11">
        <f>P20*'Emisi GRK'!P38*44/28*298</f>
        <v>32134.920569040205</v>
      </c>
    </row>
    <row r="23" spans="1:16" x14ac:dyDescent="0.25">
      <c r="A23" t="s">
        <v>65</v>
      </c>
      <c r="B23" s="2">
        <f>B20*'Emisi GRK'!B39*44/28*298</f>
        <v>10631.63816572</v>
      </c>
      <c r="C23" s="2">
        <f>C20*'Emisi GRK'!C39*44/28*298</f>
        <v>10610.772723410897</v>
      </c>
      <c r="D23" s="2">
        <f>D20*'Emisi GRK'!D39*44/28*298</f>
        <v>10589.907281101792</v>
      </c>
      <c r="E23" s="2">
        <f>E20*'Emisi GRK'!E39*44/28*298</f>
        <v>10569.041838792689</v>
      </c>
      <c r="F23" s="2">
        <f>F20*'Emisi GRK'!F39*44/28*298</f>
        <v>10548.176396483586</v>
      </c>
      <c r="G23" s="2">
        <f>G20*'Emisi GRK'!G39*44/28*298</f>
        <v>10527.310954174483</v>
      </c>
      <c r="H23" s="2">
        <f>H20*'Emisi GRK'!H39*44/28*298</f>
        <v>10506.44551186538</v>
      </c>
      <c r="I23" s="2">
        <f>I20*'Emisi GRK'!I39*44/28*298</f>
        <v>10485.580069556279</v>
      </c>
      <c r="J23" s="2">
        <f>J20*'Emisi GRK'!J39*44/28*298</f>
        <v>10464.714627247173</v>
      </c>
      <c r="K23" s="2">
        <f>K20*'Emisi GRK'!K39*44/28*298</f>
        <v>10443.849184938066</v>
      </c>
      <c r="L23" s="2">
        <f>L20*'Emisi GRK'!L39*44/28*298</f>
        <v>10443.849184938066</v>
      </c>
      <c r="M23" s="2">
        <f>M20*'Emisi GRK'!M39*44/28*298</f>
        <v>10443.849184938066</v>
      </c>
      <c r="N23" s="2">
        <f>N20*'Emisi GRK'!N39*44/28*298</f>
        <v>10443.849184938066</v>
      </c>
      <c r="O23" s="2">
        <f>O20*'Emisi GRK'!O39*44/28*298</f>
        <v>10443.849184938066</v>
      </c>
      <c r="P23" s="2">
        <f>P20*'Emisi GRK'!P39*44/28*298</f>
        <v>10443.849184938066</v>
      </c>
    </row>
    <row r="24" spans="1:16" x14ac:dyDescent="0.25">
      <c r="A24" t="s">
        <v>66</v>
      </c>
      <c r="B24" s="2">
        <f>SUM(B21:B23)</f>
        <v>54480.891249986671</v>
      </c>
      <c r="C24" s="2">
        <f t="shared" ref="C24:P24" si="10">SUM(C21:C23)</f>
        <v>54373.968132814523</v>
      </c>
      <c r="D24" s="2">
        <f t="shared" si="10"/>
        <v>54267.045015642369</v>
      </c>
      <c r="E24" s="2">
        <f t="shared" si="10"/>
        <v>54160.121898470228</v>
      </c>
      <c r="F24" s="2">
        <f t="shared" si="10"/>
        <v>54053.198781298081</v>
      </c>
      <c r="G24" s="2">
        <f t="shared" si="10"/>
        <v>53946.275664125948</v>
      </c>
      <c r="H24" s="2">
        <f t="shared" si="10"/>
        <v>53839.3525469538</v>
      </c>
      <c r="I24" s="2">
        <f t="shared" si="10"/>
        <v>53732.42942978166</v>
      </c>
      <c r="J24" s="2">
        <f t="shared" si="10"/>
        <v>53625.506312609505</v>
      </c>
      <c r="K24" s="2">
        <f t="shared" si="10"/>
        <v>53518.583195437357</v>
      </c>
      <c r="L24" s="2">
        <f t="shared" si="10"/>
        <v>53518.583195437357</v>
      </c>
      <c r="M24" s="2">
        <f t="shared" si="10"/>
        <v>53518.583195437357</v>
      </c>
      <c r="N24" s="2">
        <f t="shared" si="10"/>
        <v>53518.583195437357</v>
      </c>
      <c r="O24" s="2">
        <f t="shared" si="10"/>
        <v>53518.583195437357</v>
      </c>
      <c r="P24" s="2">
        <f t="shared" si="10"/>
        <v>53518.583195437343</v>
      </c>
    </row>
    <row r="25" spans="1:16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12" t="s">
        <v>72</v>
      </c>
    </row>
    <row r="27" spans="1:16" x14ac:dyDescent="0.25">
      <c r="A27" t="s">
        <v>73</v>
      </c>
      <c r="B27" s="2">
        <f>B3*'Rekab Kab'!B25</f>
        <v>2358.1</v>
      </c>
      <c r="C27" s="2">
        <f>C3*'Rekab Kab'!C25</f>
        <v>4706.9440793709964</v>
      </c>
      <c r="D27" s="2">
        <f>D3*'Rekab Kab'!D25</f>
        <v>7046.532238112989</v>
      </c>
      <c r="E27" s="2">
        <f>E3*'Rekab Kab'!E25</f>
        <v>9376.8644762259773</v>
      </c>
      <c r="F27" s="2">
        <f>F3*'Rekab Kab'!F25</f>
        <v>11697.94079370996</v>
      </c>
      <c r="G27" s="2">
        <f>G3*'Rekab Kab'!G25</f>
        <v>14710.249250093188</v>
      </c>
      <c r="H27" s="2">
        <f>H3*'Rekab Kab'!H25</f>
        <v>17710.525009658711</v>
      </c>
      <c r="I27" s="2">
        <f>I3*'Rekab Kab'!I25</f>
        <v>20698.768072406529</v>
      </c>
      <c r="J27" s="2">
        <f>J3*'Rekab Kab'!J25</f>
        <v>23674.978438336639</v>
      </c>
      <c r="K27" s="2">
        <f>K3*'Rekab Kab'!K25</f>
        <v>26639.156107449042</v>
      </c>
      <c r="L27" s="2">
        <f>L3*'Rekab Kab'!L25</f>
        <v>29650.538971769369</v>
      </c>
      <c r="M27" s="2">
        <f>M3*'Rekab Kab'!M25</f>
        <v>32661.921836089692</v>
      </c>
      <c r="N27" s="2">
        <f>N3*'Rekab Kab'!N25</f>
        <v>35673.304700410015</v>
      </c>
      <c r="O27" s="2">
        <f>O3*'Rekab Kab'!O25</f>
        <v>38684.687564730339</v>
      </c>
      <c r="P27" s="2">
        <f>P3*'Rekab Kab'!P25</f>
        <v>41696.070429050676</v>
      </c>
    </row>
    <row r="28" spans="1:16" x14ac:dyDescent="0.25">
      <c r="A28" t="s">
        <v>74</v>
      </c>
      <c r="B28" s="2">
        <f>B3-B27</f>
        <v>44803.9</v>
      </c>
      <c r="C28" s="2">
        <f t="shared" ref="C28:P28" si="11">C3-C27</f>
        <v>42362.496714338966</v>
      </c>
      <c r="D28" s="2">
        <f t="shared" si="11"/>
        <v>39930.349349306933</v>
      </c>
      <c r="E28" s="2">
        <f t="shared" si="11"/>
        <v>37507.457904903902</v>
      </c>
      <c r="F28" s="2">
        <f t="shared" si="11"/>
        <v>35093.822381129881</v>
      </c>
      <c r="G28" s="2">
        <f t="shared" si="11"/>
        <v>31988.954718456615</v>
      </c>
      <c r="H28" s="2">
        <f t="shared" si="11"/>
        <v>28896.119752601051</v>
      </c>
      <c r="I28" s="2">
        <f t="shared" si="11"/>
        <v>25815.317483563194</v>
      </c>
      <c r="J28" s="2">
        <f t="shared" si="11"/>
        <v>22746.547911343045</v>
      </c>
      <c r="K28" s="2">
        <f t="shared" si="11"/>
        <v>19689.811035940602</v>
      </c>
      <c r="L28" s="2">
        <f t="shared" si="11"/>
        <v>16678.428171620275</v>
      </c>
      <c r="M28" s="2">
        <f t="shared" si="11"/>
        <v>13667.045307299952</v>
      </c>
      <c r="N28" s="2">
        <f t="shared" si="11"/>
        <v>10655.662442979628</v>
      </c>
      <c r="O28" s="2">
        <f t="shared" si="11"/>
        <v>7644.2795786593051</v>
      </c>
      <c r="P28" s="2">
        <f t="shared" si="11"/>
        <v>4632.89671433896</v>
      </c>
    </row>
    <row r="29" spans="1:16" x14ac:dyDescent="0.25">
      <c r="A29" t="s">
        <v>53</v>
      </c>
    </row>
    <row r="30" spans="1:16" x14ac:dyDescent="0.25">
      <c r="A30" s="9" t="s">
        <v>61</v>
      </c>
      <c r="B30" s="7">
        <f>(B27*'Emisi GRK'!B36)+('Emisi GRK'!B35*B28)</f>
        <v>14990.441700000001</v>
      </c>
      <c r="C30" s="7">
        <f>(C27*'Emisi GRK'!C36)+('Emisi GRK'!C35*C28)</f>
        <v>14765.683576986816</v>
      </c>
      <c r="D30" s="7">
        <f>(D27*'Emisi GRK'!D36)+('Emisi GRK'!D35*D28)</f>
        <v>14541.693695385837</v>
      </c>
      <c r="E30" s="7">
        <f>(E27*'Emisi GRK'!E36)+('Emisi GRK'!E35*E28)</f>
        <v>14318.472055197066</v>
      </c>
      <c r="F30" s="7">
        <f>(F27*'Emisi GRK'!F36)+('Emisi GRK'!F35*F28)</f>
        <v>14096.018656420503</v>
      </c>
      <c r="G30" s="7">
        <f>(G27*'Emisi GRK'!G36)+('Emisi GRK'!G35*G28)</f>
        <v>13816.192990115302</v>
      </c>
      <c r="H30" s="7">
        <f>(H27*'Emisi GRK'!H36)+('Emisi GRK'!H35*H28)</f>
        <v>13537.36603764597</v>
      </c>
      <c r="I30" s="7">
        <f>(I27*'Emisi GRK'!I36)+('Emisi GRK'!I35*I28)</f>
        <v>13259.537799012509</v>
      </c>
      <c r="J30" s="7">
        <f>(J27*'Emisi GRK'!J36)+('Emisi GRK'!J35*J28)</f>
        <v>12982.708274214918</v>
      </c>
      <c r="K30" s="7">
        <f>(K27*'Emisi GRK'!K36)+('Emisi GRK'!K35*K28)</f>
        <v>12706.877463253195</v>
      </c>
      <c r="L30" s="7">
        <f>(L27*'Emisi GRK'!L36)+('Emisi GRK'!L35*L28)</f>
        <v>12456.932685514606</v>
      </c>
      <c r="M30" s="7">
        <f>(M27*'Emisi GRK'!M36)+('Emisi GRK'!M35*M28)</f>
        <v>12206.98790777602</v>
      </c>
      <c r="N30" s="7">
        <f>(N27*'Emisi GRK'!N36)+('Emisi GRK'!N35*N28)</f>
        <v>11957.043130037433</v>
      </c>
      <c r="O30" s="7">
        <f>(O27*'Emisi GRK'!O36)+('Emisi GRK'!O35*O28)</f>
        <v>11707.098352298846</v>
      </c>
      <c r="P30" s="7">
        <f>(P27*'Emisi GRK'!P36)+('Emisi GRK'!P35*P28)</f>
        <v>11457.153574560256</v>
      </c>
    </row>
    <row r="31" spans="1:16" x14ac:dyDescent="0.25">
      <c r="A31" s="9" t="s">
        <v>62</v>
      </c>
      <c r="B31" s="2">
        <f>B30*46%</f>
        <v>6895.6031820000007</v>
      </c>
      <c r="C31" s="2">
        <f t="shared" ref="C31:P31" si="12">C30*46%</f>
        <v>6792.2144454139352</v>
      </c>
      <c r="D31" s="2">
        <f t="shared" si="12"/>
        <v>6689.179099877485</v>
      </c>
      <c r="E31" s="2">
        <f t="shared" si="12"/>
        <v>6586.497145390651</v>
      </c>
      <c r="F31" s="2">
        <f t="shared" si="12"/>
        <v>6484.1685819534314</v>
      </c>
      <c r="G31" s="2">
        <f t="shared" si="12"/>
        <v>6355.4487754530392</v>
      </c>
      <c r="H31" s="2">
        <f t="shared" si="12"/>
        <v>6227.1883773171467</v>
      </c>
      <c r="I31" s="2">
        <f t="shared" si="12"/>
        <v>6099.3873875457548</v>
      </c>
      <c r="J31" s="2">
        <f t="shared" si="12"/>
        <v>5972.0458061388626</v>
      </c>
      <c r="K31" s="2">
        <f t="shared" si="12"/>
        <v>5845.1636330964702</v>
      </c>
      <c r="L31" s="2">
        <f t="shared" si="12"/>
        <v>5730.1890353367189</v>
      </c>
      <c r="M31" s="2">
        <f t="shared" si="12"/>
        <v>5615.2144375769694</v>
      </c>
      <c r="N31" s="2">
        <f t="shared" si="12"/>
        <v>5500.239839817219</v>
      </c>
      <c r="O31" s="2">
        <f t="shared" si="12"/>
        <v>5385.2652420574695</v>
      </c>
      <c r="P31" s="2">
        <f t="shared" si="12"/>
        <v>5270.2906442977182</v>
      </c>
    </row>
    <row r="32" spans="1:16" x14ac:dyDescent="0.25">
      <c r="A32" t="s">
        <v>63</v>
      </c>
      <c r="B32" s="2">
        <f>B30*'Emisi GRK'!B37*44/12</f>
        <v>10992.99058</v>
      </c>
      <c r="C32" s="2">
        <f>C30*'Emisi GRK'!C37*44/12</f>
        <v>10828.167956456999</v>
      </c>
      <c r="D32" s="2">
        <f>D30*'Emisi GRK'!D37*44/12</f>
        <v>10663.908709949616</v>
      </c>
      <c r="E32" s="2">
        <f>E30*'Emisi GRK'!E37*44/12</f>
        <v>10500.212840477849</v>
      </c>
      <c r="F32" s="2">
        <f>F30*'Emisi GRK'!F37*44/12</f>
        <v>10337.080348041703</v>
      </c>
      <c r="G32" s="2">
        <f>G30*'Emisi GRK'!G37*44/12</f>
        <v>10131.874859417889</v>
      </c>
      <c r="H32" s="2">
        <f>H30*'Emisi GRK'!H37*44/12</f>
        <v>9927.4017609403782</v>
      </c>
      <c r="I32" s="2">
        <f>I30*'Emisi GRK'!I37*44/12</f>
        <v>9723.6610526091736</v>
      </c>
      <c r="J32" s="2">
        <f>J30*'Emisi GRK'!J37*44/12</f>
        <v>9520.6527344242731</v>
      </c>
      <c r="K32" s="2">
        <f>K30*'Emisi GRK'!K37*44/12</f>
        <v>9318.3768063856769</v>
      </c>
      <c r="L32" s="2">
        <f>L30*'Emisi GRK'!L37*44/12</f>
        <v>9135.0839693773796</v>
      </c>
      <c r="M32" s="2">
        <f>M30*'Emisi GRK'!M37*44/12</f>
        <v>8951.7911323690805</v>
      </c>
      <c r="N32" s="2">
        <f>N30*'Emisi GRK'!N37*44/12</f>
        <v>8768.4982953607851</v>
      </c>
      <c r="O32" s="2">
        <f>O30*'Emisi GRK'!O37*44/12</f>
        <v>8585.2054583524878</v>
      </c>
      <c r="P32" s="2">
        <f>P30*'Emisi GRK'!P37*44/12</f>
        <v>8401.9126213441887</v>
      </c>
    </row>
    <row r="33" spans="1:16" x14ac:dyDescent="0.25">
      <c r="A33" t="s">
        <v>64</v>
      </c>
      <c r="B33" s="11">
        <f>B31*'Emisi GRK'!B38*44/28*298</f>
        <v>32291.124615137149</v>
      </c>
      <c r="C33" s="11">
        <f>C31*'Emisi GRK'!C38*44/28*298</f>
        <v>31806.969931524116</v>
      </c>
      <c r="D33" s="11">
        <f>D31*'Emisi GRK'!D38*44/28*298</f>
        <v>31324.470127711993</v>
      </c>
      <c r="E33" s="11">
        <f>E31*'Emisi GRK'!E38*44/28*298</f>
        <v>30843.625203700787</v>
      </c>
      <c r="F33" s="11">
        <f>F31*'Emisi GRK'!F38*44/28*298</f>
        <v>30364.435159490502</v>
      </c>
      <c r="G33" s="11">
        <f>G31*'Emisi GRK'!G38*44/28*298</f>
        <v>29761.658694192945</v>
      </c>
      <c r="H33" s="11">
        <f>H31*'Emisi GRK'!H38*44/28*298</f>
        <v>29161.033572636581</v>
      </c>
      <c r="I33" s="11">
        <f>I31*'Emisi GRK'!I38*44/28*298</f>
        <v>28562.559794821409</v>
      </c>
      <c r="J33" s="11">
        <f>J31*'Emisi GRK'!J38*44/28*298</f>
        <v>27966.237360747418</v>
      </c>
      <c r="K33" s="11">
        <f>K31*'Emisi GRK'!K38*44/28*298</f>
        <v>27372.066270414613</v>
      </c>
      <c r="L33" s="11">
        <f>L31*'Emisi GRK'!L38*44/28*298</f>
        <v>26833.656654048234</v>
      </c>
      <c r="M33" s="11">
        <f>M31*'Emisi GRK'!M38*44/28*298</f>
        <v>26295.247037681867</v>
      </c>
      <c r="N33" s="11">
        <f>N31*'Emisi GRK'!N38*44/28*298</f>
        <v>25756.837421315493</v>
      </c>
      <c r="O33" s="11">
        <f>O31*'Emisi GRK'!O38*44/28*298</f>
        <v>25218.427804949122</v>
      </c>
      <c r="P33" s="11">
        <f>P31*'Emisi GRK'!P38*44/28*298</f>
        <v>24680.018188582741</v>
      </c>
    </row>
    <row r="34" spans="1:16" x14ac:dyDescent="0.25">
      <c r="A34" t="s">
        <v>65</v>
      </c>
      <c r="B34" s="2">
        <f>B31*'Emisi GRK'!B39*44/28*298</f>
        <v>10494.615499919571</v>
      </c>
      <c r="C34" s="2">
        <f>C31*'Emisi GRK'!C39*44/28*298</f>
        <v>10337.265227745336</v>
      </c>
      <c r="D34" s="2">
        <f>D31*'Emisi GRK'!D39*44/28*298</f>
        <v>10180.452791506395</v>
      </c>
      <c r="E34" s="2">
        <f>E31*'Emisi GRK'!E39*44/28*298</f>
        <v>10024.178191202756</v>
      </c>
      <c r="F34" s="2">
        <f>F31*'Emisi GRK'!F39*44/28*298</f>
        <v>9868.4414268344099</v>
      </c>
      <c r="G34" s="2">
        <f>G31*'Emisi GRK'!G39*44/28*298</f>
        <v>9672.5390756127053</v>
      </c>
      <c r="H34" s="2">
        <f>H31*'Emisi GRK'!H39*44/28*298</f>
        <v>9477.3359111068876</v>
      </c>
      <c r="I34" s="2">
        <f>I31*'Emisi GRK'!I39*44/28*298</f>
        <v>9282.8319333169566</v>
      </c>
      <c r="J34" s="2">
        <f>J31*'Emisi GRK'!J39*44/28*298</f>
        <v>9089.0271422429105</v>
      </c>
      <c r="K34" s="2">
        <f>K31*'Emisi GRK'!K39*44/28*298</f>
        <v>8895.9215378847475</v>
      </c>
      <c r="L34" s="2">
        <f>L31*'Emisi GRK'!L39*44/28*298</f>
        <v>8720.9384125656779</v>
      </c>
      <c r="M34" s="2">
        <f>M31*'Emisi GRK'!M39*44/28*298</f>
        <v>8545.9552872466047</v>
      </c>
      <c r="N34" s="2">
        <f>N31*'Emisi GRK'!N39*44/28*298</f>
        <v>8370.9721619275333</v>
      </c>
      <c r="O34" s="2">
        <f>O31*'Emisi GRK'!O39*44/28*298</f>
        <v>8195.9890366084637</v>
      </c>
      <c r="P34" s="2">
        <f>P31*'Emisi GRK'!P39*44/28*298</f>
        <v>8021.0059112893905</v>
      </c>
    </row>
    <row r="35" spans="1:16" x14ac:dyDescent="0.25">
      <c r="A35" t="s">
        <v>66</v>
      </c>
      <c r="B35" s="2">
        <f>SUM(B32:B34)</f>
        <v>53778.730695056722</v>
      </c>
      <c r="C35" s="2">
        <f t="shared" ref="C35:P35" si="13">SUM(C32:C34)</f>
        <v>52972.403115726454</v>
      </c>
      <c r="D35" s="2">
        <f t="shared" si="13"/>
        <v>52168.831629168002</v>
      </c>
      <c r="E35" s="2">
        <f t="shared" si="13"/>
        <v>51368.016235381394</v>
      </c>
      <c r="F35" s="2">
        <f t="shared" si="13"/>
        <v>50569.956934366615</v>
      </c>
      <c r="G35" s="2">
        <f t="shared" si="13"/>
        <v>49566.072629223534</v>
      </c>
      <c r="H35" s="2">
        <f t="shared" si="13"/>
        <v>48565.771244683841</v>
      </c>
      <c r="I35" s="2">
        <f t="shared" si="13"/>
        <v>47569.052780747537</v>
      </c>
      <c r="J35" s="2">
        <f t="shared" si="13"/>
        <v>46575.9172374146</v>
      </c>
      <c r="K35" s="2">
        <f t="shared" si="13"/>
        <v>45586.364614685037</v>
      </c>
      <c r="L35" s="2">
        <f t="shared" si="13"/>
        <v>44689.679035991292</v>
      </c>
      <c r="M35" s="2">
        <f t="shared" si="13"/>
        <v>43792.993457297547</v>
      </c>
      <c r="N35" s="2">
        <f t="shared" si="13"/>
        <v>42896.30787860381</v>
      </c>
      <c r="O35" s="2">
        <f t="shared" si="13"/>
        <v>41999.622299910079</v>
      </c>
      <c r="P35" s="2">
        <f t="shared" si="13"/>
        <v>41102.93672121632</v>
      </c>
    </row>
    <row r="38" spans="1:16" x14ac:dyDescent="0.25">
      <c r="B38" s="63" t="s">
        <v>71</v>
      </c>
      <c r="C38" s="63"/>
      <c r="D38" s="63" t="s">
        <v>82</v>
      </c>
      <c r="E38" s="63"/>
    </row>
    <row r="39" spans="1:16" x14ac:dyDescent="0.25">
      <c r="B39" t="s">
        <v>79</v>
      </c>
      <c r="C39" t="s">
        <v>80</v>
      </c>
      <c r="D39" t="s">
        <v>79</v>
      </c>
      <c r="E39" t="s">
        <v>80</v>
      </c>
    </row>
    <row r="40" spans="1:16" x14ac:dyDescent="0.25">
      <c r="B40" s="17">
        <f>SUM(B19:P19)</f>
        <v>225110.0942017147</v>
      </c>
      <c r="C40" s="17">
        <f>SUM(B24:P24)</f>
        <v>807590.28820430674</v>
      </c>
      <c r="D40" s="18">
        <f>SUM(B30:P30)</f>
        <v>198800.20789841929</v>
      </c>
      <c r="E40" s="17">
        <f>SUM(B35:P35)</f>
        <v>713202.65650947276</v>
      </c>
    </row>
  </sheetData>
  <mergeCells count="2">
    <mergeCell ref="B38:C38"/>
    <mergeCell ref="D38:E3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Emisi GRK</vt:lpstr>
      <vt:lpstr>Rekab Kab</vt:lpstr>
      <vt:lpstr>Kalimantan Timur</vt:lpstr>
      <vt:lpstr>Berau</vt:lpstr>
      <vt:lpstr>Kutai Timur</vt:lpstr>
      <vt:lpstr>Kutai Kartanegara</vt:lpstr>
      <vt:lpstr>Kutai Barat</vt:lpstr>
      <vt:lpstr>Paser</vt:lpstr>
      <vt:lpstr>PPU</vt:lpstr>
      <vt:lpstr>Mahulu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 Cahyat (GIZ-GELAMAI)</dc:creator>
  <cp:lastModifiedBy>Iwied</cp:lastModifiedBy>
  <dcterms:created xsi:type="dcterms:W3CDTF">2017-09-17T07:59:35Z</dcterms:created>
  <dcterms:modified xsi:type="dcterms:W3CDTF">2017-11-12T07:39:31Z</dcterms:modified>
</cp:coreProperties>
</file>