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Pertanian\"/>
    </mc:Choice>
  </mc:AlternateContent>
  <bookViews>
    <workbookView xWindow="0" yWindow="0" windowWidth="19200" windowHeight="7155" tabRatio="873"/>
  </bookViews>
  <sheets>
    <sheet name="TOTAL KALTIM" sheetId="10" r:id="rId1"/>
    <sheet name="Estimasi Kebutuhan Pabrik" sheetId="13" r:id="rId2"/>
    <sheet name="KALTIM" sheetId="12" r:id="rId3"/>
    <sheet name="BERAU" sheetId="1" r:id="rId4"/>
    <sheet name="KUKAR" sheetId="2" r:id="rId5"/>
    <sheet name="KUBAR" sheetId="3" r:id="rId6"/>
    <sheet name="KUTIM" sheetId="4" r:id="rId7"/>
    <sheet name="PASER" sheetId="5" r:id="rId8"/>
    <sheet name="PPU" sheetId="6" r:id="rId9"/>
    <sheet name="SAMARINDA" sheetId="7" r:id="rId10"/>
    <sheet name="BONTANG" sheetId="8" r:id="rId11"/>
    <sheet name="BALIKPAPAN" sheetId="9" r:id="rId12"/>
    <sheet name="MAHULU" sheetId="11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0" l="1"/>
  <c r="M15" i="10"/>
  <c r="T22" i="1"/>
  <c r="F23" i="1"/>
  <c r="T35" i="4" l="1"/>
  <c r="T24" i="4"/>
  <c r="U28" i="4"/>
  <c r="U25" i="4"/>
  <c r="U23" i="4"/>
  <c r="Y36" i="4"/>
  <c r="X36" i="4"/>
  <c r="Y31" i="4"/>
  <c r="Y27" i="4"/>
  <c r="Y26" i="4"/>
  <c r="Y35" i="4"/>
  <c r="F36" i="10" l="1"/>
  <c r="S23" i="6"/>
  <c r="R23" i="5"/>
  <c r="R23" i="4"/>
  <c r="S36" i="2"/>
  <c r="R23" i="2"/>
  <c r="S36" i="1"/>
  <c r="S28" i="1"/>
  <c r="S27" i="1"/>
  <c r="S26" i="1"/>
  <c r="S31" i="1"/>
  <c r="R23" i="1"/>
  <c r="R24" i="1" s="1"/>
  <c r="R25" i="1" s="1"/>
  <c r="R26" i="1" s="1"/>
  <c r="R27" i="1" s="1"/>
  <c r="R28" i="1" s="1"/>
  <c r="R29" i="1" s="1"/>
  <c r="R30" i="1" s="1"/>
  <c r="R31" i="1" s="1"/>
  <c r="R35" i="1"/>
  <c r="R22" i="1"/>
  <c r="P35" i="1"/>
  <c r="P36" i="1"/>
  <c r="F37" i="9"/>
  <c r="G36" i="7"/>
  <c r="P26" i="1"/>
  <c r="H22" i="1" l="1"/>
  <c r="V22" i="1"/>
  <c r="F24" i="7"/>
  <c r="F25" i="7"/>
  <c r="F26" i="7"/>
  <c r="F27" i="7" s="1"/>
  <c r="F28" i="7" s="1"/>
  <c r="F29" i="7" s="1"/>
  <c r="F30" i="7" s="1"/>
  <c r="F31" i="7" s="1"/>
  <c r="F32" i="7" s="1"/>
  <c r="F33" i="7" s="1"/>
  <c r="F34" i="7" s="1"/>
  <c r="F35" i="7" s="1"/>
  <c r="F23" i="7"/>
  <c r="F37" i="7"/>
  <c r="G43" i="12"/>
  <c r="J34" i="12"/>
  <c r="I29" i="12" l="1"/>
  <c r="I28" i="12"/>
  <c r="I27" i="12"/>
  <c r="I26" i="12"/>
  <c r="I25" i="12"/>
  <c r="I24" i="12"/>
  <c r="I23" i="12"/>
  <c r="G23" i="12"/>
  <c r="C23" i="12"/>
  <c r="E23" i="12"/>
  <c r="E22" i="12"/>
  <c r="E21" i="12"/>
  <c r="I21" i="12"/>
  <c r="I22" i="12"/>
  <c r="F22" i="12"/>
  <c r="G21" i="12"/>
  <c r="C24" i="12"/>
  <c r="C22" i="12"/>
  <c r="E24" i="12"/>
  <c r="F24" i="12"/>
  <c r="G25" i="12" l="1"/>
  <c r="G24" i="12"/>
  <c r="G22" i="12"/>
  <c r="G26" i="12" l="1"/>
  <c r="G27" i="12" l="1"/>
  <c r="G28" i="12" l="1"/>
  <c r="I30" i="12" l="1"/>
  <c r="G29" i="12"/>
  <c r="I31" i="12" l="1"/>
  <c r="G30" i="12"/>
  <c r="I32" i="12" l="1"/>
  <c r="G31" i="12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6" i="10"/>
  <c r="J21" i="12"/>
  <c r="G24" i="11"/>
  <c r="G25" i="11"/>
  <c r="G26" i="11"/>
  <c r="G23" i="11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23" i="9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23" i="8"/>
  <c r="G23" i="7"/>
  <c r="G23" i="10" s="1"/>
  <c r="E26" i="12"/>
  <c r="M25" i="11"/>
  <c r="M26" i="11"/>
  <c r="M24" i="11"/>
  <c r="M25" i="6"/>
  <c r="M26" i="6"/>
  <c r="M24" i="6"/>
  <c r="M25" i="5"/>
  <c r="M26" i="5"/>
  <c r="M24" i="5"/>
  <c r="M23" i="5"/>
  <c r="R45" i="5"/>
  <c r="M26" i="4"/>
  <c r="M25" i="4"/>
  <c r="M24" i="4"/>
  <c r="M26" i="3"/>
  <c r="M25" i="3"/>
  <c r="M24" i="3"/>
  <c r="M26" i="2"/>
  <c r="M25" i="2"/>
  <c r="M24" i="2"/>
  <c r="F25" i="12"/>
  <c r="E28" i="12"/>
  <c r="E27" i="12"/>
  <c r="M26" i="1"/>
  <c r="M23" i="1"/>
  <c r="M25" i="1"/>
  <c r="M24" i="1"/>
  <c r="N24" i="12"/>
  <c r="I34" i="12"/>
  <c r="F26" i="12"/>
  <c r="F27" i="12" s="1"/>
  <c r="F28" i="12" s="1"/>
  <c r="F29" i="12" s="1"/>
  <c r="F30" i="12" s="1"/>
  <c r="F31" i="12" s="1"/>
  <c r="F32" i="12" s="1"/>
  <c r="F33" i="12" s="1"/>
  <c r="F34" i="12" s="1"/>
  <c r="F21" i="12"/>
  <c r="E25" i="12"/>
  <c r="D29" i="12"/>
  <c r="D28" i="12"/>
  <c r="D27" i="12"/>
  <c r="D26" i="12"/>
  <c r="D25" i="12"/>
  <c r="D24" i="12"/>
  <c r="D23" i="12"/>
  <c r="D22" i="12"/>
  <c r="H46" i="12"/>
  <c r="H45" i="12"/>
  <c r="C21" i="12"/>
  <c r="H38" i="12"/>
  <c r="H39" i="12"/>
  <c r="H40" i="12"/>
  <c r="I33" i="12" l="1"/>
  <c r="G32" i="12"/>
  <c r="H20" i="7"/>
  <c r="G34" i="12" l="1"/>
  <c r="G33" i="12"/>
  <c r="T23" i="3"/>
  <c r="G23" i="3" s="1"/>
  <c r="Y15" i="4" l="1"/>
  <c r="Y22" i="4"/>
  <c r="Y21" i="4"/>
  <c r="Y20" i="4"/>
  <c r="Y19" i="4"/>
  <c r="Y18" i="4"/>
  <c r="Y17" i="4"/>
  <c r="Y16" i="4"/>
  <c r="Y14" i="4"/>
  <c r="Y13" i="4"/>
  <c r="Y12" i="4"/>
  <c r="Y11" i="4"/>
  <c r="Y10" i="4"/>
  <c r="Y9" i="4"/>
  <c r="Y8" i="4"/>
  <c r="Y7" i="4"/>
  <c r="Y6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L4" i="13" l="1"/>
  <c r="I9" i="13" l="1"/>
  <c r="D15" i="13"/>
  <c r="H9" i="13"/>
  <c r="J9" i="13" s="1"/>
  <c r="K9" i="13" s="1"/>
  <c r="R38" i="11"/>
  <c r="R38" i="6"/>
  <c r="R38" i="5"/>
  <c r="R38" i="4"/>
  <c r="R38" i="3"/>
  <c r="R38" i="2"/>
  <c r="R38" i="1"/>
  <c r="R45" i="11"/>
  <c r="M9" i="13"/>
  <c r="L9" i="13"/>
  <c r="G9" i="13"/>
  <c r="G42" i="12"/>
  <c r="C11" i="13" l="1"/>
  <c r="Q56" i="11"/>
  <c r="Q55" i="11"/>
  <c r="Q54" i="11"/>
  <c r="Q53" i="11"/>
  <c r="Q52" i="11"/>
  <c r="Q51" i="11"/>
  <c r="R41" i="11"/>
  <c r="R40" i="11"/>
  <c r="R39" i="11" s="1"/>
  <c r="V37" i="11"/>
  <c r="R26" i="1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25" i="11"/>
  <c r="R24" i="11"/>
  <c r="Y22" i="11"/>
  <c r="X22" i="11"/>
  <c r="U22" i="11"/>
  <c r="T22" i="11"/>
  <c r="S22" i="11"/>
  <c r="R22" i="11"/>
  <c r="P22" i="11"/>
  <c r="O22" i="11"/>
  <c r="X21" i="11"/>
  <c r="T21" i="11"/>
  <c r="V21" i="11" s="1"/>
  <c r="S21" i="11"/>
  <c r="Q22" i="11" s="1"/>
  <c r="R21" i="11"/>
  <c r="P21" i="11"/>
  <c r="O21" i="11"/>
  <c r="T20" i="11"/>
  <c r="Y20" i="11" s="1"/>
  <c r="S20" i="11"/>
  <c r="Q20" i="11" s="1"/>
  <c r="R20" i="11"/>
  <c r="P20" i="11"/>
  <c r="O20" i="11"/>
  <c r="X19" i="11"/>
  <c r="V19" i="11"/>
  <c r="U19" i="11"/>
  <c r="T19" i="11"/>
  <c r="Y19" i="11" s="1"/>
  <c r="S19" i="11"/>
  <c r="Q19" i="11" s="1"/>
  <c r="R19" i="11"/>
  <c r="P19" i="11"/>
  <c r="O19" i="11"/>
  <c r="Y18" i="11"/>
  <c r="X18" i="11"/>
  <c r="U18" i="11"/>
  <c r="T18" i="11"/>
  <c r="S18" i="11"/>
  <c r="R18" i="11"/>
  <c r="P18" i="11"/>
  <c r="V18" i="11" s="1"/>
  <c r="O18" i="11"/>
  <c r="Y17" i="11"/>
  <c r="X17" i="11"/>
  <c r="T17" i="11"/>
  <c r="V17" i="11" s="1"/>
  <c r="S17" i="11"/>
  <c r="Q18" i="11" s="1"/>
  <c r="R17" i="11"/>
  <c r="P17" i="11"/>
  <c r="O17" i="11"/>
  <c r="T16" i="11"/>
  <c r="Y16" i="11" s="1"/>
  <c r="S16" i="11"/>
  <c r="Q16" i="11" s="1"/>
  <c r="R16" i="11"/>
  <c r="P16" i="11"/>
  <c r="O16" i="11"/>
  <c r="X15" i="11"/>
  <c r="V15" i="11"/>
  <c r="U15" i="11"/>
  <c r="T15" i="11"/>
  <c r="Y15" i="11" s="1"/>
  <c r="S15" i="11"/>
  <c r="Q15" i="11" s="1"/>
  <c r="R15" i="11"/>
  <c r="P15" i="11"/>
  <c r="O15" i="11"/>
  <c r="Y14" i="11"/>
  <c r="X14" i="11"/>
  <c r="U14" i="11"/>
  <c r="T14" i="11"/>
  <c r="S14" i="11"/>
  <c r="R14" i="11"/>
  <c r="P14" i="11"/>
  <c r="V14" i="11" s="1"/>
  <c r="O14" i="11"/>
  <c r="Y13" i="11"/>
  <c r="X13" i="11"/>
  <c r="T13" i="11"/>
  <c r="V13" i="11" s="1"/>
  <c r="S13" i="11"/>
  <c r="Q14" i="11" s="1"/>
  <c r="R13" i="11"/>
  <c r="P13" i="11"/>
  <c r="O13" i="11"/>
  <c r="T12" i="11"/>
  <c r="Y12" i="11" s="1"/>
  <c r="S12" i="11"/>
  <c r="Q12" i="11" s="1"/>
  <c r="R12" i="11"/>
  <c r="P12" i="11"/>
  <c r="O12" i="11"/>
  <c r="X11" i="11"/>
  <c r="V11" i="11"/>
  <c r="U11" i="11"/>
  <c r="T11" i="11"/>
  <c r="Y11" i="11" s="1"/>
  <c r="S11" i="11"/>
  <c r="Q11" i="11" s="1"/>
  <c r="R11" i="11"/>
  <c r="P11" i="11"/>
  <c r="O11" i="11"/>
  <c r="Y10" i="11"/>
  <c r="X10" i="11"/>
  <c r="U10" i="11"/>
  <c r="T10" i="11"/>
  <c r="S10" i="11"/>
  <c r="R10" i="11"/>
  <c r="P10" i="11"/>
  <c r="V10" i="11" s="1"/>
  <c r="O10" i="11"/>
  <c r="Y9" i="11"/>
  <c r="X9" i="11"/>
  <c r="T9" i="11"/>
  <c r="V9" i="11" s="1"/>
  <c r="S9" i="11"/>
  <c r="Q10" i="11" s="1"/>
  <c r="R9" i="11"/>
  <c r="P9" i="11"/>
  <c r="O9" i="11"/>
  <c r="T8" i="11"/>
  <c r="Y8" i="11" s="1"/>
  <c r="S8" i="11"/>
  <c r="Q9" i="11" s="1"/>
  <c r="R8" i="11"/>
  <c r="P8" i="11"/>
  <c r="O8" i="11"/>
  <c r="T7" i="11"/>
  <c r="S7" i="11"/>
  <c r="R7" i="11"/>
  <c r="P7" i="11"/>
  <c r="O7" i="11"/>
  <c r="X6" i="11"/>
  <c r="V6" i="11"/>
  <c r="U6" i="11"/>
  <c r="T6" i="11"/>
  <c r="Y6" i="11" s="1"/>
  <c r="S6" i="11"/>
  <c r="R6" i="11"/>
  <c r="P6" i="11"/>
  <c r="O6" i="11"/>
  <c r="N23" i="11" l="1"/>
  <c r="R47" i="11"/>
  <c r="M23" i="11"/>
  <c r="R46" i="11"/>
  <c r="Q13" i="11"/>
  <c r="P23" i="11"/>
  <c r="Q21" i="11"/>
  <c r="Y7" i="11"/>
  <c r="X7" i="11"/>
  <c r="V7" i="11"/>
  <c r="U7" i="11"/>
  <c r="Q17" i="11"/>
  <c r="Y21" i="11"/>
  <c r="V22" i="11"/>
  <c r="U12" i="11"/>
  <c r="U16" i="11"/>
  <c r="V8" i="11"/>
  <c r="V12" i="11"/>
  <c r="V16" i="11"/>
  <c r="X8" i="11"/>
  <c r="U9" i="11"/>
  <c r="X12" i="11"/>
  <c r="U13" i="11"/>
  <c r="X16" i="11"/>
  <c r="U17" i="11"/>
  <c r="X20" i="11"/>
  <c r="U21" i="11"/>
  <c r="U8" i="11"/>
  <c r="U20" i="11"/>
  <c r="V20" i="11"/>
  <c r="N24" i="11" l="1"/>
  <c r="N25" i="11" s="1"/>
  <c r="N26" i="11" s="1"/>
  <c r="N27" i="11" s="1"/>
  <c r="N28" i="11" s="1"/>
  <c r="N29" i="11" s="1"/>
  <c r="N30" i="11" s="1"/>
  <c r="N31" i="11" s="1"/>
  <c r="P27" i="11"/>
  <c r="O23" i="11"/>
  <c r="W36" i="11"/>
  <c r="P24" i="11"/>
  <c r="O24" i="11" l="1"/>
  <c r="P28" i="11"/>
  <c r="P29" i="11" s="1"/>
  <c r="P30" i="11" s="1"/>
  <c r="P31" i="11" s="1"/>
  <c r="P32" i="11" s="1"/>
  <c r="P33" i="11" s="1"/>
  <c r="P34" i="11" s="1"/>
  <c r="P35" i="11" s="1"/>
  <c r="P36" i="11" s="1"/>
  <c r="S23" i="1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O25" i="11"/>
  <c r="O26" i="11" s="1"/>
  <c r="T23" i="11"/>
  <c r="P25" i="11"/>
  <c r="T24" i="11"/>
  <c r="F24" i="11" l="1"/>
  <c r="Q23" i="11"/>
  <c r="F23" i="11"/>
  <c r="Q24" i="11"/>
  <c r="U24" i="11"/>
  <c r="X24" i="11"/>
  <c r="Y24" i="11"/>
  <c r="P26" i="11"/>
  <c r="T25" i="11"/>
  <c r="Y23" i="11"/>
  <c r="X23" i="11"/>
  <c r="U23" i="11"/>
  <c r="Q25" i="11" l="1"/>
  <c r="F25" i="11"/>
  <c r="X25" i="11"/>
  <c r="U25" i="11"/>
  <c r="Y25" i="11"/>
  <c r="T26" i="11"/>
  <c r="F26" i="11"/>
  <c r="Q26" i="11" l="1"/>
  <c r="E10" i="13"/>
  <c r="T27" i="11"/>
  <c r="G27" i="11" s="1"/>
  <c r="U26" i="11"/>
  <c r="Y26" i="11"/>
  <c r="X26" i="11"/>
  <c r="Q27" i="11" l="1"/>
  <c r="F27" i="11"/>
  <c r="L10" i="13"/>
  <c r="H10" i="13"/>
  <c r="I10" i="13" s="1"/>
  <c r="Y27" i="11"/>
  <c r="X27" i="11"/>
  <c r="U27" i="11"/>
  <c r="T28" i="11"/>
  <c r="G28" i="11" s="1"/>
  <c r="Q28" i="11" l="1"/>
  <c r="F28" i="11"/>
  <c r="T29" i="11"/>
  <c r="G29" i="11" s="1"/>
  <c r="Y28" i="11"/>
  <c r="X28" i="11"/>
  <c r="U28" i="11"/>
  <c r="Q29" i="11" l="1"/>
  <c r="F29" i="11"/>
  <c r="T30" i="11"/>
  <c r="G30" i="11" s="1"/>
  <c r="U29" i="11"/>
  <c r="X29" i="11"/>
  <c r="Y29" i="11"/>
  <c r="Q56" i="6"/>
  <c r="Q55" i="6"/>
  <c r="Q54" i="6"/>
  <c r="Q53" i="6"/>
  <c r="Q52" i="6"/>
  <c r="Q51" i="6"/>
  <c r="R46" i="6"/>
  <c r="R41" i="6"/>
  <c r="R40" i="6"/>
  <c r="R39" i="6" s="1"/>
  <c r="V37" i="6"/>
  <c r="R24" i="6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Y22" i="6"/>
  <c r="X22" i="6"/>
  <c r="V22" i="6"/>
  <c r="T22" i="6"/>
  <c r="U22" i="6" s="1"/>
  <c r="S22" i="6"/>
  <c r="R45" i="6" s="1"/>
  <c r="R22" i="6"/>
  <c r="P22" i="6"/>
  <c r="O22" i="6"/>
  <c r="Y21" i="6"/>
  <c r="T21" i="6"/>
  <c r="X21" i="6" s="1"/>
  <c r="S21" i="6"/>
  <c r="Q22" i="6" s="1"/>
  <c r="R21" i="6"/>
  <c r="P21" i="6"/>
  <c r="O21" i="6"/>
  <c r="T20" i="6"/>
  <c r="S20" i="6"/>
  <c r="Q20" i="6" s="1"/>
  <c r="R20" i="6"/>
  <c r="P20" i="6"/>
  <c r="O20" i="6"/>
  <c r="T19" i="6"/>
  <c r="S19" i="6"/>
  <c r="R19" i="6"/>
  <c r="P19" i="6"/>
  <c r="O19" i="6"/>
  <c r="Y18" i="6"/>
  <c r="X18" i="6"/>
  <c r="U18" i="6"/>
  <c r="T18" i="6"/>
  <c r="S18" i="6"/>
  <c r="Q19" i="6" s="1"/>
  <c r="R18" i="6"/>
  <c r="P18" i="6"/>
  <c r="V18" i="6" s="1"/>
  <c r="O18" i="6"/>
  <c r="Y17" i="6"/>
  <c r="T17" i="6"/>
  <c r="X17" i="6" s="1"/>
  <c r="S17" i="6"/>
  <c r="Q18" i="6" s="1"/>
  <c r="R17" i="6"/>
  <c r="Q17" i="6"/>
  <c r="P17" i="6"/>
  <c r="O17" i="6"/>
  <c r="T16" i="6"/>
  <c r="S16" i="6"/>
  <c r="Q16" i="6" s="1"/>
  <c r="R16" i="6"/>
  <c r="P16" i="6"/>
  <c r="O16" i="6"/>
  <c r="T15" i="6"/>
  <c r="S15" i="6"/>
  <c r="R15" i="6"/>
  <c r="Q15" i="6"/>
  <c r="P15" i="6"/>
  <c r="O15" i="6"/>
  <c r="Y14" i="6"/>
  <c r="X14" i="6"/>
  <c r="V14" i="6"/>
  <c r="T14" i="6"/>
  <c r="U14" i="6" s="1"/>
  <c r="S14" i="6"/>
  <c r="R14" i="6"/>
  <c r="P14" i="6"/>
  <c r="O14" i="6"/>
  <c r="Y13" i="6"/>
  <c r="T13" i="6"/>
  <c r="X13" i="6" s="1"/>
  <c r="S13" i="6"/>
  <c r="Q14" i="6" s="1"/>
  <c r="R13" i="6"/>
  <c r="P13" i="6"/>
  <c r="O13" i="6"/>
  <c r="T12" i="6"/>
  <c r="S12" i="6"/>
  <c r="Q12" i="6" s="1"/>
  <c r="R12" i="6"/>
  <c r="P12" i="6"/>
  <c r="O12" i="6"/>
  <c r="T11" i="6"/>
  <c r="S11" i="6"/>
  <c r="R11" i="6"/>
  <c r="P11" i="6"/>
  <c r="O11" i="6"/>
  <c r="Y10" i="6"/>
  <c r="X10" i="6"/>
  <c r="T10" i="6"/>
  <c r="U10" i="6" s="1"/>
  <c r="S10" i="6"/>
  <c r="Q11" i="6" s="1"/>
  <c r="R10" i="6"/>
  <c r="P10" i="6"/>
  <c r="V10" i="6" s="1"/>
  <c r="O10" i="6"/>
  <c r="Y9" i="6"/>
  <c r="T9" i="6"/>
  <c r="X9" i="6" s="1"/>
  <c r="S9" i="6"/>
  <c r="Q10" i="6" s="1"/>
  <c r="R9" i="6"/>
  <c r="P9" i="6"/>
  <c r="O9" i="6"/>
  <c r="T8" i="6"/>
  <c r="S8" i="6"/>
  <c r="Q9" i="6" s="1"/>
  <c r="R8" i="6"/>
  <c r="P8" i="6"/>
  <c r="O8" i="6"/>
  <c r="T7" i="6"/>
  <c r="S7" i="6"/>
  <c r="R7" i="6"/>
  <c r="P7" i="6"/>
  <c r="O7" i="6"/>
  <c r="T6" i="6"/>
  <c r="V6" i="6" s="1"/>
  <c r="S6" i="6"/>
  <c r="R6" i="6"/>
  <c r="P6" i="6"/>
  <c r="O6" i="6"/>
  <c r="Q56" i="5"/>
  <c r="Q55" i="5"/>
  <c r="Q54" i="5"/>
  <c r="Q53" i="5"/>
  <c r="Q52" i="5"/>
  <c r="Q51" i="5"/>
  <c r="R40" i="5"/>
  <c r="R39" i="5" s="1"/>
  <c r="R41" i="5"/>
  <c r="V37" i="5"/>
  <c r="R24" i="5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Y22" i="5"/>
  <c r="X22" i="5"/>
  <c r="T22" i="5"/>
  <c r="U22" i="5" s="1"/>
  <c r="S22" i="5"/>
  <c r="R22" i="5"/>
  <c r="P22" i="5"/>
  <c r="V22" i="5" s="1"/>
  <c r="O22" i="5"/>
  <c r="Y21" i="5"/>
  <c r="T21" i="5"/>
  <c r="X21" i="5" s="1"/>
  <c r="S21" i="5"/>
  <c r="Q22" i="5" s="1"/>
  <c r="R21" i="5"/>
  <c r="Q21" i="5"/>
  <c r="P21" i="5"/>
  <c r="O21" i="5"/>
  <c r="U20" i="5"/>
  <c r="T20" i="5"/>
  <c r="S20" i="5"/>
  <c r="Q20" i="5" s="1"/>
  <c r="R20" i="5"/>
  <c r="P20" i="5"/>
  <c r="O20" i="5"/>
  <c r="X19" i="5"/>
  <c r="V19" i="5"/>
  <c r="U19" i="5"/>
  <c r="T19" i="5"/>
  <c r="Y19" i="5" s="1"/>
  <c r="S19" i="5"/>
  <c r="R19" i="5"/>
  <c r="P19" i="5"/>
  <c r="O19" i="5"/>
  <c r="Y18" i="5"/>
  <c r="X18" i="5"/>
  <c r="T18" i="5"/>
  <c r="U18" i="5" s="1"/>
  <c r="S18" i="5"/>
  <c r="Q19" i="5" s="1"/>
  <c r="R18" i="5"/>
  <c r="Q18" i="5"/>
  <c r="P18" i="5"/>
  <c r="V18" i="5" s="1"/>
  <c r="O18" i="5"/>
  <c r="Y17" i="5"/>
  <c r="T17" i="5"/>
  <c r="X17" i="5" s="1"/>
  <c r="S17" i="5"/>
  <c r="R17" i="5"/>
  <c r="P17" i="5"/>
  <c r="O17" i="5"/>
  <c r="T16" i="5"/>
  <c r="S16" i="5"/>
  <c r="Q16" i="5" s="1"/>
  <c r="R16" i="5"/>
  <c r="P16" i="5"/>
  <c r="O16" i="5"/>
  <c r="X15" i="5"/>
  <c r="V15" i="5"/>
  <c r="T15" i="5"/>
  <c r="Y15" i="5" s="1"/>
  <c r="S15" i="5"/>
  <c r="R15" i="5"/>
  <c r="P15" i="5"/>
  <c r="O15" i="5"/>
  <c r="Y14" i="5"/>
  <c r="X14" i="5"/>
  <c r="T14" i="5"/>
  <c r="U14" i="5" s="1"/>
  <c r="S14" i="5"/>
  <c r="Q15" i="5" s="1"/>
  <c r="R14" i="5"/>
  <c r="P14" i="5"/>
  <c r="V14" i="5" s="1"/>
  <c r="O14" i="5"/>
  <c r="Y13" i="5"/>
  <c r="T13" i="5"/>
  <c r="X13" i="5" s="1"/>
  <c r="S13" i="5"/>
  <c r="Q13" i="5" s="1"/>
  <c r="R13" i="5"/>
  <c r="P13" i="5"/>
  <c r="O13" i="5"/>
  <c r="T12" i="5"/>
  <c r="S12" i="5"/>
  <c r="Q12" i="5" s="1"/>
  <c r="R12" i="5"/>
  <c r="P12" i="5"/>
  <c r="O12" i="5"/>
  <c r="T11" i="5"/>
  <c r="Y11" i="5" s="1"/>
  <c r="S11" i="5"/>
  <c r="R11" i="5"/>
  <c r="P11" i="5"/>
  <c r="O11" i="5"/>
  <c r="Y10" i="5"/>
  <c r="X10" i="5"/>
  <c r="V10" i="5"/>
  <c r="T10" i="5"/>
  <c r="U10" i="5" s="1"/>
  <c r="S10" i="5"/>
  <c r="Q11" i="5" s="1"/>
  <c r="R10" i="5"/>
  <c r="P10" i="5"/>
  <c r="O10" i="5"/>
  <c r="Y9" i="5"/>
  <c r="T9" i="5"/>
  <c r="X9" i="5" s="1"/>
  <c r="S9" i="5"/>
  <c r="Q9" i="5" s="1"/>
  <c r="R9" i="5"/>
  <c r="P9" i="5"/>
  <c r="O9" i="5"/>
  <c r="T8" i="5"/>
  <c r="S8" i="5"/>
  <c r="R8" i="5"/>
  <c r="P8" i="5"/>
  <c r="O8" i="5"/>
  <c r="V7" i="5"/>
  <c r="T7" i="5"/>
  <c r="S7" i="5"/>
  <c r="R7" i="5"/>
  <c r="P7" i="5"/>
  <c r="O7" i="5"/>
  <c r="X6" i="5"/>
  <c r="V6" i="5"/>
  <c r="T6" i="5"/>
  <c r="Y6" i="5" s="1"/>
  <c r="S6" i="5"/>
  <c r="R6" i="5"/>
  <c r="P6" i="5"/>
  <c r="O6" i="5"/>
  <c r="W36" i="4"/>
  <c r="R46" i="4"/>
  <c r="R41" i="4"/>
  <c r="M23" i="4"/>
  <c r="Q56" i="4"/>
  <c r="Q55" i="4"/>
  <c r="Q54" i="4"/>
  <c r="Q53" i="4"/>
  <c r="Q52" i="4"/>
  <c r="Q51" i="4"/>
  <c r="R45" i="4"/>
  <c r="R40" i="4"/>
  <c r="R39" i="4" s="1"/>
  <c r="V37" i="4"/>
  <c r="R25" i="4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24" i="4"/>
  <c r="V22" i="4"/>
  <c r="U22" i="4"/>
  <c r="T22" i="4"/>
  <c r="S22" i="4"/>
  <c r="R22" i="4"/>
  <c r="Q22" i="4"/>
  <c r="P22" i="4"/>
  <c r="O22" i="4"/>
  <c r="T21" i="4"/>
  <c r="V21" i="4" s="1"/>
  <c r="S21" i="4"/>
  <c r="R21" i="4"/>
  <c r="Q21" i="4"/>
  <c r="P21" i="4"/>
  <c r="O21" i="4"/>
  <c r="T20" i="4"/>
  <c r="S20" i="4"/>
  <c r="R20" i="4"/>
  <c r="Q20" i="4"/>
  <c r="P20" i="4"/>
  <c r="O20" i="4"/>
  <c r="T19" i="4"/>
  <c r="S19" i="4"/>
  <c r="Q19" i="4" s="1"/>
  <c r="R19" i="4"/>
  <c r="P19" i="4"/>
  <c r="O19" i="4"/>
  <c r="V18" i="4"/>
  <c r="U18" i="4"/>
  <c r="T18" i="4"/>
  <c r="S18" i="4"/>
  <c r="R18" i="4"/>
  <c r="P18" i="4"/>
  <c r="O18" i="4"/>
  <c r="T17" i="4"/>
  <c r="V17" i="4" s="1"/>
  <c r="S17" i="4"/>
  <c r="Q18" i="4" s="1"/>
  <c r="R17" i="4"/>
  <c r="P17" i="4"/>
  <c r="O17" i="4"/>
  <c r="T16" i="4"/>
  <c r="S16" i="4"/>
  <c r="R16" i="4"/>
  <c r="Q16" i="4"/>
  <c r="P16" i="4"/>
  <c r="O16" i="4"/>
  <c r="T15" i="4"/>
  <c r="S15" i="4"/>
  <c r="Q15" i="4" s="1"/>
  <c r="R15" i="4"/>
  <c r="P15" i="4"/>
  <c r="O15" i="4"/>
  <c r="V14" i="4"/>
  <c r="U14" i="4"/>
  <c r="T14" i="4"/>
  <c r="S14" i="4"/>
  <c r="R14" i="4"/>
  <c r="P14" i="4"/>
  <c r="O14" i="4"/>
  <c r="T13" i="4"/>
  <c r="V13" i="4" s="1"/>
  <c r="S13" i="4"/>
  <c r="Q14" i="4" s="1"/>
  <c r="R13" i="4"/>
  <c r="P13" i="4"/>
  <c r="O13" i="4"/>
  <c r="T12" i="4"/>
  <c r="S12" i="4"/>
  <c r="Q12" i="4" s="1"/>
  <c r="R12" i="4"/>
  <c r="P12" i="4"/>
  <c r="O12" i="4"/>
  <c r="T11" i="4"/>
  <c r="S11" i="4"/>
  <c r="Q11" i="4" s="1"/>
  <c r="R11" i="4"/>
  <c r="P11" i="4"/>
  <c r="O11" i="4"/>
  <c r="V10" i="4"/>
  <c r="U10" i="4"/>
  <c r="T10" i="4"/>
  <c r="S10" i="4"/>
  <c r="R10" i="4"/>
  <c r="Q10" i="4"/>
  <c r="P10" i="4"/>
  <c r="O10" i="4"/>
  <c r="T9" i="4"/>
  <c r="S9" i="4"/>
  <c r="R9" i="4"/>
  <c r="Q9" i="4"/>
  <c r="P9" i="4"/>
  <c r="O9" i="4"/>
  <c r="V8" i="4"/>
  <c r="U8" i="4"/>
  <c r="T8" i="4"/>
  <c r="S8" i="4"/>
  <c r="R8" i="4"/>
  <c r="P8" i="4"/>
  <c r="O8" i="4"/>
  <c r="V7" i="4"/>
  <c r="U7" i="4"/>
  <c r="T7" i="4"/>
  <c r="S7" i="4"/>
  <c r="R7" i="4"/>
  <c r="P7" i="4"/>
  <c r="O7" i="4"/>
  <c r="V6" i="4"/>
  <c r="T6" i="4"/>
  <c r="U6" i="4" s="1"/>
  <c r="S6" i="4"/>
  <c r="R6" i="4"/>
  <c r="P6" i="4"/>
  <c r="O6" i="4"/>
  <c r="W36" i="3"/>
  <c r="Q56" i="3"/>
  <c r="Q55" i="3"/>
  <c r="Q54" i="3"/>
  <c r="Q53" i="3"/>
  <c r="Q52" i="3"/>
  <c r="Q51" i="3"/>
  <c r="V37" i="3"/>
  <c r="R24" i="3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Y22" i="3"/>
  <c r="X22" i="3"/>
  <c r="U22" i="3"/>
  <c r="T22" i="3"/>
  <c r="S22" i="3"/>
  <c r="R45" i="3" s="1"/>
  <c r="R22" i="3"/>
  <c r="P22" i="3"/>
  <c r="O22" i="3"/>
  <c r="R46" i="3" s="1"/>
  <c r="T21" i="3"/>
  <c r="Y21" i="3" s="1"/>
  <c r="S21" i="3"/>
  <c r="Q22" i="3" s="1"/>
  <c r="R21" i="3"/>
  <c r="P21" i="3"/>
  <c r="O21" i="3"/>
  <c r="T20" i="3"/>
  <c r="S20" i="3"/>
  <c r="Q20" i="3" s="1"/>
  <c r="R20" i="3"/>
  <c r="P20" i="3"/>
  <c r="O20" i="3"/>
  <c r="Y19" i="3"/>
  <c r="X19" i="3"/>
  <c r="V19" i="3"/>
  <c r="U19" i="3"/>
  <c r="T19" i="3"/>
  <c r="S19" i="3"/>
  <c r="R19" i="3"/>
  <c r="P19" i="3"/>
  <c r="O19" i="3"/>
  <c r="Y18" i="3"/>
  <c r="X18" i="3"/>
  <c r="U18" i="3"/>
  <c r="T18" i="3"/>
  <c r="S18" i="3"/>
  <c r="Q19" i="3" s="1"/>
  <c r="R18" i="3"/>
  <c r="P18" i="3"/>
  <c r="V18" i="3" s="1"/>
  <c r="O18" i="3"/>
  <c r="T17" i="3"/>
  <c r="Y17" i="3" s="1"/>
  <c r="S17" i="3"/>
  <c r="Q18" i="3" s="1"/>
  <c r="R17" i="3"/>
  <c r="Q17" i="3"/>
  <c r="P17" i="3"/>
  <c r="O17" i="3"/>
  <c r="T16" i="3"/>
  <c r="S16" i="3"/>
  <c r="Q16" i="3" s="1"/>
  <c r="R16" i="3"/>
  <c r="P16" i="3"/>
  <c r="O16" i="3"/>
  <c r="Y15" i="3"/>
  <c r="X15" i="3"/>
  <c r="V15" i="3"/>
  <c r="U15" i="3"/>
  <c r="T15" i="3"/>
  <c r="S15" i="3"/>
  <c r="R15" i="3"/>
  <c r="P15" i="3"/>
  <c r="O15" i="3"/>
  <c r="Y14" i="3"/>
  <c r="X14" i="3"/>
  <c r="U14" i="3"/>
  <c r="T14" i="3"/>
  <c r="S14" i="3"/>
  <c r="Q15" i="3" s="1"/>
  <c r="R14" i="3"/>
  <c r="P14" i="3"/>
  <c r="V14" i="3" s="1"/>
  <c r="O14" i="3"/>
  <c r="T13" i="3"/>
  <c r="Y13" i="3" s="1"/>
  <c r="S13" i="3"/>
  <c r="Q14" i="3" s="1"/>
  <c r="R13" i="3"/>
  <c r="P13" i="3"/>
  <c r="O13" i="3"/>
  <c r="T12" i="3"/>
  <c r="S12" i="3"/>
  <c r="Q12" i="3" s="1"/>
  <c r="R12" i="3"/>
  <c r="P12" i="3"/>
  <c r="O12" i="3"/>
  <c r="Y11" i="3"/>
  <c r="X11" i="3"/>
  <c r="V11" i="3"/>
  <c r="U11" i="3"/>
  <c r="T11" i="3"/>
  <c r="S11" i="3"/>
  <c r="R11" i="3"/>
  <c r="Q11" i="3"/>
  <c r="P11" i="3"/>
  <c r="O11" i="3"/>
  <c r="Y10" i="3"/>
  <c r="X10" i="3"/>
  <c r="U10" i="3"/>
  <c r="T10" i="3"/>
  <c r="S10" i="3"/>
  <c r="R10" i="3"/>
  <c r="P10" i="3"/>
  <c r="V10" i="3" s="1"/>
  <c r="O10" i="3"/>
  <c r="T9" i="3"/>
  <c r="Y9" i="3" s="1"/>
  <c r="S9" i="3"/>
  <c r="Q10" i="3" s="1"/>
  <c r="R9" i="3"/>
  <c r="Q9" i="3"/>
  <c r="P9" i="3"/>
  <c r="O9" i="3"/>
  <c r="T8" i="3"/>
  <c r="S8" i="3"/>
  <c r="R8" i="3"/>
  <c r="P8" i="3"/>
  <c r="O8" i="3"/>
  <c r="U7" i="3"/>
  <c r="T7" i="3"/>
  <c r="S7" i="3"/>
  <c r="R7" i="3"/>
  <c r="P7" i="3"/>
  <c r="O7" i="3"/>
  <c r="Y6" i="3"/>
  <c r="X6" i="3"/>
  <c r="V6" i="3"/>
  <c r="U6" i="3"/>
  <c r="T6" i="3"/>
  <c r="S6" i="3"/>
  <c r="R6" i="3"/>
  <c r="P6" i="3"/>
  <c r="O6" i="3"/>
  <c r="R45" i="2"/>
  <c r="R46" i="2"/>
  <c r="W36" i="2"/>
  <c r="O16" i="2"/>
  <c r="Q56" i="2"/>
  <c r="Q55" i="2"/>
  <c r="Q54" i="2"/>
  <c r="Q53" i="2"/>
  <c r="Q52" i="2"/>
  <c r="Q51" i="2"/>
  <c r="V37" i="2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Y22" i="2"/>
  <c r="X22" i="2"/>
  <c r="T22" i="2"/>
  <c r="V22" i="2" s="1"/>
  <c r="S22" i="2"/>
  <c r="R22" i="2"/>
  <c r="P22" i="2"/>
  <c r="O22" i="2"/>
  <c r="X21" i="2"/>
  <c r="V21" i="2"/>
  <c r="T21" i="2"/>
  <c r="Y21" i="2" s="1"/>
  <c r="S21" i="2"/>
  <c r="Q22" i="2" s="1"/>
  <c r="R21" i="2"/>
  <c r="P21" i="2"/>
  <c r="O21" i="2"/>
  <c r="T20" i="2"/>
  <c r="S20" i="2"/>
  <c r="Q20" i="2" s="1"/>
  <c r="R20" i="2"/>
  <c r="P20" i="2"/>
  <c r="O20" i="2"/>
  <c r="Y19" i="2"/>
  <c r="X19" i="2"/>
  <c r="V19" i="2"/>
  <c r="U19" i="2"/>
  <c r="T19" i="2"/>
  <c r="S19" i="2"/>
  <c r="Q19" i="2" s="1"/>
  <c r="R19" i="2"/>
  <c r="P19" i="2"/>
  <c r="O19" i="2"/>
  <c r="Y18" i="2"/>
  <c r="X18" i="2"/>
  <c r="T18" i="2"/>
  <c r="S18" i="2"/>
  <c r="R18" i="2"/>
  <c r="P18" i="2"/>
  <c r="O18" i="2"/>
  <c r="X17" i="2"/>
  <c r="V17" i="2"/>
  <c r="T17" i="2"/>
  <c r="Y17" i="2" s="1"/>
  <c r="S17" i="2"/>
  <c r="Q18" i="2" s="1"/>
  <c r="R17" i="2"/>
  <c r="Q17" i="2"/>
  <c r="P17" i="2"/>
  <c r="O17" i="2"/>
  <c r="T16" i="2"/>
  <c r="S16" i="2"/>
  <c r="Q16" i="2" s="1"/>
  <c r="R16" i="2"/>
  <c r="P16" i="2"/>
  <c r="Y15" i="2"/>
  <c r="X15" i="2"/>
  <c r="V15" i="2"/>
  <c r="U15" i="2"/>
  <c r="T15" i="2"/>
  <c r="S15" i="2"/>
  <c r="Q15" i="2" s="1"/>
  <c r="R15" i="2"/>
  <c r="P15" i="2"/>
  <c r="O15" i="2"/>
  <c r="Y14" i="2"/>
  <c r="X14" i="2"/>
  <c r="T14" i="2"/>
  <c r="S14" i="2"/>
  <c r="R14" i="2"/>
  <c r="P14" i="2"/>
  <c r="O14" i="2"/>
  <c r="X13" i="2"/>
  <c r="V13" i="2"/>
  <c r="T13" i="2"/>
  <c r="Y13" i="2" s="1"/>
  <c r="S13" i="2"/>
  <c r="Q14" i="2" s="1"/>
  <c r="R13" i="2"/>
  <c r="P13" i="2"/>
  <c r="O13" i="2"/>
  <c r="T12" i="2"/>
  <c r="S12" i="2"/>
  <c r="Q12" i="2" s="1"/>
  <c r="R12" i="2"/>
  <c r="P12" i="2"/>
  <c r="O12" i="2"/>
  <c r="Y11" i="2"/>
  <c r="X11" i="2"/>
  <c r="V11" i="2"/>
  <c r="U11" i="2"/>
  <c r="T11" i="2"/>
  <c r="S11" i="2"/>
  <c r="Q11" i="2" s="1"/>
  <c r="R11" i="2"/>
  <c r="P11" i="2"/>
  <c r="O11" i="2"/>
  <c r="T10" i="2"/>
  <c r="S10" i="2"/>
  <c r="R10" i="2"/>
  <c r="P10" i="2"/>
  <c r="O10" i="2"/>
  <c r="X9" i="2"/>
  <c r="V9" i="2"/>
  <c r="T9" i="2"/>
  <c r="Y9" i="2" s="1"/>
  <c r="S9" i="2"/>
  <c r="Q10" i="2" s="1"/>
  <c r="R9" i="2"/>
  <c r="P9" i="2"/>
  <c r="O9" i="2"/>
  <c r="T8" i="2"/>
  <c r="S8" i="2"/>
  <c r="R8" i="2"/>
  <c r="P8" i="2"/>
  <c r="O8" i="2"/>
  <c r="T7" i="2"/>
  <c r="V7" i="2" s="1"/>
  <c r="S7" i="2"/>
  <c r="R7" i="2"/>
  <c r="P7" i="2"/>
  <c r="O7" i="2"/>
  <c r="Y6" i="2"/>
  <c r="X6" i="2"/>
  <c r="V6" i="2"/>
  <c r="U6" i="2"/>
  <c r="T6" i="2"/>
  <c r="S6" i="2"/>
  <c r="R6" i="2"/>
  <c r="P6" i="2"/>
  <c r="O6" i="2"/>
  <c r="V37" i="1"/>
  <c r="Y24" i="1"/>
  <c r="Y25" i="1"/>
  <c r="T24" i="1"/>
  <c r="G24" i="1" s="1"/>
  <c r="T25" i="1"/>
  <c r="G25" i="1" s="1"/>
  <c r="T26" i="1"/>
  <c r="G26" i="1" s="1"/>
  <c r="T23" i="1"/>
  <c r="G23" i="1" s="1"/>
  <c r="W36" i="1"/>
  <c r="P23" i="1"/>
  <c r="R40" i="1"/>
  <c r="R39" i="1" s="1"/>
  <c r="R41" i="1"/>
  <c r="R46" i="1"/>
  <c r="R45" i="1"/>
  <c r="P24" i="1"/>
  <c r="P25" i="1" s="1"/>
  <c r="Y22" i="1"/>
  <c r="V21" i="1"/>
  <c r="Q30" i="11" l="1"/>
  <c r="F30" i="11"/>
  <c r="Y23" i="1"/>
  <c r="X23" i="1"/>
  <c r="X24" i="1"/>
  <c r="X25" i="1"/>
  <c r="X26" i="1"/>
  <c r="Y26" i="1"/>
  <c r="N23" i="1"/>
  <c r="R47" i="1"/>
  <c r="Y30" i="11"/>
  <c r="X30" i="11"/>
  <c r="U30" i="11"/>
  <c r="T31" i="11"/>
  <c r="G31" i="11" s="1"/>
  <c r="N23" i="6"/>
  <c r="R47" i="6"/>
  <c r="Y16" i="6"/>
  <c r="X16" i="6"/>
  <c r="V16" i="6"/>
  <c r="U16" i="6"/>
  <c r="Y15" i="6"/>
  <c r="X15" i="6"/>
  <c r="W36" i="6"/>
  <c r="U15" i="6"/>
  <c r="Y7" i="6"/>
  <c r="V7" i="6"/>
  <c r="X7" i="6"/>
  <c r="M23" i="6"/>
  <c r="X8" i="6"/>
  <c r="Y8" i="6"/>
  <c r="V8" i="6"/>
  <c r="U8" i="6"/>
  <c r="U7" i="6"/>
  <c r="V12" i="6"/>
  <c r="Y12" i="6"/>
  <c r="X12" i="6"/>
  <c r="U12" i="6"/>
  <c r="X20" i="6"/>
  <c r="U20" i="6"/>
  <c r="Y20" i="6"/>
  <c r="V20" i="6"/>
  <c r="U6" i="6"/>
  <c r="Y11" i="6"/>
  <c r="X11" i="6"/>
  <c r="Y19" i="6"/>
  <c r="X19" i="6"/>
  <c r="P23" i="6"/>
  <c r="U11" i="6"/>
  <c r="U19" i="6"/>
  <c r="V15" i="6"/>
  <c r="Y6" i="6"/>
  <c r="X6" i="6"/>
  <c r="V11" i="6"/>
  <c r="Q13" i="6"/>
  <c r="V19" i="6"/>
  <c r="Q21" i="6"/>
  <c r="U13" i="6"/>
  <c r="V9" i="6"/>
  <c r="V13" i="6"/>
  <c r="V17" i="6"/>
  <c r="V21" i="6"/>
  <c r="U9" i="6"/>
  <c r="U17" i="6"/>
  <c r="U21" i="6"/>
  <c r="N23" i="5"/>
  <c r="R47" i="5"/>
  <c r="W36" i="5"/>
  <c r="X12" i="5"/>
  <c r="V12" i="5"/>
  <c r="Y12" i="5"/>
  <c r="R46" i="5"/>
  <c r="U11" i="5"/>
  <c r="U12" i="5"/>
  <c r="X8" i="5"/>
  <c r="Y8" i="5"/>
  <c r="V8" i="5"/>
  <c r="V11" i="5"/>
  <c r="Q17" i="5"/>
  <c r="Y7" i="5"/>
  <c r="X7" i="5"/>
  <c r="U8" i="5"/>
  <c r="X11" i="5"/>
  <c r="Q14" i="5"/>
  <c r="U6" i="5"/>
  <c r="U7" i="5"/>
  <c r="X20" i="5"/>
  <c r="Y20" i="5"/>
  <c r="V20" i="5"/>
  <c r="Q10" i="5"/>
  <c r="X16" i="5"/>
  <c r="V16" i="5"/>
  <c r="Y16" i="5"/>
  <c r="U15" i="5"/>
  <c r="U16" i="5"/>
  <c r="U9" i="5"/>
  <c r="U21" i="5"/>
  <c r="V9" i="5"/>
  <c r="V13" i="5"/>
  <c r="V17" i="5"/>
  <c r="V21" i="5"/>
  <c r="U13" i="5"/>
  <c r="U17" i="5"/>
  <c r="N23" i="4"/>
  <c r="R47" i="4"/>
  <c r="U11" i="4"/>
  <c r="V11" i="4"/>
  <c r="V12" i="4"/>
  <c r="U12" i="4"/>
  <c r="U15" i="4"/>
  <c r="V16" i="4"/>
  <c r="V15" i="4"/>
  <c r="U16" i="4"/>
  <c r="U19" i="4"/>
  <c r="V20" i="4"/>
  <c r="V19" i="4"/>
  <c r="U20" i="4"/>
  <c r="Q13" i="4"/>
  <c r="V9" i="4"/>
  <c r="U9" i="4"/>
  <c r="Q17" i="4"/>
  <c r="P23" i="4"/>
  <c r="U13" i="4"/>
  <c r="U17" i="4"/>
  <c r="U21" i="4"/>
  <c r="V8" i="3"/>
  <c r="X8" i="3"/>
  <c r="U8" i="3"/>
  <c r="Y8" i="3"/>
  <c r="Q13" i="3"/>
  <c r="Q21" i="3"/>
  <c r="V12" i="3"/>
  <c r="U12" i="3"/>
  <c r="Y12" i="3"/>
  <c r="X12" i="3"/>
  <c r="U16" i="3"/>
  <c r="Y16" i="3"/>
  <c r="X16" i="3"/>
  <c r="V16" i="3"/>
  <c r="M23" i="3"/>
  <c r="Y20" i="3"/>
  <c r="X20" i="3"/>
  <c r="V20" i="3"/>
  <c r="U20" i="3"/>
  <c r="V22" i="3"/>
  <c r="P23" i="3"/>
  <c r="Y7" i="3"/>
  <c r="X7" i="3"/>
  <c r="V7" i="3"/>
  <c r="U9" i="3"/>
  <c r="U17" i="3"/>
  <c r="U21" i="3"/>
  <c r="R41" i="3"/>
  <c r="R40" i="3" s="1"/>
  <c r="R39" i="3" s="1"/>
  <c r="V9" i="3"/>
  <c r="V13" i="3"/>
  <c r="V17" i="3"/>
  <c r="V21" i="3"/>
  <c r="U13" i="3"/>
  <c r="X9" i="3"/>
  <c r="X13" i="3"/>
  <c r="X17" i="3"/>
  <c r="X21" i="3"/>
  <c r="V10" i="2"/>
  <c r="U10" i="2"/>
  <c r="X10" i="2"/>
  <c r="U7" i="2"/>
  <c r="V18" i="2"/>
  <c r="Y20" i="2"/>
  <c r="X20" i="2"/>
  <c r="V20" i="2"/>
  <c r="U20" i="2"/>
  <c r="M23" i="2"/>
  <c r="P23" i="2"/>
  <c r="X12" i="2"/>
  <c r="V12" i="2"/>
  <c r="U12" i="2"/>
  <c r="X8" i="2"/>
  <c r="V8" i="2"/>
  <c r="Y12" i="2"/>
  <c r="Y7" i="2"/>
  <c r="X7" i="2"/>
  <c r="U8" i="2"/>
  <c r="Y10" i="2"/>
  <c r="Y8" i="2"/>
  <c r="Q13" i="2"/>
  <c r="Q9" i="2"/>
  <c r="V14" i="2"/>
  <c r="Y16" i="2"/>
  <c r="X16" i="2"/>
  <c r="V16" i="2"/>
  <c r="U16" i="2"/>
  <c r="Q21" i="2"/>
  <c r="U9" i="2"/>
  <c r="U13" i="2"/>
  <c r="U17" i="2"/>
  <c r="U21" i="2"/>
  <c r="R41" i="2"/>
  <c r="R40" i="2" s="1"/>
  <c r="R39" i="2" s="1"/>
  <c r="U14" i="2"/>
  <c r="U18" i="2"/>
  <c r="U22" i="2"/>
  <c r="V6" i="1"/>
  <c r="T7" i="1"/>
  <c r="T8" i="1"/>
  <c r="T9" i="1"/>
  <c r="T10" i="1"/>
  <c r="T11" i="1"/>
  <c r="X11" i="1" s="1"/>
  <c r="T12" i="1"/>
  <c r="T13" i="1"/>
  <c r="X13" i="1" s="1"/>
  <c r="T14" i="1"/>
  <c r="Y14" i="1" s="1"/>
  <c r="T15" i="1"/>
  <c r="T16" i="1"/>
  <c r="T17" i="1"/>
  <c r="T18" i="1"/>
  <c r="T19" i="1"/>
  <c r="U19" i="1" s="1"/>
  <c r="T20" i="1"/>
  <c r="T21" i="1"/>
  <c r="X21" i="1" s="1"/>
  <c r="T6" i="1"/>
  <c r="S7" i="1"/>
  <c r="S8" i="1"/>
  <c r="S9" i="1"/>
  <c r="S10" i="1"/>
  <c r="S11" i="1"/>
  <c r="Q11" i="1" s="1"/>
  <c r="S12" i="1"/>
  <c r="S13" i="1"/>
  <c r="S14" i="1"/>
  <c r="S15" i="1"/>
  <c r="S16" i="1"/>
  <c r="S17" i="1"/>
  <c r="S18" i="1"/>
  <c r="S19" i="1"/>
  <c r="S20" i="1"/>
  <c r="S21" i="1"/>
  <c r="S22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6" i="1"/>
  <c r="O12" i="1"/>
  <c r="O11" i="1"/>
  <c r="O10" i="1"/>
  <c r="O9" i="1"/>
  <c r="O8" i="1"/>
  <c r="O7" i="1"/>
  <c r="O6" i="1"/>
  <c r="O13" i="1"/>
  <c r="O14" i="1"/>
  <c r="O15" i="1"/>
  <c r="O16" i="1"/>
  <c r="O17" i="1"/>
  <c r="O18" i="1"/>
  <c r="O19" i="1"/>
  <c r="O20" i="1"/>
  <c r="O21" i="1"/>
  <c r="O22" i="1"/>
  <c r="Q56" i="1"/>
  <c r="Q55" i="1"/>
  <c r="Q54" i="1"/>
  <c r="Q53" i="1"/>
  <c r="Q52" i="1"/>
  <c r="Q51" i="1"/>
  <c r="Y18" i="1"/>
  <c r="Y16" i="1"/>
  <c r="V14" i="1"/>
  <c r="V11" i="1"/>
  <c r="Y10" i="1"/>
  <c r="Y8" i="1"/>
  <c r="Y7" i="1"/>
  <c r="U6" i="1"/>
  <c r="N24" i="6" l="1"/>
  <c r="N25" i="6" s="1"/>
  <c r="N26" i="6" s="1"/>
  <c r="N27" i="6" s="1"/>
  <c r="N28" i="6" s="1"/>
  <c r="N29" i="6" s="1"/>
  <c r="N30" i="6" s="1"/>
  <c r="N31" i="6" s="1"/>
  <c r="P27" i="6"/>
  <c r="O23" i="1"/>
  <c r="S23" i="1" s="1"/>
  <c r="P27" i="1"/>
  <c r="N24" i="5"/>
  <c r="N25" i="5" s="1"/>
  <c r="N26" i="5" s="1"/>
  <c r="N27" i="5" s="1"/>
  <c r="N28" i="5" s="1"/>
  <c r="N29" i="5" s="1"/>
  <c r="N30" i="5" s="1"/>
  <c r="N31" i="5" s="1"/>
  <c r="P27" i="5"/>
  <c r="N24" i="4"/>
  <c r="N25" i="4" s="1"/>
  <c r="N26" i="4" s="1"/>
  <c r="N27" i="4" s="1"/>
  <c r="N28" i="4" s="1"/>
  <c r="N29" i="4" s="1"/>
  <c r="N30" i="4" s="1"/>
  <c r="N31" i="4" s="1"/>
  <c r="P27" i="4"/>
  <c r="Q31" i="11"/>
  <c r="F31" i="11"/>
  <c r="O23" i="6"/>
  <c r="O23" i="4"/>
  <c r="S23" i="4" s="1"/>
  <c r="X31" i="11"/>
  <c r="U31" i="11"/>
  <c r="Y31" i="11"/>
  <c r="T32" i="11"/>
  <c r="G32" i="11" s="1"/>
  <c r="P24" i="6"/>
  <c r="T23" i="6"/>
  <c r="G23" i="6" s="1"/>
  <c r="O23" i="5"/>
  <c r="P23" i="5"/>
  <c r="T23" i="4"/>
  <c r="P24" i="4"/>
  <c r="P24" i="3"/>
  <c r="N23" i="3"/>
  <c r="R47" i="3"/>
  <c r="N23" i="2"/>
  <c r="R47" i="2"/>
  <c r="T23" i="2"/>
  <c r="G23" i="2" s="1"/>
  <c r="P24" i="2"/>
  <c r="Y11" i="1"/>
  <c r="U11" i="1"/>
  <c r="Q17" i="1"/>
  <c r="Q13" i="1"/>
  <c r="Q16" i="1"/>
  <c r="X8" i="1"/>
  <c r="X16" i="1"/>
  <c r="Y13" i="1"/>
  <c r="Y21" i="1"/>
  <c r="Q21" i="1"/>
  <c r="Q19" i="1"/>
  <c r="Q9" i="1"/>
  <c r="X19" i="1"/>
  <c r="Q10" i="1"/>
  <c r="Q14" i="1"/>
  <c r="Y19" i="1"/>
  <c r="Q12" i="1"/>
  <c r="U14" i="1"/>
  <c r="Q15" i="1"/>
  <c r="X14" i="1"/>
  <c r="V19" i="1"/>
  <c r="Q18" i="1"/>
  <c r="Q20" i="1"/>
  <c r="Y9" i="1"/>
  <c r="X9" i="1"/>
  <c r="U9" i="1"/>
  <c r="X12" i="1"/>
  <c r="Y12" i="1"/>
  <c r="V12" i="1"/>
  <c r="X17" i="1"/>
  <c r="Y17" i="1"/>
  <c r="Y20" i="1"/>
  <c r="V20" i="1"/>
  <c r="X20" i="1"/>
  <c r="V9" i="1"/>
  <c r="U12" i="1"/>
  <c r="V15" i="1"/>
  <c r="Y15" i="1"/>
  <c r="X15" i="1"/>
  <c r="U15" i="1"/>
  <c r="U17" i="1"/>
  <c r="U20" i="1"/>
  <c r="V8" i="1"/>
  <c r="Y6" i="1"/>
  <c r="X6" i="1"/>
  <c r="V17" i="1"/>
  <c r="U7" i="1"/>
  <c r="U10" i="1"/>
  <c r="V7" i="1"/>
  <c r="U13" i="1"/>
  <c r="V18" i="1"/>
  <c r="U21" i="1"/>
  <c r="X7" i="1"/>
  <c r="U8" i="1"/>
  <c r="X10" i="1"/>
  <c r="V13" i="1"/>
  <c r="U16" i="1"/>
  <c r="X18" i="1"/>
  <c r="U18" i="1"/>
  <c r="V10" i="1"/>
  <c r="P28" i="6" l="1"/>
  <c r="P29" i="6" s="1"/>
  <c r="P30" i="6" s="1"/>
  <c r="P31" i="6" s="1"/>
  <c r="P32" i="6" s="1"/>
  <c r="P33" i="6" s="1"/>
  <c r="P34" i="6" s="1"/>
  <c r="P35" i="6" s="1"/>
  <c r="P36" i="6" s="1"/>
  <c r="T36" i="6" s="1"/>
  <c r="P28" i="5"/>
  <c r="P29" i="5" s="1"/>
  <c r="P30" i="5" s="1"/>
  <c r="P31" i="5" s="1"/>
  <c r="P32" i="5" s="1"/>
  <c r="P33" i="5" s="1"/>
  <c r="P34" i="5" s="1"/>
  <c r="P35" i="5" s="1"/>
  <c r="P36" i="5" s="1"/>
  <c r="T36" i="5" s="1"/>
  <c r="S24" i="4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O24" i="6"/>
  <c r="O24" i="5"/>
  <c r="N24" i="2"/>
  <c r="N25" i="2" s="1"/>
  <c r="N26" i="2" s="1"/>
  <c r="N27" i="2" s="1"/>
  <c r="N28" i="2" s="1"/>
  <c r="N29" i="2" s="1"/>
  <c r="N30" i="2" s="1"/>
  <c r="N31" i="2" s="1"/>
  <c r="P27" i="2"/>
  <c r="P28" i="2" s="1"/>
  <c r="P29" i="2" s="1"/>
  <c r="P30" i="2" s="1"/>
  <c r="P31" i="2" s="1"/>
  <c r="P32" i="2" s="1"/>
  <c r="P33" i="2" s="1"/>
  <c r="P34" i="2" s="1"/>
  <c r="P35" i="2" s="1"/>
  <c r="P36" i="2" s="1"/>
  <c r="T36" i="2" s="1"/>
  <c r="T27" i="1"/>
  <c r="P28" i="4"/>
  <c r="P29" i="4" s="1"/>
  <c r="P30" i="4" s="1"/>
  <c r="P31" i="4" s="1"/>
  <c r="P32" i="4" s="1"/>
  <c r="P33" i="4" s="1"/>
  <c r="P34" i="4" s="1"/>
  <c r="P35" i="4" s="1"/>
  <c r="P36" i="4" s="1"/>
  <c r="T36" i="4" s="1"/>
  <c r="N24" i="3"/>
  <c r="P27" i="3"/>
  <c r="Q32" i="11"/>
  <c r="F32" i="11"/>
  <c r="Q23" i="6"/>
  <c r="X23" i="4"/>
  <c r="Y23" i="4"/>
  <c r="G23" i="4"/>
  <c r="Q23" i="4"/>
  <c r="F23" i="4"/>
  <c r="Q23" i="1"/>
  <c r="O24" i="4"/>
  <c r="Y32" i="11"/>
  <c r="U32" i="11"/>
  <c r="X32" i="11"/>
  <c r="T33" i="11"/>
  <c r="G33" i="11" s="1"/>
  <c r="Y23" i="6"/>
  <c r="X23" i="6"/>
  <c r="U23" i="6"/>
  <c r="P25" i="6"/>
  <c r="T24" i="6"/>
  <c r="G24" i="6" s="1"/>
  <c r="O25" i="6"/>
  <c r="P24" i="5"/>
  <c r="T23" i="5"/>
  <c r="G23" i="5" s="1"/>
  <c r="S23" i="5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O25" i="5"/>
  <c r="P25" i="4"/>
  <c r="G24" i="4"/>
  <c r="P25" i="3"/>
  <c r="T24" i="3"/>
  <c r="G24" i="3" s="1"/>
  <c r="O23" i="3"/>
  <c r="S23" i="3" s="1"/>
  <c r="S24" i="3" s="1"/>
  <c r="O23" i="2"/>
  <c r="S23" i="2" s="1"/>
  <c r="P25" i="2"/>
  <c r="T24" i="2"/>
  <c r="G24" i="2" s="1"/>
  <c r="Y23" i="2"/>
  <c r="X23" i="2"/>
  <c r="U23" i="2"/>
  <c r="N24" i="1"/>
  <c r="N25" i="1" s="1"/>
  <c r="S24" i="2" l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24" i="1"/>
  <c r="S25" i="1" s="1"/>
  <c r="F23" i="6"/>
  <c r="S24" i="6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25" i="3"/>
  <c r="G27" i="1"/>
  <c r="X27" i="1"/>
  <c r="Y27" i="1"/>
  <c r="P28" i="1"/>
  <c r="P28" i="3"/>
  <c r="N25" i="3"/>
  <c r="O24" i="3"/>
  <c r="Q33" i="11"/>
  <c r="F33" i="11"/>
  <c r="Q23" i="5"/>
  <c r="F23" i="5"/>
  <c r="Q23" i="2"/>
  <c r="F23" i="2"/>
  <c r="O24" i="2"/>
  <c r="O25" i="4"/>
  <c r="O26" i="4" s="1"/>
  <c r="O27" i="4" s="1"/>
  <c r="O24" i="1"/>
  <c r="O25" i="1" s="1"/>
  <c r="X33" i="11"/>
  <c r="U33" i="11"/>
  <c r="Y33" i="11"/>
  <c r="T34" i="11"/>
  <c r="G34" i="11" s="1"/>
  <c r="O26" i="6"/>
  <c r="U24" i="6"/>
  <c r="X24" i="6"/>
  <c r="Y24" i="6"/>
  <c r="T25" i="6"/>
  <c r="G25" i="6" s="1"/>
  <c r="P26" i="6"/>
  <c r="P25" i="5"/>
  <c r="T24" i="5"/>
  <c r="G24" i="5" s="1"/>
  <c r="O26" i="5"/>
  <c r="F25" i="5"/>
  <c r="Y23" i="5"/>
  <c r="X23" i="5"/>
  <c r="U23" i="5"/>
  <c r="U24" i="4"/>
  <c r="Y24" i="4"/>
  <c r="X24" i="4"/>
  <c r="P26" i="4"/>
  <c r="T25" i="4"/>
  <c r="G25" i="4" s="1"/>
  <c r="Y23" i="3"/>
  <c r="X23" i="3"/>
  <c r="U23" i="3"/>
  <c r="X24" i="3"/>
  <c r="U24" i="3"/>
  <c r="Y24" i="3"/>
  <c r="P26" i="3"/>
  <c r="T25" i="3"/>
  <c r="G25" i="3" s="1"/>
  <c r="X24" i="2"/>
  <c r="U24" i="2"/>
  <c r="Y24" i="2"/>
  <c r="P26" i="2"/>
  <c r="T25" i="2"/>
  <c r="G25" i="2" s="1"/>
  <c r="N26" i="1"/>
  <c r="N27" i="1" s="1"/>
  <c r="Q22" i="1"/>
  <c r="F25" i="1" l="1"/>
  <c r="F24" i="6"/>
  <c r="Q24" i="6"/>
  <c r="P29" i="1"/>
  <c r="T28" i="1"/>
  <c r="N26" i="3"/>
  <c r="N27" i="3" s="1"/>
  <c r="N28" i="3" s="1"/>
  <c r="N29" i="3" s="1"/>
  <c r="N30" i="3" s="1"/>
  <c r="N31" i="3" s="1"/>
  <c r="O25" i="3"/>
  <c r="P29" i="3"/>
  <c r="Q34" i="11"/>
  <c r="F34" i="11"/>
  <c r="Q25" i="6"/>
  <c r="F25" i="6"/>
  <c r="Q24" i="5"/>
  <c r="F24" i="5"/>
  <c r="Q24" i="4"/>
  <c r="F24" i="4"/>
  <c r="Q23" i="3"/>
  <c r="F23" i="3"/>
  <c r="Q24" i="2"/>
  <c r="F24" i="2"/>
  <c r="F25" i="4"/>
  <c r="O25" i="2"/>
  <c r="O26" i="2" s="1"/>
  <c r="O27" i="2" s="1"/>
  <c r="O28" i="2" s="1"/>
  <c r="O29" i="2" s="1"/>
  <c r="O30" i="2" s="1"/>
  <c r="O31" i="2" s="1"/>
  <c r="O32" i="2" s="1"/>
  <c r="O33" i="2" s="1"/>
  <c r="O34" i="2" s="1"/>
  <c r="O26" i="1"/>
  <c r="O27" i="1" s="1"/>
  <c r="F35" i="11"/>
  <c r="S38" i="11"/>
  <c r="T35" i="11"/>
  <c r="G35" i="11" s="1"/>
  <c r="U34" i="11"/>
  <c r="Y34" i="11"/>
  <c r="X34" i="11"/>
  <c r="T26" i="6"/>
  <c r="G26" i="6" s="1"/>
  <c r="Y25" i="6"/>
  <c r="X25" i="6"/>
  <c r="U25" i="6"/>
  <c r="O27" i="6"/>
  <c r="F26" i="6"/>
  <c r="U24" i="5"/>
  <c r="Y24" i="5"/>
  <c r="X24" i="5"/>
  <c r="Q25" i="5"/>
  <c r="P26" i="5"/>
  <c r="T25" i="5"/>
  <c r="G25" i="5" s="1"/>
  <c r="Y25" i="4"/>
  <c r="X25" i="4"/>
  <c r="T26" i="4"/>
  <c r="G26" i="4" s="1"/>
  <c r="F26" i="4"/>
  <c r="Y25" i="3"/>
  <c r="X25" i="3"/>
  <c r="U25" i="3"/>
  <c r="T26" i="3"/>
  <c r="G26" i="3" s="1"/>
  <c r="Y25" i="2"/>
  <c r="X25" i="2"/>
  <c r="U25" i="2"/>
  <c r="T26" i="2"/>
  <c r="G26" i="2" s="1"/>
  <c r="N28" i="1"/>
  <c r="X22" i="1"/>
  <c r="U22" i="1"/>
  <c r="S26" i="3" l="1"/>
  <c r="S27" i="3" s="1"/>
  <c r="S28" i="3" s="1"/>
  <c r="S29" i="3" s="1"/>
  <c r="S30" i="3" s="1"/>
  <c r="S31" i="3" s="1"/>
  <c r="S32" i="3" s="1"/>
  <c r="S33" i="3" s="1"/>
  <c r="S34" i="3" s="1"/>
  <c r="S35" i="3" s="1"/>
  <c r="Q26" i="1"/>
  <c r="G28" i="1"/>
  <c r="Y28" i="1"/>
  <c r="X28" i="1"/>
  <c r="P30" i="1"/>
  <c r="T29" i="1"/>
  <c r="P30" i="3"/>
  <c r="P31" i="3" s="1"/>
  <c r="P32" i="3" s="1"/>
  <c r="P33" i="3" s="1"/>
  <c r="P34" i="3" s="1"/>
  <c r="P35" i="3" s="1"/>
  <c r="P36" i="3" s="1"/>
  <c r="T36" i="3" s="1"/>
  <c r="O26" i="3"/>
  <c r="O27" i="3" s="1"/>
  <c r="O28" i="3" s="1"/>
  <c r="S36" i="11"/>
  <c r="Q44" i="11" s="1"/>
  <c r="Q25" i="4"/>
  <c r="Q24" i="3"/>
  <c r="F24" i="3"/>
  <c r="Q25" i="2"/>
  <c r="F25" i="2"/>
  <c r="F10" i="13"/>
  <c r="Q26" i="6"/>
  <c r="E7" i="13"/>
  <c r="H7" i="13" s="1"/>
  <c r="I7" i="13" s="1"/>
  <c r="Q26" i="4"/>
  <c r="O28" i="1"/>
  <c r="Y35" i="11"/>
  <c r="X35" i="11"/>
  <c r="U35" i="11"/>
  <c r="T36" i="11"/>
  <c r="T38" i="11"/>
  <c r="U38" i="11" s="1"/>
  <c r="Q35" i="11"/>
  <c r="T27" i="6"/>
  <c r="G27" i="6" s="1"/>
  <c r="O28" i="6"/>
  <c r="X26" i="6"/>
  <c r="U26" i="6"/>
  <c r="Y26" i="6"/>
  <c r="Y25" i="5"/>
  <c r="X25" i="5"/>
  <c r="U25" i="5"/>
  <c r="T26" i="5"/>
  <c r="G26" i="5" s="1"/>
  <c r="F26" i="5"/>
  <c r="T27" i="4"/>
  <c r="G27" i="4" s="1"/>
  <c r="U26" i="4"/>
  <c r="X26" i="4"/>
  <c r="Y26" i="3"/>
  <c r="X26" i="3"/>
  <c r="U26" i="3"/>
  <c r="T27" i="3"/>
  <c r="G27" i="3" s="1"/>
  <c r="Y26" i="2"/>
  <c r="X26" i="2"/>
  <c r="U26" i="2"/>
  <c r="T27" i="2"/>
  <c r="G27" i="2" s="1"/>
  <c r="N29" i="1"/>
  <c r="U23" i="1"/>
  <c r="F28" i="1" l="1"/>
  <c r="U36" i="11"/>
  <c r="G36" i="11"/>
  <c r="G29" i="1"/>
  <c r="Y29" i="1"/>
  <c r="X29" i="1"/>
  <c r="P31" i="1"/>
  <c r="T30" i="1"/>
  <c r="S29" i="1"/>
  <c r="S30" i="1" s="1"/>
  <c r="F27" i="1"/>
  <c r="F36" i="11"/>
  <c r="Q36" i="11"/>
  <c r="Q27" i="6"/>
  <c r="F27" i="6"/>
  <c r="Q27" i="4"/>
  <c r="F27" i="4"/>
  <c r="Q25" i="3"/>
  <c r="F25" i="3"/>
  <c r="E5" i="13"/>
  <c r="H5" i="13" s="1"/>
  <c r="I5" i="13" s="1"/>
  <c r="F26" i="2"/>
  <c r="Q27" i="1"/>
  <c r="F26" i="1"/>
  <c r="G10" i="13"/>
  <c r="J10" i="13"/>
  <c r="K10" i="13" s="1"/>
  <c r="M10" i="13"/>
  <c r="L5" i="13"/>
  <c r="L7" i="13"/>
  <c r="Q26" i="5"/>
  <c r="E8" i="13"/>
  <c r="H8" i="13" s="1"/>
  <c r="I8" i="13" s="1"/>
  <c r="E4" i="13"/>
  <c r="O29" i="1"/>
  <c r="T28" i="6"/>
  <c r="G28" i="6" s="1"/>
  <c r="X27" i="6"/>
  <c r="Y27" i="6"/>
  <c r="U27" i="6"/>
  <c r="F28" i="5"/>
  <c r="X26" i="5"/>
  <c r="U26" i="5"/>
  <c r="Y26" i="5"/>
  <c r="T27" i="5"/>
  <c r="G27" i="5" s="1"/>
  <c r="T28" i="4"/>
  <c r="G28" i="4" s="1"/>
  <c r="X27" i="4"/>
  <c r="U27" i="4"/>
  <c r="T28" i="3"/>
  <c r="G28" i="3" s="1"/>
  <c r="U27" i="3"/>
  <c r="Y27" i="3"/>
  <c r="X27" i="3"/>
  <c r="T28" i="2"/>
  <c r="G28" i="2" s="1"/>
  <c r="Q26" i="2"/>
  <c r="U27" i="2"/>
  <c r="Y27" i="2"/>
  <c r="X27" i="2"/>
  <c r="Q28" i="1"/>
  <c r="N30" i="1"/>
  <c r="U24" i="1"/>
  <c r="G30" i="1" l="1"/>
  <c r="Y30" i="1"/>
  <c r="X30" i="1"/>
  <c r="P32" i="1"/>
  <c r="T31" i="1"/>
  <c r="Q28" i="6"/>
  <c r="F28" i="6"/>
  <c r="Q27" i="5"/>
  <c r="F27" i="5"/>
  <c r="Q28" i="4"/>
  <c r="F28" i="4"/>
  <c r="E6" i="13"/>
  <c r="H6" i="13" s="1"/>
  <c r="I6" i="13" s="1"/>
  <c r="F26" i="3"/>
  <c r="H4" i="13"/>
  <c r="I4" i="13" s="1"/>
  <c r="L8" i="13"/>
  <c r="L6" i="13"/>
  <c r="O30" i="1"/>
  <c r="F30" i="1" s="1"/>
  <c r="E3" i="13"/>
  <c r="T29" i="6"/>
  <c r="G29" i="6" s="1"/>
  <c r="X28" i="6"/>
  <c r="U28" i="6"/>
  <c r="Y28" i="6"/>
  <c r="Q28" i="5"/>
  <c r="T28" i="5"/>
  <c r="G28" i="5" s="1"/>
  <c r="Y27" i="5"/>
  <c r="X27" i="5"/>
  <c r="U27" i="5"/>
  <c r="T29" i="4"/>
  <c r="G29" i="4" s="1"/>
  <c r="Y28" i="4"/>
  <c r="X28" i="4"/>
  <c r="Q26" i="3"/>
  <c r="T29" i="3"/>
  <c r="G29" i="3" s="1"/>
  <c r="U28" i="3"/>
  <c r="Y28" i="3"/>
  <c r="X28" i="3"/>
  <c r="T29" i="2"/>
  <c r="G29" i="2" s="1"/>
  <c r="Y28" i="2"/>
  <c r="X28" i="2"/>
  <c r="U28" i="2"/>
  <c r="N31" i="1"/>
  <c r="S32" i="1" s="1"/>
  <c r="S33" i="1" s="1"/>
  <c r="S34" i="1" s="1"/>
  <c r="S35" i="1" s="1"/>
  <c r="Q36" i="1" s="1"/>
  <c r="U25" i="1"/>
  <c r="G31" i="1" l="1"/>
  <c r="X31" i="1"/>
  <c r="Y31" i="1"/>
  <c r="P33" i="1"/>
  <c r="T32" i="1"/>
  <c r="Q29" i="6"/>
  <c r="F29" i="6"/>
  <c r="Q29" i="5"/>
  <c r="F29" i="5"/>
  <c r="Q29" i="4"/>
  <c r="F29" i="4"/>
  <c r="Q27" i="3"/>
  <c r="F27" i="3"/>
  <c r="Q27" i="2"/>
  <c r="F27" i="2"/>
  <c r="Q28" i="2"/>
  <c r="F28" i="2"/>
  <c r="Q29" i="1"/>
  <c r="F29" i="1"/>
  <c r="H3" i="13"/>
  <c r="E11" i="13"/>
  <c r="L3" i="13"/>
  <c r="L11" i="13" s="1"/>
  <c r="O31" i="1"/>
  <c r="T30" i="6"/>
  <c r="G30" i="6" s="1"/>
  <c r="U29" i="6"/>
  <c r="Y29" i="6"/>
  <c r="X29" i="6"/>
  <c r="T29" i="5"/>
  <c r="G29" i="5" s="1"/>
  <c r="X28" i="5"/>
  <c r="U28" i="5"/>
  <c r="Y28" i="5"/>
  <c r="T30" i="4"/>
  <c r="G30" i="4" s="1"/>
  <c r="U29" i="4"/>
  <c r="X29" i="4"/>
  <c r="Y29" i="4"/>
  <c r="T30" i="3"/>
  <c r="G30" i="3" s="1"/>
  <c r="X29" i="3"/>
  <c r="U29" i="3"/>
  <c r="Y29" i="3"/>
  <c r="T30" i="2"/>
  <c r="G30" i="2" s="1"/>
  <c r="X29" i="2"/>
  <c r="U29" i="2"/>
  <c r="Y29" i="2"/>
  <c r="Q30" i="1"/>
  <c r="U26" i="1"/>
  <c r="G32" i="1" l="1"/>
  <c r="Y32" i="1"/>
  <c r="X32" i="1"/>
  <c r="P34" i="1"/>
  <c r="T33" i="1"/>
  <c r="Q30" i="6"/>
  <c r="F30" i="6"/>
  <c r="Q30" i="5"/>
  <c r="F30" i="5"/>
  <c r="Q30" i="4"/>
  <c r="F30" i="4"/>
  <c r="Q28" i="3"/>
  <c r="F28" i="3"/>
  <c r="Q29" i="2"/>
  <c r="F29" i="2"/>
  <c r="H11" i="13"/>
  <c r="H13" i="13" s="1"/>
  <c r="I3" i="13"/>
  <c r="I11" i="13" s="1"/>
  <c r="E14" i="13"/>
  <c r="E13" i="13"/>
  <c r="T31" i="6"/>
  <c r="G31" i="6" s="1"/>
  <c r="Y30" i="6"/>
  <c r="X30" i="6"/>
  <c r="U30" i="6"/>
  <c r="U29" i="5"/>
  <c r="Y29" i="5"/>
  <c r="X29" i="5"/>
  <c r="T30" i="5"/>
  <c r="G30" i="5" s="1"/>
  <c r="T31" i="4"/>
  <c r="G31" i="4" s="1"/>
  <c r="Y30" i="4"/>
  <c r="X30" i="4"/>
  <c r="U30" i="4"/>
  <c r="T31" i="3"/>
  <c r="G31" i="3" s="1"/>
  <c r="X30" i="3"/>
  <c r="Y30" i="3"/>
  <c r="U30" i="3"/>
  <c r="T31" i="2"/>
  <c r="G31" i="2" s="1"/>
  <c r="Y30" i="2"/>
  <c r="X30" i="2"/>
  <c r="U30" i="2"/>
  <c r="U27" i="1"/>
  <c r="F37" i="11"/>
  <c r="F24" i="9"/>
  <c r="F25" i="9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23" i="9"/>
  <c r="F24" i="8"/>
  <c r="F25" i="8"/>
  <c r="F26" i="8"/>
  <c r="F27" i="8"/>
  <c r="F28" i="8"/>
  <c r="F29" i="8"/>
  <c r="F30" i="8" s="1"/>
  <c r="F31" i="8" s="1"/>
  <c r="F32" i="8" s="1"/>
  <c r="F33" i="8" s="1"/>
  <c r="F34" i="8" s="1"/>
  <c r="F35" i="8" s="1"/>
  <c r="F36" i="8" s="1"/>
  <c r="F37" i="8" s="1"/>
  <c r="F23" i="8"/>
  <c r="G24" i="7" l="1"/>
  <c r="G24" i="10" s="1"/>
  <c r="G33" i="1"/>
  <c r="X33" i="1"/>
  <c r="Y33" i="1"/>
  <c r="T36" i="1"/>
  <c r="T34" i="1"/>
  <c r="Q31" i="6"/>
  <c r="F31" i="6"/>
  <c r="Q31" i="5"/>
  <c r="F31" i="5"/>
  <c r="Q31" i="4"/>
  <c r="F31" i="4"/>
  <c r="Q29" i="3"/>
  <c r="F29" i="3"/>
  <c r="Q30" i="2"/>
  <c r="F30" i="2"/>
  <c r="Q31" i="1"/>
  <c r="F31" i="1"/>
  <c r="T32" i="6"/>
  <c r="G32" i="6" s="1"/>
  <c r="Y31" i="6"/>
  <c r="X31" i="6"/>
  <c r="U31" i="6"/>
  <c r="X30" i="5"/>
  <c r="Y30" i="5"/>
  <c r="U30" i="5"/>
  <c r="T31" i="5"/>
  <c r="G31" i="5" s="1"/>
  <c r="X31" i="4"/>
  <c r="U31" i="4"/>
  <c r="T32" i="4"/>
  <c r="G32" i="4" s="1"/>
  <c r="T32" i="3"/>
  <c r="G32" i="3" s="1"/>
  <c r="U31" i="3"/>
  <c r="Y31" i="3"/>
  <c r="X31" i="3"/>
  <c r="T32" i="2"/>
  <c r="G32" i="2" s="1"/>
  <c r="Y31" i="2"/>
  <c r="X31" i="2"/>
  <c r="U31" i="2"/>
  <c r="U28" i="1"/>
  <c r="G51" i="12"/>
  <c r="G52" i="12"/>
  <c r="G53" i="12"/>
  <c r="G54" i="12"/>
  <c r="G55" i="12"/>
  <c r="G50" i="12"/>
  <c r="F57" i="12"/>
  <c r="G57" i="12"/>
  <c r="G25" i="7" l="1"/>
  <c r="G25" i="10" s="1"/>
  <c r="Y34" i="1"/>
  <c r="X34" i="1"/>
  <c r="G34" i="1"/>
  <c r="T35" i="1"/>
  <c r="Q32" i="6"/>
  <c r="F32" i="6"/>
  <c r="Q32" i="4"/>
  <c r="F32" i="4"/>
  <c r="Q30" i="3"/>
  <c r="F30" i="3"/>
  <c r="Q31" i="2"/>
  <c r="F31" i="2"/>
  <c r="Q32" i="1"/>
  <c r="F32" i="1"/>
  <c r="U32" i="6"/>
  <c r="Y32" i="6"/>
  <c r="X32" i="6"/>
  <c r="T33" i="6"/>
  <c r="G33" i="6" s="1"/>
  <c r="T32" i="5"/>
  <c r="G32" i="5" s="1"/>
  <c r="Y31" i="5"/>
  <c r="U31" i="5"/>
  <c r="X31" i="5"/>
  <c r="F33" i="5"/>
  <c r="T33" i="4"/>
  <c r="G33" i="4" s="1"/>
  <c r="Y32" i="4"/>
  <c r="X32" i="4"/>
  <c r="U32" i="4"/>
  <c r="T33" i="3"/>
  <c r="G33" i="3" s="1"/>
  <c r="U32" i="3"/>
  <c r="Y32" i="3"/>
  <c r="X32" i="3"/>
  <c r="T33" i="2"/>
  <c r="G33" i="2" s="1"/>
  <c r="U32" i="2"/>
  <c r="X32" i="2"/>
  <c r="Y32" i="2"/>
  <c r="U29" i="1"/>
  <c r="O14" i="10"/>
  <c r="O13" i="10"/>
  <c r="O12" i="10"/>
  <c r="O11" i="10"/>
  <c r="O10" i="10"/>
  <c r="O9" i="10"/>
  <c r="O8" i="10"/>
  <c r="O7" i="10"/>
  <c r="O6" i="10"/>
  <c r="O5" i="10"/>
  <c r="M14" i="10"/>
  <c r="M13" i="10"/>
  <c r="M12" i="10"/>
  <c r="M11" i="10"/>
  <c r="M10" i="10"/>
  <c r="M9" i="10"/>
  <c r="M8" i="10"/>
  <c r="M7" i="10"/>
  <c r="M6" i="10"/>
  <c r="F22" i="11"/>
  <c r="F22" i="9"/>
  <c r="F22" i="8"/>
  <c r="F22" i="7"/>
  <c r="F22" i="6"/>
  <c r="F22" i="5"/>
  <c r="F22" i="4"/>
  <c r="F22" i="3"/>
  <c r="F22" i="2"/>
  <c r="F22" i="1"/>
  <c r="B34" i="12"/>
  <c r="B31" i="12"/>
  <c r="B32" i="12"/>
  <c r="B33" i="12"/>
  <c r="B26" i="12"/>
  <c r="B27" i="12"/>
  <c r="B28" i="12"/>
  <c r="B29" i="12"/>
  <c r="B30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4" i="12"/>
  <c r="G26" i="7" l="1"/>
  <c r="G26" i="10" s="1"/>
  <c r="G35" i="1"/>
  <c r="Y35" i="1"/>
  <c r="X35" i="1"/>
  <c r="S38" i="1"/>
  <c r="Q33" i="6"/>
  <c r="F33" i="6"/>
  <c r="Q32" i="5"/>
  <c r="F32" i="5"/>
  <c r="Q33" i="4"/>
  <c r="F33" i="4"/>
  <c r="Q31" i="3"/>
  <c r="F31" i="3"/>
  <c r="Q32" i="2"/>
  <c r="F32" i="2"/>
  <c r="Q33" i="1"/>
  <c r="F33" i="1"/>
  <c r="Y33" i="6"/>
  <c r="U33" i="6"/>
  <c r="X33" i="6"/>
  <c r="T34" i="6"/>
  <c r="G34" i="6" s="1"/>
  <c r="U32" i="5"/>
  <c r="Y32" i="5"/>
  <c r="X32" i="5"/>
  <c r="Q33" i="5"/>
  <c r="T33" i="5"/>
  <c r="G33" i="5" s="1"/>
  <c r="T34" i="4"/>
  <c r="G34" i="4" s="1"/>
  <c r="Y33" i="4"/>
  <c r="X33" i="4"/>
  <c r="U33" i="4"/>
  <c r="X33" i="3"/>
  <c r="Y33" i="3"/>
  <c r="U33" i="3"/>
  <c r="T34" i="3"/>
  <c r="G34" i="3" s="1"/>
  <c r="Y33" i="2"/>
  <c r="X33" i="2"/>
  <c r="U33" i="2"/>
  <c r="T34" i="2"/>
  <c r="G34" i="2" s="1"/>
  <c r="M5" i="10"/>
  <c r="U30" i="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22" i="11"/>
  <c r="I36" i="11"/>
  <c r="I37" i="11" s="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6" i="11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22" i="9"/>
  <c r="I3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6" i="9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22" i="8"/>
  <c r="I36" i="8"/>
  <c r="I37" i="8" s="1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6" i="8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22" i="7"/>
  <c r="I36" i="7"/>
  <c r="I37" i="7" s="1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6" i="7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22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6" i="6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22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6" i="5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22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6" i="4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22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6" i="3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22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6" i="2"/>
  <c r="I7" i="1"/>
  <c r="I7" i="10" s="1"/>
  <c r="I8" i="1"/>
  <c r="I8" i="10" s="1"/>
  <c r="I9" i="1"/>
  <c r="I9" i="10" s="1"/>
  <c r="I10" i="1"/>
  <c r="I10" i="10" s="1"/>
  <c r="I11" i="1"/>
  <c r="I11" i="10" s="1"/>
  <c r="I14" i="1"/>
  <c r="I14" i="10" s="1"/>
  <c r="I21" i="1"/>
  <c r="I21" i="10" s="1"/>
  <c r="I6" i="1"/>
  <c r="I6" i="10" s="1"/>
  <c r="C24" i="10"/>
  <c r="D24" i="10"/>
  <c r="E24" i="10"/>
  <c r="C25" i="10"/>
  <c r="D25" i="10"/>
  <c r="E25" i="10"/>
  <c r="C26" i="10"/>
  <c r="D26" i="10"/>
  <c r="E26" i="10"/>
  <c r="C27" i="10"/>
  <c r="D27" i="10"/>
  <c r="E27" i="10"/>
  <c r="C28" i="10"/>
  <c r="D28" i="10"/>
  <c r="E28" i="10"/>
  <c r="C29" i="10"/>
  <c r="D29" i="10"/>
  <c r="E29" i="10"/>
  <c r="C30" i="10"/>
  <c r="D30" i="10"/>
  <c r="E30" i="10"/>
  <c r="C31" i="10"/>
  <c r="D31" i="10"/>
  <c r="E31" i="10"/>
  <c r="C32" i="10"/>
  <c r="D32" i="10"/>
  <c r="E32" i="10"/>
  <c r="C33" i="10"/>
  <c r="D33" i="10"/>
  <c r="E33" i="10"/>
  <c r="C34" i="10"/>
  <c r="D34" i="10"/>
  <c r="E34" i="10"/>
  <c r="C35" i="10"/>
  <c r="D35" i="10"/>
  <c r="E35" i="10"/>
  <c r="C36" i="10"/>
  <c r="D36" i="10"/>
  <c r="E36" i="10"/>
  <c r="O15" i="10"/>
  <c r="V16" i="1" s="1"/>
  <c r="J9" i="12"/>
  <c r="J11" i="10" s="1"/>
  <c r="K11" i="10" s="1"/>
  <c r="F11" i="10"/>
  <c r="I9" i="12" s="1"/>
  <c r="E11" i="10"/>
  <c r="H9" i="12" s="1"/>
  <c r="D11" i="10"/>
  <c r="F9" i="12" s="1"/>
  <c r="C11" i="10"/>
  <c r="E9" i="12" s="1"/>
  <c r="J8" i="12"/>
  <c r="J10" i="10" s="1"/>
  <c r="K10" i="10" s="1"/>
  <c r="F10" i="10"/>
  <c r="I8" i="12" s="1"/>
  <c r="E10" i="10"/>
  <c r="H8" i="12" s="1"/>
  <c r="D10" i="10"/>
  <c r="F8" i="12" s="1"/>
  <c r="C10" i="10"/>
  <c r="E8" i="12" s="1"/>
  <c r="J7" i="12"/>
  <c r="J9" i="10" s="1"/>
  <c r="K9" i="10" s="1"/>
  <c r="F9" i="10"/>
  <c r="I7" i="12" s="1"/>
  <c r="E9" i="10"/>
  <c r="H7" i="12" s="1"/>
  <c r="D9" i="10"/>
  <c r="F7" i="12" s="1"/>
  <c r="C9" i="10"/>
  <c r="E7" i="12" s="1"/>
  <c r="J6" i="12"/>
  <c r="J8" i="10" s="1"/>
  <c r="K8" i="10" s="1"/>
  <c r="F8" i="10"/>
  <c r="I6" i="12" s="1"/>
  <c r="E8" i="10"/>
  <c r="H6" i="12" s="1"/>
  <c r="D8" i="10"/>
  <c r="F6" i="12" s="1"/>
  <c r="C8" i="10"/>
  <c r="E6" i="12" s="1"/>
  <c r="J5" i="12"/>
  <c r="J7" i="10" s="1"/>
  <c r="K7" i="10" s="1"/>
  <c r="F7" i="10"/>
  <c r="I5" i="12" s="1"/>
  <c r="E7" i="10"/>
  <c r="H5" i="12" s="1"/>
  <c r="D7" i="10"/>
  <c r="F5" i="12" s="1"/>
  <c r="C7" i="10"/>
  <c r="E5" i="12" s="1"/>
  <c r="J4" i="12"/>
  <c r="J6" i="10" s="1"/>
  <c r="K6" i="10" s="1"/>
  <c r="F6" i="10"/>
  <c r="I4" i="12" s="1"/>
  <c r="E6" i="10"/>
  <c r="H4" i="12" s="1"/>
  <c r="D6" i="10"/>
  <c r="F4" i="12" s="1"/>
  <c r="C6" i="10"/>
  <c r="E4" i="12" s="1"/>
  <c r="C13" i="10"/>
  <c r="E11" i="12" s="1"/>
  <c r="D13" i="10"/>
  <c r="F11" i="12" s="1"/>
  <c r="E13" i="10"/>
  <c r="H11" i="12" s="1"/>
  <c r="J11" i="12"/>
  <c r="J13" i="10" s="1"/>
  <c r="K13" i="10" s="1"/>
  <c r="C14" i="10"/>
  <c r="E12" i="12" s="1"/>
  <c r="D14" i="10"/>
  <c r="F12" i="12" s="1"/>
  <c r="E14" i="10"/>
  <c r="H12" i="12" s="1"/>
  <c r="J12" i="12"/>
  <c r="J14" i="10" s="1"/>
  <c r="K14" i="10" s="1"/>
  <c r="C15" i="10"/>
  <c r="E13" i="12" s="1"/>
  <c r="D15" i="10"/>
  <c r="F13" i="12" s="1"/>
  <c r="E15" i="10"/>
  <c r="H13" i="12" s="1"/>
  <c r="J13" i="12"/>
  <c r="J15" i="10" s="1"/>
  <c r="K15" i="10" s="1"/>
  <c r="E16" i="10"/>
  <c r="H14" i="12" s="1"/>
  <c r="D17" i="10"/>
  <c r="F15" i="12" s="1"/>
  <c r="E17" i="10"/>
  <c r="H15" i="12" s="1"/>
  <c r="J15" i="12"/>
  <c r="J17" i="10" s="1"/>
  <c r="K17" i="10" s="1"/>
  <c r="D18" i="10"/>
  <c r="F16" i="12" s="1"/>
  <c r="E18" i="10"/>
  <c r="H16" i="12" s="1"/>
  <c r="J16" i="12"/>
  <c r="J18" i="10" s="1"/>
  <c r="K18" i="10" s="1"/>
  <c r="C19" i="10"/>
  <c r="E17" i="12" s="1"/>
  <c r="D19" i="10"/>
  <c r="F17" i="12" s="1"/>
  <c r="E19" i="10"/>
  <c r="H17" i="12" s="1"/>
  <c r="J17" i="12"/>
  <c r="J19" i="10" s="1"/>
  <c r="K19" i="10" s="1"/>
  <c r="C20" i="10"/>
  <c r="E18" i="12" s="1"/>
  <c r="D20" i="10"/>
  <c r="F18" i="12" s="1"/>
  <c r="E20" i="10"/>
  <c r="H18" i="12" s="1"/>
  <c r="J18" i="12"/>
  <c r="J20" i="10" s="1"/>
  <c r="K20" i="10" s="1"/>
  <c r="E19" i="12"/>
  <c r="F19" i="12"/>
  <c r="H19" i="12"/>
  <c r="F21" i="10"/>
  <c r="I19" i="12" s="1"/>
  <c r="J19" i="12"/>
  <c r="J21" i="10" s="1"/>
  <c r="K21" i="10" s="1"/>
  <c r="C22" i="10"/>
  <c r="E20" i="12" s="1"/>
  <c r="D22" i="10"/>
  <c r="F20" i="12" s="1"/>
  <c r="E22" i="10"/>
  <c r="H20" i="12" s="1"/>
  <c r="J20" i="12"/>
  <c r="L20" i="12" s="1"/>
  <c r="C23" i="10"/>
  <c r="D23" i="10"/>
  <c r="E23" i="10"/>
  <c r="D12" i="10"/>
  <c r="F10" i="12" s="1"/>
  <c r="E12" i="10"/>
  <c r="H10" i="12" s="1"/>
  <c r="J10" i="12"/>
  <c r="J12" i="10" s="1"/>
  <c r="K12" i="10" s="1"/>
  <c r="C12" i="10"/>
  <c r="E10" i="12" s="1"/>
  <c r="H23" i="11"/>
  <c r="H22" i="11"/>
  <c r="H21" i="11"/>
  <c r="H20" i="11"/>
  <c r="F20" i="11"/>
  <c r="H19" i="11"/>
  <c r="F19" i="11"/>
  <c r="H18" i="11"/>
  <c r="F18" i="11"/>
  <c r="H17" i="11"/>
  <c r="F17" i="11"/>
  <c r="H16" i="11"/>
  <c r="F16" i="11"/>
  <c r="H15" i="11"/>
  <c r="F15" i="11"/>
  <c r="H14" i="11"/>
  <c r="F14" i="11"/>
  <c r="H13" i="11"/>
  <c r="F13" i="11"/>
  <c r="H12" i="11"/>
  <c r="F12" i="11"/>
  <c r="F19" i="1"/>
  <c r="I19" i="1" s="1"/>
  <c r="I19" i="10" s="1"/>
  <c r="H19" i="1"/>
  <c r="H23" i="3"/>
  <c r="H22" i="3"/>
  <c r="H21" i="3"/>
  <c r="H20" i="3"/>
  <c r="H19" i="3"/>
  <c r="H17" i="3"/>
  <c r="H16" i="3"/>
  <c r="H15" i="3"/>
  <c r="H14" i="3"/>
  <c r="H13" i="3"/>
  <c r="H12" i="3"/>
  <c r="F20" i="3"/>
  <c r="F19" i="3"/>
  <c r="F17" i="3"/>
  <c r="F16" i="3"/>
  <c r="H23" i="2"/>
  <c r="H22" i="2"/>
  <c r="H21" i="2"/>
  <c r="H20" i="2"/>
  <c r="H19" i="2"/>
  <c r="H17" i="2"/>
  <c r="H16" i="2"/>
  <c r="H15" i="2"/>
  <c r="H14" i="2"/>
  <c r="H13" i="2"/>
  <c r="H12" i="2"/>
  <c r="F20" i="2"/>
  <c r="F19" i="2"/>
  <c r="F17" i="2"/>
  <c r="F16" i="2"/>
  <c r="F22" i="10"/>
  <c r="I20" i="12" s="1"/>
  <c r="F19" i="8"/>
  <c r="F18" i="8"/>
  <c r="F17" i="8"/>
  <c r="F16" i="8"/>
  <c r="F15" i="8"/>
  <c r="F14" i="8"/>
  <c r="F13" i="8"/>
  <c r="F12" i="8"/>
  <c r="H22" i="9"/>
  <c r="H21" i="9"/>
  <c r="H19" i="9"/>
  <c r="H18" i="9"/>
  <c r="H17" i="9"/>
  <c r="H16" i="9"/>
  <c r="H15" i="9"/>
  <c r="H14" i="9"/>
  <c r="H13" i="9"/>
  <c r="H12" i="9"/>
  <c r="F19" i="9"/>
  <c r="F18" i="9"/>
  <c r="F17" i="9"/>
  <c r="F16" i="9"/>
  <c r="F15" i="9"/>
  <c r="F14" i="9"/>
  <c r="F13" i="9"/>
  <c r="F12" i="9"/>
  <c r="H22" i="7"/>
  <c r="H21" i="7"/>
  <c r="H19" i="7"/>
  <c r="H18" i="7"/>
  <c r="H17" i="7"/>
  <c r="H16" i="7"/>
  <c r="H15" i="7"/>
  <c r="H14" i="7"/>
  <c r="H13" i="7"/>
  <c r="H12" i="7"/>
  <c r="F19" i="7"/>
  <c r="F18" i="7"/>
  <c r="F17" i="7"/>
  <c r="F16" i="7"/>
  <c r="H23" i="6"/>
  <c r="H22" i="6"/>
  <c r="H21" i="6"/>
  <c r="H19" i="6"/>
  <c r="H18" i="6"/>
  <c r="H17" i="6"/>
  <c r="H16" i="6"/>
  <c r="H15" i="6"/>
  <c r="H14" i="6"/>
  <c r="H13" i="6"/>
  <c r="H12" i="6"/>
  <c r="F19" i="6"/>
  <c r="F18" i="6"/>
  <c r="F17" i="6"/>
  <c r="F16" i="6"/>
  <c r="H23" i="5"/>
  <c r="H22" i="5"/>
  <c r="H21" i="5"/>
  <c r="H19" i="5"/>
  <c r="H18" i="5"/>
  <c r="H17" i="5"/>
  <c r="H16" i="5"/>
  <c r="H15" i="5"/>
  <c r="H14" i="5"/>
  <c r="H13" i="5"/>
  <c r="H12" i="5"/>
  <c r="F19" i="5"/>
  <c r="F18" i="5"/>
  <c r="F17" i="5"/>
  <c r="F16" i="5"/>
  <c r="H23" i="4"/>
  <c r="H22" i="4"/>
  <c r="H21" i="4"/>
  <c r="H19" i="4"/>
  <c r="H18" i="4"/>
  <c r="H17" i="4"/>
  <c r="H16" i="4"/>
  <c r="H15" i="4"/>
  <c r="H14" i="4"/>
  <c r="H13" i="4"/>
  <c r="H12" i="4"/>
  <c r="F19" i="4"/>
  <c r="F18" i="4"/>
  <c r="F17" i="4"/>
  <c r="F16" i="4"/>
  <c r="H18" i="3"/>
  <c r="F18" i="3"/>
  <c r="H18" i="2"/>
  <c r="F18" i="2"/>
  <c r="H20" i="9"/>
  <c r="H20" i="8"/>
  <c r="H20" i="6"/>
  <c r="H20" i="5"/>
  <c r="H20" i="4"/>
  <c r="H20" i="1"/>
  <c r="F20" i="5"/>
  <c r="F20" i="9"/>
  <c r="F20" i="8"/>
  <c r="F20" i="7"/>
  <c r="F20" i="1"/>
  <c r="I20" i="1" s="1"/>
  <c r="I20" i="10" s="1"/>
  <c r="F20" i="6"/>
  <c r="F20" i="4"/>
  <c r="H13" i="1"/>
  <c r="F14" i="1"/>
  <c r="F14" i="10" s="1"/>
  <c r="I12" i="12" s="1"/>
  <c r="H18" i="1"/>
  <c r="C18" i="1"/>
  <c r="F18" i="1" s="1"/>
  <c r="H17" i="1"/>
  <c r="C17" i="1"/>
  <c r="C17" i="10" s="1"/>
  <c r="E15" i="12" s="1"/>
  <c r="G16" i="1"/>
  <c r="D16" i="1"/>
  <c r="F16" i="1" s="1"/>
  <c r="I16" i="1" s="1"/>
  <c r="I16" i="10" s="1"/>
  <c r="D16" i="10"/>
  <c r="F14" i="12" s="1"/>
  <c r="C16" i="1"/>
  <c r="C16" i="10" s="1"/>
  <c r="E14" i="12" s="1"/>
  <c r="H15" i="1"/>
  <c r="F15" i="1"/>
  <c r="I15" i="1" s="1"/>
  <c r="I15" i="10" s="1"/>
  <c r="H14" i="1"/>
  <c r="F13" i="1"/>
  <c r="F13" i="10" s="1"/>
  <c r="I11" i="12" s="1"/>
  <c r="F12" i="1"/>
  <c r="I12" i="1" s="1"/>
  <c r="I12" i="10" s="1"/>
  <c r="J14" i="12"/>
  <c r="J16" i="10" s="1"/>
  <c r="K16" i="10" s="1"/>
  <c r="F17" i="1"/>
  <c r="F17" i="10" s="1"/>
  <c r="I15" i="12" s="1"/>
  <c r="G27" i="7" l="1"/>
  <c r="G27" i="10" s="1"/>
  <c r="G36" i="1"/>
  <c r="U36" i="1"/>
  <c r="Q34" i="6"/>
  <c r="F34" i="6"/>
  <c r="Q34" i="4"/>
  <c r="F34" i="4"/>
  <c r="Q32" i="3"/>
  <c r="F32" i="3"/>
  <c r="Q33" i="2"/>
  <c r="F33" i="2"/>
  <c r="Q34" i="1"/>
  <c r="F34" i="1"/>
  <c r="H21" i="12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G20" i="12"/>
  <c r="H44" i="12"/>
  <c r="J22" i="10"/>
  <c r="K22" i="10" s="1"/>
  <c r="N20" i="12"/>
  <c r="X34" i="6"/>
  <c r="U34" i="6"/>
  <c r="Y34" i="6"/>
  <c r="T35" i="6"/>
  <c r="G35" i="6" s="1"/>
  <c r="S38" i="6"/>
  <c r="F35" i="6"/>
  <c r="Y33" i="5"/>
  <c r="X33" i="5"/>
  <c r="U33" i="5"/>
  <c r="T34" i="5"/>
  <c r="G34" i="5" s="1"/>
  <c r="F35" i="5"/>
  <c r="U34" i="4"/>
  <c r="Y34" i="4"/>
  <c r="X34" i="4"/>
  <c r="S38" i="4"/>
  <c r="G35" i="4"/>
  <c r="F35" i="4"/>
  <c r="T35" i="3"/>
  <c r="G35" i="3" s="1"/>
  <c r="Y34" i="3"/>
  <c r="X34" i="3"/>
  <c r="U34" i="3"/>
  <c r="T35" i="2"/>
  <c r="G35" i="2" s="1"/>
  <c r="Y34" i="2"/>
  <c r="X34" i="2"/>
  <c r="U34" i="2"/>
  <c r="I17" i="1"/>
  <c r="I17" i="10" s="1"/>
  <c r="I13" i="1"/>
  <c r="I13" i="10" s="1"/>
  <c r="F12" i="10"/>
  <c r="I10" i="12" s="1"/>
  <c r="G11" i="12" s="1"/>
  <c r="F19" i="10"/>
  <c r="I17" i="12" s="1"/>
  <c r="G9" i="12"/>
  <c r="C18" i="10"/>
  <c r="E16" i="12" s="1"/>
  <c r="F20" i="10"/>
  <c r="I18" i="12" s="1"/>
  <c r="G18" i="12" s="1"/>
  <c r="I18" i="1"/>
  <c r="I18" i="10" s="1"/>
  <c r="F18" i="10"/>
  <c r="I16" i="12" s="1"/>
  <c r="G16" i="12" s="1"/>
  <c r="G12" i="12"/>
  <c r="I22" i="1"/>
  <c r="F16" i="10"/>
  <c r="I14" i="12" s="1"/>
  <c r="G8" i="12"/>
  <c r="H16" i="1"/>
  <c r="F15" i="10"/>
  <c r="I13" i="12" s="1"/>
  <c r="G13" i="12" s="1"/>
  <c r="U35" i="1"/>
  <c r="U31" i="1"/>
  <c r="N18" i="12"/>
  <c r="O18" i="12"/>
  <c r="N6" i="12"/>
  <c r="O6" i="12"/>
  <c r="N19" i="12"/>
  <c r="O19" i="12"/>
  <c r="N15" i="12"/>
  <c r="O15" i="12"/>
  <c r="O12" i="12"/>
  <c r="N12" i="12"/>
  <c r="N8" i="12"/>
  <c r="O8" i="12"/>
  <c r="N17" i="12"/>
  <c r="O17" i="12"/>
  <c r="O5" i="12"/>
  <c r="N5" i="12"/>
  <c r="N7" i="12"/>
  <c r="O7" i="12"/>
  <c r="N10" i="12"/>
  <c r="O10" i="12"/>
  <c r="N16" i="12"/>
  <c r="O16" i="12"/>
  <c r="N9" i="12"/>
  <c r="O9" i="12"/>
  <c r="N14" i="12"/>
  <c r="O14" i="12"/>
  <c r="K20" i="12"/>
  <c r="O20" i="12"/>
  <c r="O13" i="12"/>
  <c r="N13" i="12"/>
  <c r="N11" i="12"/>
  <c r="O11" i="12"/>
  <c r="N4" i="12"/>
  <c r="O4" i="12"/>
  <c r="I37" i="9"/>
  <c r="P11" i="10"/>
  <c r="P6" i="10"/>
  <c r="P14" i="10"/>
  <c r="P9" i="10"/>
  <c r="K14" i="12"/>
  <c r="L14" i="12"/>
  <c r="K13" i="12"/>
  <c r="L13" i="12"/>
  <c r="K11" i="12"/>
  <c r="L11" i="12"/>
  <c r="K4" i="12"/>
  <c r="L4" i="12"/>
  <c r="L10" i="12"/>
  <c r="K10" i="12"/>
  <c r="L18" i="12"/>
  <c r="K18" i="12"/>
  <c r="K16" i="12"/>
  <c r="L16" i="12"/>
  <c r="K9" i="12"/>
  <c r="L9" i="12"/>
  <c r="L15" i="12"/>
  <c r="K15" i="12"/>
  <c r="K12" i="12"/>
  <c r="L12" i="12"/>
  <c r="L8" i="12"/>
  <c r="K8" i="12"/>
  <c r="L7" i="12"/>
  <c r="K7" i="12"/>
  <c r="K6" i="12"/>
  <c r="L6" i="12"/>
  <c r="K17" i="12"/>
  <c r="L17" i="12"/>
  <c r="K5" i="12"/>
  <c r="L5" i="12"/>
  <c r="P12" i="10"/>
  <c r="P10" i="10"/>
  <c r="P7" i="10"/>
  <c r="P13" i="10"/>
  <c r="P8" i="10"/>
  <c r="L19" i="12"/>
  <c r="K19" i="12"/>
  <c r="M34" i="12"/>
  <c r="F23" i="10"/>
  <c r="G28" i="7" l="1"/>
  <c r="G28" i="10" s="1"/>
  <c r="S36" i="6"/>
  <c r="F36" i="6" s="1"/>
  <c r="Q34" i="5"/>
  <c r="F34" i="5"/>
  <c r="S38" i="3"/>
  <c r="Q33" i="3"/>
  <c r="F33" i="3"/>
  <c r="S38" i="2"/>
  <c r="Q34" i="2"/>
  <c r="F34" i="2"/>
  <c r="Q35" i="1"/>
  <c r="F35" i="1"/>
  <c r="Q44" i="1"/>
  <c r="F36" i="1"/>
  <c r="F23" i="12"/>
  <c r="H37" i="12" s="1"/>
  <c r="G19" i="12"/>
  <c r="F7" i="13"/>
  <c r="J7" i="13" s="1"/>
  <c r="K7" i="13" s="1"/>
  <c r="Q35" i="6"/>
  <c r="T38" i="6"/>
  <c r="U38" i="6" s="1"/>
  <c r="Y35" i="6"/>
  <c r="X35" i="6"/>
  <c r="U35" i="6"/>
  <c r="Q35" i="5"/>
  <c r="T35" i="5"/>
  <c r="G35" i="5" s="1"/>
  <c r="S38" i="5"/>
  <c r="X34" i="5"/>
  <c r="U34" i="5"/>
  <c r="Y34" i="5"/>
  <c r="Q35" i="4"/>
  <c r="U35" i="4"/>
  <c r="X35" i="4"/>
  <c r="S36" i="4"/>
  <c r="U35" i="3"/>
  <c r="Y35" i="3"/>
  <c r="X35" i="3"/>
  <c r="U35" i="2"/>
  <c r="Y35" i="2"/>
  <c r="X35" i="2"/>
  <c r="F35" i="2"/>
  <c r="F36" i="2"/>
  <c r="G10" i="12"/>
  <c r="G17" i="12"/>
  <c r="G14" i="12"/>
  <c r="I23" i="1"/>
  <c r="I22" i="10"/>
  <c r="G15" i="12"/>
  <c r="U32" i="1"/>
  <c r="N5" i="10"/>
  <c r="N14" i="10"/>
  <c r="N7" i="10"/>
  <c r="N8" i="10"/>
  <c r="N6" i="10"/>
  <c r="N12" i="10"/>
  <c r="N9" i="10"/>
  <c r="N11" i="10"/>
  <c r="N13" i="10"/>
  <c r="N10" i="10"/>
  <c r="F25" i="10"/>
  <c r="G29" i="7" l="1"/>
  <c r="G29" i="10" s="1"/>
  <c r="Q44" i="6"/>
  <c r="Q36" i="6"/>
  <c r="F37" i="6"/>
  <c r="I36" i="6"/>
  <c r="I37" i="6" s="1"/>
  <c r="S36" i="5"/>
  <c r="F36" i="5" s="1"/>
  <c r="U36" i="6"/>
  <c r="G36" i="6"/>
  <c r="U36" i="4"/>
  <c r="G36" i="4"/>
  <c r="Q44" i="4"/>
  <c r="F36" i="4"/>
  <c r="U36" i="3"/>
  <c r="G36" i="3"/>
  <c r="Q34" i="3"/>
  <c r="F34" i="3"/>
  <c r="U36" i="2"/>
  <c r="G36" i="2"/>
  <c r="F37" i="2"/>
  <c r="I36" i="2"/>
  <c r="I37" i="2" s="1"/>
  <c r="F37" i="1"/>
  <c r="I36" i="1"/>
  <c r="J23" i="10"/>
  <c r="K23" i="10" s="1"/>
  <c r="Q44" i="2"/>
  <c r="F5" i="13"/>
  <c r="J5" i="13" s="1"/>
  <c r="K5" i="13" s="1"/>
  <c r="M7" i="13"/>
  <c r="G7" i="13"/>
  <c r="F8" i="13"/>
  <c r="J8" i="13" s="1"/>
  <c r="K8" i="13" s="1"/>
  <c r="Q36" i="4"/>
  <c r="F3" i="13"/>
  <c r="T38" i="1"/>
  <c r="U38" i="1" s="1"/>
  <c r="Y35" i="5"/>
  <c r="X35" i="5"/>
  <c r="U35" i="5"/>
  <c r="T38" i="5"/>
  <c r="U38" i="5" s="1"/>
  <c r="F35" i="3"/>
  <c r="S36" i="3"/>
  <c r="T38" i="2"/>
  <c r="U38" i="2" s="1"/>
  <c r="Q36" i="2"/>
  <c r="Q35" i="2"/>
  <c r="I24" i="1"/>
  <c r="I23" i="10"/>
  <c r="U33" i="1"/>
  <c r="U34" i="1"/>
  <c r="J22" i="12"/>
  <c r="J24" i="10" s="1"/>
  <c r="K24" i="10" s="1"/>
  <c r="F26" i="10"/>
  <c r="G30" i="7" l="1"/>
  <c r="G30" i="10" s="1"/>
  <c r="Q36" i="5"/>
  <c r="Q44" i="5"/>
  <c r="F37" i="5"/>
  <c r="I36" i="5"/>
  <c r="I37" i="5" s="1"/>
  <c r="U36" i="5"/>
  <c r="G36" i="5"/>
  <c r="G36" i="10" s="1"/>
  <c r="H36" i="4"/>
  <c r="F37" i="4"/>
  <c r="I36" i="4"/>
  <c r="I37" i="4" s="1"/>
  <c r="Q44" i="3"/>
  <c r="F36" i="3"/>
  <c r="I37" i="1"/>
  <c r="J3" i="13"/>
  <c r="K3" i="13" s="1"/>
  <c r="G3" i="13"/>
  <c r="M5" i="13"/>
  <c r="G5" i="13"/>
  <c r="M8" i="13"/>
  <c r="G8" i="13"/>
  <c r="F4" i="13"/>
  <c r="M4" i="13" s="1"/>
  <c r="T38" i="4"/>
  <c r="U38" i="4" s="1"/>
  <c r="F6" i="13"/>
  <c r="J6" i="13" s="1"/>
  <c r="K6" i="13" s="1"/>
  <c r="M3" i="13"/>
  <c r="Q36" i="3"/>
  <c r="Q35" i="3"/>
  <c r="I25" i="1"/>
  <c r="I24" i="10"/>
  <c r="O21" i="12"/>
  <c r="N21" i="12"/>
  <c r="K21" i="12"/>
  <c r="N22" i="12"/>
  <c r="O22" i="12"/>
  <c r="K22" i="12"/>
  <c r="J23" i="12"/>
  <c r="J25" i="10" s="1"/>
  <c r="K25" i="10" s="1"/>
  <c r="F27" i="10"/>
  <c r="G31" i="7" l="1"/>
  <c r="G31" i="10" s="1"/>
  <c r="K36" i="10"/>
  <c r="F37" i="3"/>
  <c r="I36" i="3"/>
  <c r="J4" i="13"/>
  <c r="K4" i="13" s="1"/>
  <c r="K11" i="13" s="1"/>
  <c r="G4" i="13"/>
  <c r="F11" i="13"/>
  <c r="G11" i="13" s="1"/>
  <c r="T38" i="3"/>
  <c r="U38" i="3" s="1"/>
  <c r="M6" i="13"/>
  <c r="G6" i="13"/>
  <c r="I25" i="10"/>
  <c r="I26" i="1"/>
  <c r="N23" i="12"/>
  <c r="O23" i="12"/>
  <c r="K23" i="12"/>
  <c r="J24" i="12"/>
  <c r="J26" i="10" s="1"/>
  <c r="K26" i="10" s="1"/>
  <c r="F28" i="10"/>
  <c r="G32" i="7" l="1"/>
  <c r="G32" i="10" s="1"/>
  <c r="J11" i="13"/>
  <c r="J13" i="13" s="1"/>
  <c r="J14" i="13" s="1"/>
  <c r="I37" i="3"/>
  <c r="I36" i="10"/>
  <c r="F13" i="13"/>
  <c r="J36" i="12"/>
  <c r="K36" i="12" s="1"/>
  <c r="M11" i="13"/>
  <c r="M12" i="13" s="1"/>
  <c r="I26" i="10"/>
  <c r="I27" i="1"/>
  <c r="J25" i="12"/>
  <c r="J27" i="10" s="1"/>
  <c r="K27" i="10" s="1"/>
  <c r="O24" i="12"/>
  <c r="K24" i="12"/>
  <c r="F29" i="10"/>
  <c r="G33" i="7" l="1"/>
  <c r="G33" i="10" s="1"/>
  <c r="I27" i="10"/>
  <c r="I28" i="1"/>
  <c r="N25" i="12"/>
  <c r="O25" i="12"/>
  <c r="K25" i="12"/>
  <c r="J26" i="12"/>
  <c r="J28" i="10" s="1"/>
  <c r="K28" i="10" s="1"/>
  <c r="F30" i="10"/>
  <c r="G35" i="7" l="1"/>
  <c r="G35" i="10" s="1"/>
  <c r="G34" i="7"/>
  <c r="G34" i="10" s="1"/>
  <c r="I37" i="12"/>
  <c r="J37" i="12" s="1"/>
  <c r="K37" i="12" s="1"/>
  <c r="I28" i="10"/>
  <c r="I29" i="1"/>
  <c r="J27" i="12"/>
  <c r="J29" i="10" s="1"/>
  <c r="K29" i="10" s="1"/>
  <c r="N26" i="12"/>
  <c r="O26" i="12"/>
  <c r="K26" i="12"/>
  <c r="F31" i="10"/>
  <c r="I30" i="1" l="1"/>
  <c r="I29" i="10"/>
  <c r="N27" i="12"/>
  <c r="O27" i="12"/>
  <c r="K27" i="12"/>
  <c r="J28" i="12"/>
  <c r="J30" i="10" s="1"/>
  <c r="K30" i="10" s="1"/>
  <c r="F32" i="10"/>
  <c r="I31" i="1" l="1"/>
  <c r="I30" i="10"/>
  <c r="J29" i="12"/>
  <c r="J31" i="10" s="1"/>
  <c r="K31" i="10" s="1"/>
  <c r="N28" i="12"/>
  <c r="O28" i="12"/>
  <c r="K28" i="12"/>
  <c r="F33" i="10"/>
  <c r="I31" i="10" l="1"/>
  <c r="I32" i="1"/>
  <c r="O29" i="12"/>
  <c r="N29" i="12"/>
  <c r="K29" i="12"/>
  <c r="J30" i="12"/>
  <c r="J32" i="10" s="1"/>
  <c r="K32" i="10" s="1"/>
  <c r="F35" i="10"/>
  <c r="F34" i="10"/>
  <c r="I33" i="1" l="1"/>
  <c r="I32" i="10"/>
  <c r="N30" i="12"/>
  <c r="O30" i="12"/>
  <c r="K30" i="12"/>
  <c r="J31" i="12"/>
  <c r="J33" i="10" s="1"/>
  <c r="K33" i="10" s="1"/>
  <c r="I33" i="10" l="1"/>
  <c r="I34" i="1"/>
  <c r="N31" i="12"/>
  <c r="O31" i="12"/>
  <c r="K31" i="12"/>
  <c r="J32" i="12"/>
  <c r="J34" i="10" s="1"/>
  <c r="K34" i="10" s="1"/>
  <c r="I34" i="10" l="1"/>
  <c r="I35" i="1"/>
  <c r="I35" i="10" s="1"/>
  <c r="N32" i="12"/>
  <c r="O32" i="12"/>
  <c r="K32" i="12"/>
  <c r="J33" i="12"/>
  <c r="J35" i="10" s="1"/>
  <c r="K35" i="10" s="1"/>
  <c r="J36" i="10" l="1"/>
  <c r="N33" i="12"/>
  <c r="O33" i="12"/>
  <c r="K33" i="12"/>
  <c r="N34" i="12" l="1"/>
  <c r="O34" i="12"/>
  <c r="F59" i="12"/>
  <c r="F61" i="12" s="1"/>
  <c r="F63" i="12" s="1"/>
  <c r="K34" i="12"/>
  <c r="F24" i="1" l="1"/>
  <c r="F24" i="10" s="1"/>
  <c r="Q24" i="1" l="1"/>
  <c r="Q25" i="1"/>
  <c r="D21" i="12" l="1"/>
</calcChain>
</file>

<file path=xl/comments1.xml><?xml version="1.0" encoding="utf-8"?>
<comments xmlns="http://schemas.openxmlformats.org/spreadsheetml/2006/main">
  <authors>
    <author>Iwied</author>
  </authors>
  <commentList>
    <comment ref="F36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Alokasi luas Peruntukan Perkebunan pada peta RTRW Kaltim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Skenario luas lahan untuk sawit 30%-nya dilindungi sebagai kawasan HCV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Tanaman Belum Menghasilkan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Digunakan untuk perhitungan limbah industri Kelapa Sawit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dibagi 14 tahun tersisa yaitu 2017-2030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TBM dapat berproduksi pada tahun ke 4</t>
        </r>
      </text>
    </comment>
  </commentList>
</comments>
</file>

<file path=xl/comments3.xml><?xml version="1.0" encoding="utf-8"?>
<comments xmlns="http://schemas.openxmlformats.org/spreadsheetml/2006/main">
  <authors>
    <author>Iwied</author>
  </authors>
  <commentList>
    <comment ref="O4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Tanaman Belum Menghasilkan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Digunakan untuk perhitungan limbah industri Kelapa Sawit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Produksi Sawit dari PBS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hanya produksi dari kebun rakyat
data produksi kebun swasta tidak tercatat dalam KDA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dibagi 14 tahun tersisa yaitu 2017-2030</t>
        </r>
      </text>
    </comment>
    <comment ref="R46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TBM dapat berproduksi pada tahun ke 4</t>
        </r>
      </text>
    </comment>
  </commentList>
</comments>
</file>

<file path=xl/comments4.xml><?xml version="1.0" encoding="utf-8"?>
<comments xmlns="http://schemas.openxmlformats.org/spreadsheetml/2006/main">
  <authors>
    <author>Iwied</author>
  </authors>
  <commentList>
    <comment ref="O4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Tanaman Belum Menghasilkan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Digunakan untuk perhitungan limbah industri Kelapa Sawit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dibagi 14 tahun tersisa yaitu 2017-2030</t>
        </r>
      </text>
    </comment>
    <comment ref="R46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TBM dapat berproduksi pada tahun ke 4</t>
        </r>
      </text>
    </comment>
  </commentList>
</comments>
</file>

<file path=xl/comments5.xml><?xml version="1.0" encoding="utf-8"?>
<comments xmlns="http://schemas.openxmlformats.org/spreadsheetml/2006/main">
  <authors>
    <author>Iwied</author>
  </authors>
  <commentList>
    <comment ref="O4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Tanaman Belum Menghasilkan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Digunakan untuk perhitungan limbah industri Kelapa Sawit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dibagi 14 tahun tersisa yaitu 2017-2030</t>
        </r>
      </text>
    </comment>
    <comment ref="R46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TBM dapat berproduksi pada tahun ke 4</t>
        </r>
      </text>
    </comment>
  </commentList>
</comments>
</file>

<file path=xl/comments6.xml><?xml version="1.0" encoding="utf-8"?>
<comments xmlns="http://schemas.openxmlformats.org/spreadsheetml/2006/main">
  <authors>
    <author>Iwied</author>
  </authors>
  <commentList>
    <comment ref="O4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Tanaman Belum Menghasilkan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Digunakan untuk perhitungan limbah industri Kelapa Sawit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dibagi 14 tahun tersisa yaitu 2017-2030</t>
        </r>
      </text>
    </comment>
    <comment ref="R46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TBM dapat berproduksi pada tahun ke 4</t>
        </r>
      </text>
    </comment>
  </commentList>
</comments>
</file>

<file path=xl/comments7.xml><?xml version="1.0" encoding="utf-8"?>
<comments xmlns="http://schemas.openxmlformats.org/spreadsheetml/2006/main">
  <authors>
    <author>Iwied</author>
  </authors>
  <commentList>
    <comment ref="O4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Tanaman Belum Menghasilkan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Digunakan untuk perhitungan limbah industri Kelapa Sawit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dibagi 14 tahun tersisa yaitu 2017-2030</t>
        </r>
      </text>
    </comment>
    <comment ref="R46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TBM dapat berproduksi pada tahun ke 4</t>
        </r>
      </text>
    </comment>
  </commentList>
</comments>
</file>

<file path=xl/comments8.xml><?xml version="1.0" encoding="utf-8"?>
<comments xmlns="http://schemas.openxmlformats.org/spreadsheetml/2006/main">
  <authors>
    <author>Iwied</author>
  </authors>
  <commentList>
    <comment ref="O4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Tanaman Belum Menghasilkan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Digunakan untuk perhitungan limbah industri Kelapa Sawit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dibagi 14 tahun tersisa yaitu 2017-2030</t>
        </r>
      </text>
    </comment>
    <comment ref="R46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TBM dapat berproduksi pada tahun ke 4</t>
        </r>
      </text>
    </comment>
  </commentList>
</comments>
</file>

<file path=xl/comments9.xml><?xml version="1.0" encoding="utf-8"?>
<comments xmlns="http://schemas.openxmlformats.org/spreadsheetml/2006/main">
  <authors>
    <author>Iwied</author>
  </authors>
  <commentList>
    <comment ref="O4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Tanaman Belum Menghasilkan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Digunakan untuk perhitungan limbah industri Kelapa Sawit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dibagi 14 tahun tersisa yaitu 2017-2030</t>
        </r>
      </text>
    </comment>
    <comment ref="R46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TBM dapat berproduksi pada tahun ke 4</t>
        </r>
      </text>
    </comment>
  </commentList>
</comments>
</file>

<file path=xl/sharedStrings.xml><?xml version="1.0" encoding="utf-8"?>
<sst xmlns="http://schemas.openxmlformats.org/spreadsheetml/2006/main" count="615" uniqueCount="105">
  <si>
    <t>Kabupaten BERAU</t>
  </si>
  <si>
    <t>No</t>
  </si>
  <si>
    <t>Tahun</t>
  </si>
  <si>
    <t>Luas Areal ( Ha )</t>
  </si>
  <si>
    <t>Jumlah</t>
  </si>
  <si>
    <t>Produksi</t>
  </si>
  <si>
    <t>Rata- Rata</t>
  </si>
  <si>
    <t>TBM</t>
  </si>
  <si>
    <t>TM</t>
  </si>
  <si>
    <t>TT/TR</t>
  </si>
  <si>
    <t>( Ha )</t>
  </si>
  <si>
    <t>( Ton )</t>
  </si>
  <si>
    <t>Produksi (kg/ha)</t>
  </si>
  <si>
    <t xml:space="preserve">Data Luas Lahan dan Produksi Kelapa Sawit </t>
  </si>
  <si>
    <t>Kabupaten KUTAI KERTANEGARA</t>
  </si>
  <si>
    <t>Kabupaten KUTAI BARAT</t>
  </si>
  <si>
    <t>Kabupaten KUTAI TIMUR</t>
  </si>
  <si>
    <t>Kabupaten PASER</t>
  </si>
  <si>
    <t>Kabupaten PENAJAM PASER UTARA</t>
  </si>
  <si>
    <t>Kota SAMARINDA</t>
  </si>
  <si>
    <t>Kota BONTANG</t>
  </si>
  <si>
    <t>Kota BALIKPAPAN</t>
  </si>
  <si>
    <t>KALIMANTAN TIMUR</t>
  </si>
  <si>
    <t>Kab/Kota</t>
  </si>
  <si>
    <t>BERAU</t>
  </si>
  <si>
    <t>KUKAR</t>
  </si>
  <si>
    <t>KUBAR</t>
  </si>
  <si>
    <t>KUTIM</t>
  </si>
  <si>
    <t>PASER</t>
  </si>
  <si>
    <t>PPU</t>
  </si>
  <si>
    <t>SAMARINDA</t>
  </si>
  <si>
    <t>BALIKPAPAN</t>
  </si>
  <si>
    <t>BONTANG</t>
  </si>
  <si>
    <t>TAHUN</t>
  </si>
  <si>
    <t>Kab MAHULU</t>
  </si>
  <si>
    <t>Luas Areal (Ha)</t>
  </si>
  <si>
    <t>Produksi (Ton)</t>
  </si>
  <si>
    <t>MAHULU</t>
  </si>
  <si>
    <t>Luas (Ha)</t>
  </si>
  <si>
    <t>%</t>
  </si>
  <si>
    <t>Catatan Skenario:</t>
  </si>
  <si>
    <t>BAU Baseline FL: 100% luas alokasi perkebunan dalam RTRW berubah menjadi kebun sawit di tahun 2030</t>
  </si>
  <si>
    <t>Skenario Penurunan Emisi: 70% luas alokasi perkebunan dalam RTRW berubah menjadi kebun sawit di tahun 2030 (30% menjadi kawasan HCV)</t>
  </si>
  <si>
    <t>BAU FL</t>
  </si>
  <si>
    <t>SPE</t>
  </si>
  <si>
    <t>2,2juta</t>
  </si>
  <si>
    <t>New Planting</t>
  </si>
  <si>
    <t>check pertambahan luas per tahun</t>
  </si>
  <si>
    <t>Produksi (ton)</t>
  </si>
  <si>
    <t>Produksi CPO (ton)</t>
  </si>
  <si>
    <t>Yield (ton TBS/ha/tahun)</t>
  </si>
  <si>
    <t>Persen Kenaikan</t>
  </si>
  <si>
    <t>Limbah Padat</t>
  </si>
  <si>
    <t>Limbah Cair</t>
  </si>
  <si>
    <t>mengikuti skenario FL</t>
  </si>
  <si>
    <t>PROPORSI LUAS DAN PRODUKSI SAWIT TAHUN 2016 BERDASARKAN KAB/KOTA</t>
  </si>
  <si>
    <t>Luas Tertanam pada 2016</t>
  </si>
  <si>
    <t>Pertambahan lahan per tahun 2017-2030</t>
  </si>
  <si>
    <t>Data Ijin Lokasi per Agustus 2015 (Disbun Prov)</t>
  </si>
  <si>
    <t>Luas tertanam hingga tahun 2030</t>
  </si>
  <si>
    <t>Tambahan Luasan TM 2015-2016</t>
  </si>
  <si>
    <t>Luasan tanaman menghasilkan per tahun dari sisa TBM 2016</t>
  </si>
  <si>
    <t xml:space="preserve">Luasan tanaman menghasilkan per tahun dari tanaman baru 2017 ke atas </t>
  </si>
  <si>
    <t>Sisa TBM 2016</t>
  </si>
  <si>
    <t>Skenario FL 70% dari alokasi ijin lokasi kebun sawit berubah menjadi kebun kelapa sawit</t>
  </si>
  <si>
    <t xml:space="preserve">Sisa Penambahan luas lahan tanam 2017-2030 </t>
  </si>
  <si>
    <t>Luas Ijin Lokasi (ha) pada Agustus 2015</t>
  </si>
  <si>
    <t>TBS</t>
  </si>
  <si>
    <t>ton</t>
  </si>
  <si>
    <t>POME</t>
  </si>
  <si>
    <t>m3</t>
  </si>
  <si>
    <t>methane capture utk listrik</t>
  </si>
  <si>
    <t>Tandan Kosong</t>
  </si>
  <si>
    <t>Potas ash</t>
  </si>
  <si>
    <t>Pupuk</t>
  </si>
  <si>
    <t>Kernel</t>
  </si>
  <si>
    <t>Minyak kernel</t>
  </si>
  <si>
    <t>Serabut</t>
  </si>
  <si>
    <t>dibakar di boiler</t>
  </si>
  <si>
    <t>Cangkang</t>
  </si>
  <si>
    <t>Total FFB amount</t>
  </si>
  <si>
    <t>tFFB/year</t>
  </si>
  <si>
    <t>Conversion of Waste Water</t>
  </si>
  <si>
    <t>m3/tFFB</t>
  </si>
  <si>
    <t>Amount of Wastewater</t>
  </si>
  <si>
    <t>m3/year</t>
  </si>
  <si>
    <t>Biogas Production</t>
  </si>
  <si>
    <t>m3 Gas / m3 WW</t>
  </si>
  <si>
    <t>Biogas Amount</t>
  </si>
  <si>
    <t>PKS eksis</t>
  </si>
  <si>
    <t>PKS 2020</t>
  </si>
  <si>
    <t>PKS 2030</t>
  </si>
  <si>
    <t>2016/2017</t>
  </si>
  <si>
    <t>Berau</t>
  </si>
  <si>
    <t>Kutai Timur</t>
  </si>
  <si>
    <t>Kutai Kertanegara</t>
  </si>
  <si>
    <t>Kutai Barat</t>
  </si>
  <si>
    <t>Penajam Paser Utara</t>
  </si>
  <si>
    <t>Pasir</t>
  </si>
  <si>
    <t>Samarinda</t>
  </si>
  <si>
    <t>Total</t>
  </si>
  <si>
    <t>Mahulu</t>
  </si>
  <si>
    <t>Tambahan PKS</t>
  </si>
  <si>
    <t>Estimasi PKS tanpa POME</t>
  </si>
  <si>
    <t>ANGKA TARGET PERKEBUNAN SESUAI DEKLARASI 11 SEPT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</si>
</sst>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_-* #,##0.0_-;\-* #,##0.0_-;_-* &quot;-&quot;??_-;_-@_-"/>
    <numFmt numFmtId="167" formatCode="0.0%"/>
    <numFmt numFmtId="168" formatCode="_(* #,##0_);_(* \(#,##0\);_(* &quot;-&quot;_);_(@_)"/>
    <numFmt numFmtId="169" formatCode="_(* #,##0.0_);_(* \(#,##0.0\);_(* &quot;-&quot;?_);_(@_)"/>
    <numFmt numFmtId="170" formatCode="_(* #,##0.0_);_(* \(#,##0.0\);_(* &quot;-&quot;_);_(@_)"/>
    <numFmt numFmtId="171" formatCode="_(* #,##0.00_);_(* \(#,##0.00\);_(* &quot;-&quot;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8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Font="1" applyBorder="1"/>
    <xf numFmtId="41" fontId="2" fillId="0" borderId="1" xfId="2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1" applyNumberFormat="1" applyFont="1" applyBorder="1"/>
    <xf numFmtId="41" fontId="2" fillId="0" borderId="1" xfId="2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4" fontId="0" fillId="0" borderId="0" xfId="1" applyNumberFormat="1" applyFont="1"/>
    <xf numFmtId="0" fontId="0" fillId="0" borderId="1" xfId="0" applyBorder="1"/>
    <xf numFmtId="43" fontId="0" fillId="0" borderId="1" xfId="0" applyNumberFormat="1" applyFont="1" applyBorder="1"/>
    <xf numFmtId="164" fontId="0" fillId="0" borderId="1" xfId="1" applyNumberFormat="1" applyFont="1" applyBorder="1" applyAlignment="1">
      <alignment vertical="center"/>
    </xf>
    <xf numFmtId="164" fontId="0" fillId="0" borderId="2" xfId="1" applyNumberFormat="1" applyFont="1" applyFill="1" applyBorder="1" applyAlignment="1">
      <alignment vertical="center"/>
    </xf>
    <xf numFmtId="164" fontId="0" fillId="0" borderId="0" xfId="1" applyNumberFormat="1" applyFont="1" applyAlignment="1">
      <alignment vertical="center"/>
    </xf>
    <xf numFmtId="41" fontId="3" fillId="0" borderId="1" xfId="2" applyFont="1" applyFill="1" applyBorder="1" applyAlignment="1">
      <alignment horizontal="center"/>
    </xf>
    <xf numFmtId="164" fontId="3" fillId="2" borderId="1" xfId="1" quotePrefix="1" applyNumberFormat="1" applyFont="1" applyFill="1" applyBorder="1" applyAlignment="1">
      <alignment horizontal="center"/>
    </xf>
    <xf numFmtId="164" fontId="3" fillId="2" borderId="1" xfId="1" applyNumberFormat="1" applyFont="1" applyFill="1" applyBorder="1"/>
    <xf numFmtId="164" fontId="3" fillId="0" borderId="1" xfId="1" quotePrefix="1" applyNumberFormat="1" applyFont="1" applyBorder="1" applyAlignment="1">
      <alignment horizontal="center"/>
    </xf>
    <xf numFmtId="164" fontId="3" fillId="0" borderId="1" xfId="1" applyNumberFormat="1" applyFont="1" applyBorder="1"/>
    <xf numFmtId="165" fontId="4" fillId="0" borderId="2" xfId="1" quotePrefix="1" applyNumberFormat="1" applyFont="1" applyFill="1" applyBorder="1" applyAlignment="1">
      <alignment horizontal="right"/>
    </xf>
    <xf numFmtId="165" fontId="4" fillId="0" borderId="2" xfId="1" applyNumberFormat="1" applyFont="1" applyFill="1" applyBorder="1"/>
    <xf numFmtId="41" fontId="3" fillId="0" borderId="1" xfId="2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/>
    </xf>
    <xf numFmtId="164" fontId="3" fillId="0" borderId="1" xfId="1" quotePrefix="1" applyNumberFormat="1" applyFont="1" applyFill="1" applyBorder="1" applyAlignment="1">
      <alignment horizontal="center"/>
    </xf>
    <xf numFmtId="164" fontId="1" fillId="0" borderId="1" xfId="1" applyNumberFormat="1" applyFont="1" applyBorder="1"/>
    <xf numFmtId="165" fontId="3" fillId="0" borderId="1" xfId="1" quotePrefix="1" applyNumberFormat="1" applyFont="1" applyFill="1" applyBorder="1" applyAlignment="1">
      <alignment horizontal="right"/>
    </xf>
    <xf numFmtId="166" fontId="0" fillId="0" borderId="1" xfId="1" applyNumberFormat="1" applyFont="1" applyBorder="1"/>
    <xf numFmtId="164" fontId="0" fillId="0" borderId="1" xfId="1" applyNumberFormat="1" applyFont="1" applyFill="1" applyBorder="1"/>
    <xf numFmtId="164" fontId="1" fillId="0" borderId="1" xfId="1" applyNumberFormat="1" applyFont="1" applyFill="1" applyBorder="1"/>
    <xf numFmtId="41" fontId="3" fillId="2" borderId="1" xfId="2" applyFont="1" applyFill="1" applyBorder="1" applyAlignment="1">
      <alignment horizontal="center"/>
    </xf>
    <xf numFmtId="167" fontId="0" fillId="0" borderId="1" xfId="3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 applyFill="1" applyBorder="1" applyAlignment="1">
      <alignment horizontal="center" vertical="center" wrapText="1"/>
    </xf>
    <xf numFmtId="10" fontId="0" fillId="0" borderId="0" xfId="3" applyNumberFormat="1" applyFont="1" applyBorder="1"/>
    <xf numFmtId="0" fontId="0" fillId="0" borderId="0" xfId="0" applyFont="1" applyBorder="1" applyAlignment="1">
      <alignment horizontal="center" vertical="center"/>
    </xf>
    <xf numFmtId="41" fontId="3" fillId="5" borderId="1" xfId="2" applyFont="1" applyFill="1" applyBorder="1" applyAlignment="1">
      <alignment horizontal="center"/>
    </xf>
    <xf numFmtId="164" fontId="3" fillId="5" borderId="1" xfId="1" applyNumberFormat="1" applyFont="1" applyFill="1" applyBorder="1"/>
    <xf numFmtId="164" fontId="1" fillId="5" borderId="1" xfId="1" applyNumberFormat="1" applyFont="1" applyFill="1" applyBorder="1"/>
    <xf numFmtId="164" fontId="0" fillId="5" borderId="1" xfId="1" applyNumberFormat="1" applyFont="1" applyFill="1" applyBorder="1"/>
    <xf numFmtId="41" fontId="3" fillId="6" borderId="1" xfId="2" applyFont="1" applyFill="1" applyBorder="1" applyAlignment="1">
      <alignment horizontal="center"/>
    </xf>
    <xf numFmtId="41" fontId="0" fillId="6" borderId="1" xfId="0" applyNumberFormat="1" applyFont="1" applyFill="1" applyBorder="1"/>
    <xf numFmtId="164" fontId="0" fillId="6" borderId="1" xfId="1" applyNumberFormat="1" applyFont="1" applyFill="1" applyBorder="1"/>
    <xf numFmtId="167" fontId="0" fillId="0" borderId="0" xfId="3" applyNumberFormat="1" applyFont="1"/>
    <xf numFmtId="10" fontId="0" fillId="0" borderId="0" xfId="3" applyNumberFormat="1" applyFont="1"/>
    <xf numFmtId="0" fontId="0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41" fontId="3" fillId="0" borderId="1" xfId="2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5" fontId="3" fillId="0" borderId="2" xfId="1" applyNumberFormat="1" applyFont="1" applyFill="1" applyBorder="1" applyAlignment="1">
      <alignment vertical="center"/>
    </xf>
    <xf numFmtId="10" fontId="0" fillId="0" borderId="0" xfId="3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41" fontId="3" fillId="5" borderId="1" xfId="2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vertical="center"/>
    </xf>
    <xf numFmtId="41" fontId="3" fillId="6" borderId="1" xfId="2" applyFont="1" applyFill="1" applyBorder="1" applyAlignment="1">
      <alignment horizontal="center" vertical="center"/>
    </xf>
    <xf numFmtId="41" fontId="0" fillId="6" borderId="1" xfId="0" applyNumberFormat="1" applyFont="1" applyFill="1" applyBorder="1" applyAlignment="1">
      <alignment vertical="center"/>
    </xf>
    <xf numFmtId="164" fontId="0" fillId="6" borderId="1" xfId="0" applyNumberFormat="1" applyFont="1" applyFill="1" applyBorder="1" applyAlignment="1">
      <alignment vertical="center"/>
    </xf>
    <xf numFmtId="41" fontId="0" fillId="0" borderId="1" xfId="0" applyNumberFormat="1" applyBorder="1"/>
    <xf numFmtId="41" fontId="2" fillId="6" borderId="1" xfId="2" applyFont="1" applyFill="1" applyBorder="1" applyAlignment="1">
      <alignment horizontal="center"/>
    </xf>
    <xf numFmtId="41" fontId="0" fillId="6" borderId="1" xfId="0" applyNumberFormat="1" applyFill="1" applyBorder="1"/>
    <xf numFmtId="164" fontId="0" fillId="6" borderId="1" xfId="0" applyNumberFormat="1" applyFill="1" applyBorder="1"/>
    <xf numFmtId="43" fontId="0" fillId="6" borderId="1" xfId="0" applyNumberFormat="1" applyFill="1" applyBorder="1"/>
    <xf numFmtId="41" fontId="2" fillId="5" borderId="1" xfId="2" applyFont="1" applyFill="1" applyBorder="1" applyAlignment="1">
      <alignment horizontal="center"/>
    </xf>
    <xf numFmtId="43" fontId="0" fillId="3" borderId="1" xfId="0" applyNumberFormat="1" applyFill="1" applyBorder="1"/>
    <xf numFmtId="165" fontId="4" fillId="0" borderId="1" xfId="1" quotePrefix="1" applyNumberFormat="1" applyFont="1" applyFill="1" applyBorder="1" applyAlignment="1">
      <alignment horizontal="right"/>
    </xf>
    <xf numFmtId="164" fontId="0" fillId="4" borderId="1" xfId="0" applyNumberFormat="1" applyFill="1" applyBorder="1"/>
    <xf numFmtId="166" fontId="0" fillId="0" borderId="1" xfId="0" applyNumberFormat="1" applyFont="1" applyBorder="1"/>
    <xf numFmtId="0" fontId="0" fillId="5" borderId="1" xfId="0" applyFont="1" applyFill="1" applyBorder="1" applyAlignment="1">
      <alignment horizontal="center" vertical="center"/>
    </xf>
    <xf numFmtId="166" fontId="0" fillId="5" borderId="1" xfId="1" applyNumberFormat="1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43" fontId="0" fillId="0" borderId="0" xfId="0" applyNumberFormat="1" applyAlignment="1">
      <alignment vertical="center"/>
    </xf>
    <xf numFmtId="169" fontId="0" fillId="0" borderId="0" xfId="0" applyNumberFormat="1" applyFill="1"/>
    <xf numFmtId="170" fontId="0" fillId="2" borderId="0" xfId="4" applyNumberFormat="1" applyFont="1" applyFill="1" applyAlignment="1">
      <alignment horizontal="center"/>
    </xf>
    <xf numFmtId="170" fontId="0" fillId="0" borderId="0" xfId="4" applyNumberFormat="1" applyFont="1" applyFill="1" applyAlignment="1">
      <alignment horizontal="center"/>
    </xf>
    <xf numFmtId="171" fontId="0" fillId="2" borderId="0" xfId="0" applyNumberFormat="1" applyFill="1"/>
    <xf numFmtId="171" fontId="0" fillId="0" borderId="0" xfId="0" applyNumberFormat="1"/>
    <xf numFmtId="169" fontId="0" fillId="0" borderId="0" xfId="0" applyNumberFormat="1" applyAlignment="1">
      <alignment vertical="top"/>
    </xf>
    <xf numFmtId="170" fontId="0" fillId="0" borderId="0" xfId="0" applyNumberFormat="1" applyAlignment="1">
      <alignment vertical="top"/>
    </xf>
    <xf numFmtId="166" fontId="0" fillId="0" borderId="0" xfId="1" applyNumberFormat="1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43" fontId="0" fillId="2" borderId="0" xfId="1" applyFont="1" applyFill="1" applyAlignment="1">
      <alignment vertical="center"/>
    </xf>
    <xf numFmtId="166" fontId="0" fillId="2" borderId="0" xfId="1" applyNumberFormat="1" applyFont="1" applyFill="1" applyAlignment="1">
      <alignment vertical="center"/>
    </xf>
    <xf numFmtId="169" fontId="0" fillId="0" borderId="0" xfId="0" applyNumberFormat="1" applyFill="1" applyAlignment="1">
      <alignment vertical="center"/>
    </xf>
    <xf numFmtId="171" fontId="3" fillId="0" borderId="0" xfId="2" applyNumberFormat="1" applyFont="1" applyFill="1" applyBorder="1" applyAlignment="1">
      <alignment horizontal="right"/>
    </xf>
    <xf numFmtId="49" fontId="0" fillId="0" borderId="0" xfId="4" applyNumberFormat="1" applyFont="1" applyFill="1" applyAlignment="1">
      <alignment vertical="center"/>
    </xf>
    <xf numFmtId="49" fontId="0" fillId="0" borderId="0" xfId="4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/>
    <xf numFmtId="170" fontId="0" fillId="2" borderId="0" xfId="4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3" fontId="0" fillId="8" borderId="0" xfId="0" applyNumberFormat="1" applyFill="1" applyAlignment="1">
      <alignment vertical="center"/>
    </xf>
    <xf numFmtId="170" fontId="0" fillId="8" borderId="0" xfId="0" applyNumberFormat="1" applyFill="1" applyAlignment="1">
      <alignment vertical="center"/>
    </xf>
    <xf numFmtId="43" fontId="0" fillId="8" borderId="0" xfId="1" applyFont="1" applyFill="1" applyAlignment="1">
      <alignment vertical="center"/>
    </xf>
    <xf numFmtId="166" fontId="0" fillId="8" borderId="0" xfId="1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Alignment="1">
      <alignment horizontal="left"/>
    </xf>
    <xf numFmtId="43" fontId="0" fillId="0" borderId="0" xfId="1" applyFont="1" applyAlignment="1">
      <alignment horizontal="left"/>
    </xf>
    <xf numFmtId="168" fontId="0" fillId="0" borderId="0" xfId="0" applyNumberFormat="1" applyFont="1" applyBorder="1"/>
    <xf numFmtId="168" fontId="0" fillId="2" borderId="0" xfId="0" applyNumberFormat="1" applyFont="1" applyFill="1" applyBorder="1"/>
    <xf numFmtId="41" fontId="0" fillId="0" borderId="0" xfId="2" applyFont="1" applyBorder="1"/>
    <xf numFmtId="41" fontId="0" fillId="0" borderId="0" xfId="2" applyFont="1" applyBorder="1" applyAlignment="1">
      <alignment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43" fontId="0" fillId="2" borderId="0" xfId="0" applyNumberFormat="1" applyFill="1" applyAlignment="1">
      <alignment vertical="center"/>
    </xf>
    <xf numFmtId="9" fontId="0" fillId="0" borderId="0" xfId="3" applyFont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41" fontId="3" fillId="0" borderId="1" xfId="2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vertical="center"/>
    </xf>
    <xf numFmtId="170" fontId="0" fillId="9" borderId="0" xfId="0" applyNumberFormat="1" applyFill="1" applyAlignment="1">
      <alignment vertical="center"/>
    </xf>
    <xf numFmtId="43" fontId="0" fillId="9" borderId="0" xfId="1" applyFont="1" applyFill="1" applyAlignment="1">
      <alignment vertical="center"/>
    </xf>
    <xf numFmtId="43" fontId="0" fillId="9" borderId="0" xfId="0" applyNumberFormat="1" applyFill="1" applyAlignment="1">
      <alignment vertical="center"/>
    </xf>
    <xf numFmtId="166" fontId="0" fillId="9" borderId="0" xfId="1" applyNumberFormat="1" applyFont="1" applyFill="1" applyAlignment="1">
      <alignment vertical="center"/>
    </xf>
    <xf numFmtId="10" fontId="0" fillId="9" borderId="0" xfId="3" applyNumberFormat="1" applyFont="1" applyFill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43" fontId="0" fillId="0" borderId="0" xfId="0" applyNumberFormat="1" applyFill="1" applyAlignment="1">
      <alignment vertical="center"/>
    </xf>
    <xf numFmtId="170" fontId="0" fillId="0" borderId="0" xfId="0" applyNumberFormat="1" applyFill="1" applyAlignment="1">
      <alignment vertical="center"/>
    </xf>
    <xf numFmtId="43" fontId="0" fillId="0" borderId="0" xfId="1" applyFont="1" applyFill="1" applyAlignment="1">
      <alignment vertical="center"/>
    </xf>
    <xf numFmtId="166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66" fontId="0" fillId="2" borderId="1" xfId="1" applyNumberFormat="1" applyFont="1" applyFill="1" applyBorder="1"/>
    <xf numFmtId="170" fontId="0" fillId="2" borderId="0" xfId="0" applyNumberFormat="1" applyFill="1" applyAlignment="1">
      <alignment vertical="center"/>
    </xf>
    <xf numFmtId="10" fontId="0" fillId="2" borderId="0" xfId="3" applyNumberFormat="1" applyFont="1" applyFill="1" applyAlignment="1">
      <alignment vertical="center"/>
    </xf>
    <xf numFmtId="43" fontId="0" fillId="10" borderId="0" xfId="0" applyNumberFormat="1" applyFill="1" applyAlignment="1">
      <alignment vertical="center"/>
    </xf>
    <xf numFmtId="170" fontId="0" fillId="10" borderId="0" xfId="0" applyNumberFormat="1" applyFill="1" applyAlignment="1">
      <alignment vertical="center"/>
    </xf>
    <xf numFmtId="43" fontId="0" fillId="10" borderId="0" xfId="1" applyFont="1" applyFill="1" applyAlignment="1">
      <alignment vertical="center"/>
    </xf>
    <xf numFmtId="0" fontId="0" fillId="10" borderId="0" xfId="0" applyFill="1" applyAlignment="1">
      <alignment vertical="center"/>
    </xf>
    <xf numFmtId="10" fontId="0" fillId="10" borderId="0" xfId="3" applyNumberFormat="1" applyFont="1" applyFill="1" applyAlignment="1">
      <alignment vertical="center"/>
    </xf>
    <xf numFmtId="0" fontId="0" fillId="10" borderId="1" xfId="0" applyFont="1" applyFill="1" applyBorder="1" applyAlignment="1">
      <alignment horizontal="center"/>
    </xf>
    <xf numFmtId="164" fontId="0" fillId="9" borderId="0" xfId="0" applyNumberForma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3" fontId="0" fillId="9" borderId="0" xfId="0" applyNumberFormat="1" applyFill="1" applyAlignment="1">
      <alignment horizontal="center" vertical="center"/>
    </xf>
    <xf numFmtId="41" fontId="2" fillId="5" borderId="1" xfId="2" applyFont="1" applyFill="1" applyBorder="1" applyAlignment="1">
      <alignment horizontal="center" vertical="center"/>
    </xf>
    <xf numFmtId="41" fontId="2" fillId="0" borderId="1" xfId="2" applyFont="1" applyFill="1" applyBorder="1" applyAlignment="1">
      <alignment horizontal="center" vertical="center"/>
    </xf>
    <xf numFmtId="41" fontId="2" fillId="6" borderId="1" xfId="2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41" fontId="0" fillId="6" borderId="1" xfId="0" applyNumberFormat="1" applyFill="1" applyBorder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165" fontId="4" fillId="0" borderId="2" xfId="1" applyNumberFormat="1" applyFont="1" applyFill="1" applyBorder="1" applyAlignment="1">
      <alignment vertical="center"/>
    </xf>
    <xf numFmtId="164" fontId="0" fillId="6" borderId="1" xfId="1" applyNumberFormat="1" applyFont="1" applyFill="1" applyBorder="1" applyAlignment="1">
      <alignment vertical="center"/>
    </xf>
    <xf numFmtId="0" fontId="0" fillId="10" borderId="1" xfId="0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vertical="center"/>
    </xf>
    <xf numFmtId="170" fontId="0" fillId="0" borderId="0" xfId="4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171" fontId="0" fillId="0" borderId="0" xfId="0" applyNumberFormat="1" applyAlignment="1">
      <alignment vertical="center"/>
    </xf>
    <xf numFmtId="169" fontId="0" fillId="0" borderId="0" xfId="0" applyNumberFormat="1" applyAlignment="1">
      <alignment vertical="center"/>
    </xf>
    <xf numFmtId="170" fontId="0" fillId="0" borderId="0" xfId="0" applyNumberFormat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2" xfId="1" applyNumberFormat="1" applyFont="1" applyFill="1" applyBorder="1" applyAlignment="1">
      <alignment horizontal="center" vertical="center"/>
    </xf>
    <xf numFmtId="43" fontId="0" fillId="0" borderId="0" xfId="1" applyNumberFormat="1" applyFont="1"/>
    <xf numFmtId="164" fontId="0" fillId="0" borderId="0" xfId="0" applyNumberFormat="1"/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9" fontId="0" fillId="0" borderId="0" xfId="3" applyNumberFormat="1" applyFont="1"/>
    <xf numFmtId="164" fontId="0" fillId="2" borderId="0" xfId="0" applyNumberFormat="1" applyFill="1" applyAlignment="1">
      <alignment vertical="center"/>
    </xf>
    <xf numFmtId="164" fontId="0" fillId="10" borderId="0" xfId="0" applyNumberFormat="1" applyFill="1" applyAlignment="1">
      <alignment vertical="center"/>
    </xf>
    <xf numFmtId="43" fontId="1" fillId="0" borderId="1" xfId="1" applyNumberFormat="1" applyFont="1" applyBorder="1" applyAlignment="1">
      <alignment vertical="center"/>
    </xf>
    <xf numFmtId="164" fontId="0" fillId="8" borderId="0" xfId="1" applyNumberFormat="1" applyFont="1" applyFill="1" applyAlignment="1">
      <alignment vertical="center"/>
    </xf>
    <xf numFmtId="164" fontId="0" fillId="9" borderId="0" xfId="1" applyNumberFormat="1" applyFont="1" applyFill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0" fillId="0" borderId="1" xfId="0" applyNumberFormat="1" applyFont="1" applyBorder="1"/>
    <xf numFmtId="164" fontId="0" fillId="0" borderId="0" xfId="0" applyNumberFormat="1" applyFont="1"/>
    <xf numFmtId="165" fontId="9" fillId="2" borderId="0" xfId="1" applyNumberFormat="1" applyFont="1" applyFill="1" applyBorder="1"/>
    <xf numFmtId="168" fontId="0" fillId="2" borderId="0" xfId="0" applyNumberFormat="1" applyFill="1"/>
    <xf numFmtId="164" fontId="0" fillId="0" borderId="0" xfId="1" applyNumberFormat="1" applyFont="1" applyFill="1" applyAlignment="1">
      <alignment vertical="center"/>
    </xf>
    <xf numFmtId="164" fontId="0" fillId="10" borderId="0" xfId="1" applyNumberFormat="1" applyFont="1" applyFill="1" applyAlignment="1">
      <alignment vertical="center"/>
    </xf>
    <xf numFmtId="168" fontId="0" fillId="2" borderId="0" xfId="0" applyNumberFormat="1" applyFill="1" applyAlignment="1">
      <alignment vertical="center"/>
    </xf>
    <xf numFmtId="164" fontId="0" fillId="0" borderId="1" xfId="0" applyNumberFormat="1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41" fontId="3" fillId="0" borderId="1" xfId="2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41" fontId="3" fillId="0" borderId="1" xfId="2" applyFont="1" applyFill="1" applyBorder="1" applyAlignment="1">
      <alignment horizontal="center" vertical="center"/>
    </xf>
    <xf numFmtId="41" fontId="2" fillId="0" borderId="1" xfId="2" applyFont="1" applyFill="1" applyBorder="1" applyAlignment="1">
      <alignment horizontal="center" vertical="center"/>
    </xf>
    <xf numFmtId="41" fontId="2" fillId="0" borderId="1" xfId="2" applyFont="1" applyFill="1" applyBorder="1" applyAlignment="1">
      <alignment horizontal="center"/>
    </xf>
  </cellXfs>
  <cellStyles count="5">
    <cellStyle name="Comma" xfId="1" builtinId="3"/>
    <cellStyle name="Comma [0]" xfId="2" builtinId="6"/>
    <cellStyle name="Comma [0] 3" xf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KALTIM'!$C$4:$E$4</c:f>
              <c:strCache>
                <c:ptCount val="1"/>
                <c:pt idx="0">
                  <c:v>Luas Areal (Ha)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 KALTIM'!$B$9:$B$22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'TOTAL KALTIM'!$F$9:$F$22</c:f>
              <c:numCache>
                <c:formatCode>_-* #,##0_-;\-* #,##0_-;_-* "-"??_-;_-@_-</c:formatCode>
                <c:ptCount val="14"/>
                <c:pt idx="0">
                  <c:v>127207.5</c:v>
                </c:pt>
                <c:pt idx="1">
                  <c:v>146508.5</c:v>
                </c:pt>
                <c:pt idx="2">
                  <c:v>169052.5</c:v>
                </c:pt>
                <c:pt idx="3">
                  <c:v>188919.5</c:v>
                </c:pt>
                <c:pt idx="4">
                  <c:v>279391.5</c:v>
                </c:pt>
                <c:pt idx="5">
                  <c:v>346954.5</c:v>
                </c:pt>
                <c:pt idx="6">
                  <c:v>461993</c:v>
                </c:pt>
                <c:pt idx="7">
                  <c:v>563561</c:v>
                </c:pt>
                <c:pt idx="8">
                  <c:v>716320</c:v>
                </c:pt>
                <c:pt idx="9">
                  <c:v>824413</c:v>
                </c:pt>
                <c:pt idx="10">
                  <c:v>944826</c:v>
                </c:pt>
                <c:pt idx="11">
                  <c:v>1020413</c:v>
                </c:pt>
                <c:pt idx="12">
                  <c:v>1090106</c:v>
                </c:pt>
                <c:pt idx="13">
                  <c:v>1150078</c:v>
                </c:pt>
              </c:numCache>
            </c:numRef>
          </c:val>
        </c:ser>
        <c:ser>
          <c:idx val="1"/>
          <c:order val="1"/>
          <c:tx>
            <c:strRef>
              <c:f>'TOTAL KALTIM'!$G$4</c:f>
              <c:strCache>
                <c:ptCount val="1"/>
                <c:pt idx="0">
                  <c:v>Produksi (Ton)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 KALTIM'!$B$9:$B$22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'TOTAL KALTIM'!$G$9:$G$22</c:f>
              <c:numCache>
                <c:formatCode>_-* #,##0.0_-;\-* #,##0.0_-;_-* "-"??_-;_-@_-</c:formatCode>
                <c:ptCount val="14"/>
                <c:pt idx="0">
                  <c:v>760293</c:v>
                </c:pt>
                <c:pt idx="1">
                  <c:v>957054</c:v>
                </c:pt>
                <c:pt idx="2">
                  <c:v>997284.5</c:v>
                </c:pt>
                <c:pt idx="3">
                  <c:v>1260089.5</c:v>
                </c:pt>
                <c:pt idx="4">
                  <c:v>1403957</c:v>
                </c:pt>
                <c:pt idx="5">
                  <c:v>1642557</c:v>
                </c:pt>
                <c:pt idx="6">
                  <c:v>2505734.5</c:v>
                </c:pt>
                <c:pt idx="7" formatCode="_-* #,##0_-;\-* #,##0_-;_-* &quot;-&quot;??_-;_-@_-">
                  <c:v>2961069</c:v>
                </c:pt>
                <c:pt idx="8" formatCode="_-* #,##0_-;\-* #,##0_-;_-* &quot;-&quot;??_-;_-@_-">
                  <c:v>4081782</c:v>
                </c:pt>
                <c:pt idx="9" formatCode="_-* #,##0_-;\-* #,##0_-;_-* &quot;-&quot;??_-;_-@_-">
                  <c:v>5221016</c:v>
                </c:pt>
                <c:pt idx="10" formatCode="_-* #,##0_-;\-* #,##0_-;_-* &quot;-&quot;??_-;_-@_-">
                  <c:v>6901602</c:v>
                </c:pt>
                <c:pt idx="11" formatCode="_-* #,##0_-;\-* #,##0_-;_-* &quot;-&quot;??_-;_-@_-">
                  <c:v>9628072</c:v>
                </c:pt>
                <c:pt idx="12" formatCode="_-* #,##0_-;\-* #,##0_-;_-* &quot;-&quot;??_-;_-@_-">
                  <c:v>10812893</c:v>
                </c:pt>
                <c:pt idx="13" formatCode="_-* #,##0_-;\-* #,##0_-;_-* &quot;-&quot;??_-;_-@_-">
                  <c:v>11418110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111864"/>
        <c:axId val="524112256"/>
      </c:barChart>
      <c:catAx>
        <c:axId val="52411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2256"/>
        <c:crosses val="autoZero"/>
        <c:auto val="1"/>
        <c:lblAlgn val="ctr"/>
        <c:lblOffset val="100"/>
        <c:noMultiLvlLbl val="0"/>
      </c:catAx>
      <c:valAx>
        <c:axId val="5241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 KALTIM'!$L$5</c:f>
              <c:strCache>
                <c:ptCount val="1"/>
                <c:pt idx="0">
                  <c:v>BERAU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'TOTAL KALTIM'!$M$4</c:f>
              <c:strCache>
                <c:ptCount val="1"/>
                <c:pt idx="0">
                  <c:v>Luas (Ha)</c:v>
                </c:pt>
              </c:strCache>
            </c:strRef>
          </c:cat>
          <c:val>
            <c:numRef>
              <c:f>'TOTAL KALTIM'!$M$5</c:f>
              <c:numCache>
                <c:formatCode>_-* #,##0.0_-;\-* #,##0.0_-;_-* "-"??_-;_-@_-</c:formatCode>
                <c:ptCount val="1"/>
                <c:pt idx="0">
                  <c:v>120535</c:v>
                </c:pt>
              </c:numCache>
            </c:numRef>
          </c:val>
        </c:ser>
        <c:ser>
          <c:idx val="1"/>
          <c:order val="1"/>
          <c:tx>
            <c:strRef>
              <c:f>'TOTAL KALTIM'!$L$6</c:f>
              <c:strCache>
                <c:ptCount val="1"/>
                <c:pt idx="0">
                  <c:v>KUKAR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'TOTAL KALTIM'!$M$4</c:f>
              <c:strCache>
                <c:ptCount val="1"/>
                <c:pt idx="0">
                  <c:v>Luas (Ha)</c:v>
                </c:pt>
              </c:strCache>
            </c:strRef>
          </c:cat>
          <c:val>
            <c:numRef>
              <c:f>'TOTAL KALTIM'!$M$6</c:f>
              <c:numCache>
                <c:formatCode>_-* #,##0.0_-;\-* #,##0.0_-;_-* "-"??_-;_-@_-</c:formatCode>
                <c:ptCount val="1"/>
                <c:pt idx="0">
                  <c:v>202313</c:v>
                </c:pt>
              </c:numCache>
            </c:numRef>
          </c:val>
        </c:ser>
        <c:ser>
          <c:idx val="2"/>
          <c:order val="2"/>
          <c:tx>
            <c:strRef>
              <c:f>'TOTAL KALTIM'!$L$7</c:f>
              <c:strCache>
                <c:ptCount val="1"/>
                <c:pt idx="0">
                  <c:v>KUBAR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'TOTAL KALTIM'!$M$4</c:f>
              <c:strCache>
                <c:ptCount val="1"/>
                <c:pt idx="0">
                  <c:v>Luas (Ha)</c:v>
                </c:pt>
              </c:strCache>
            </c:strRef>
          </c:cat>
          <c:val>
            <c:numRef>
              <c:f>'TOTAL KALTIM'!$M$7</c:f>
              <c:numCache>
                <c:formatCode>_-* #,##0.0_-;\-* #,##0.0_-;_-* "-"??_-;_-@_-</c:formatCode>
                <c:ptCount val="1"/>
                <c:pt idx="0">
                  <c:v>127474</c:v>
                </c:pt>
              </c:numCache>
            </c:numRef>
          </c:val>
        </c:ser>
        <c:ser>
          <c:idx val="3"/>
          <c:order val="3"/>
          <c:tx>
            <c:strRef>
              <c:f>'TOTAL KALTIM'!$L$8</c:f>
              <c:strCache>
                <c:ptCount val="1"/>
                <c:pt idx="0">
                  <c:v>KUTIM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strRef>
              <c:f>'TOTAL KALTIM'!$M$4</c:f>
              <c:strCache>
                <c:ptCount val="1"/>
                <c:pt idx="0">
                  <c:v>Luas (Ha)</c:v>
                </c:pt>
              </c:strCache>
            </c:strRef>
          </c:cat>
          <c:val>
            <c:numRef>
              <c:f>'TOTAL KALTIM'!$M$8</c:f>
              <c:numCache>
                <c:formatCode>_-* #,##0.0_-;\-* #,##0.0_-;_-* "-"??_-;_-@_-</c:formatCode>
                <c:ptCount val="1"/>
                <c:pt idx="0">
                  <c:v>450636</c:v>
                </c:pt>
              </c:numCache>
            </c:numRef>
          </c:val>
        </c:ser>
        <c:ser>
          <c:idx val="4"/>
          <c:order val="4"/>
          <c:tx>
            <c:strRef>
              <c:f>'TOTAL KALTIM'!$L$9</c:f>
              <c:strCache>
                <c:ptCount val="1"/>
                <c:pt idx="0">
                  <c:v>PASER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cat>
            <c:strRef>
              <c:f>'TOTAL KALTIM'!$M$4</c:f>
              <c:strCache>
                <c:ptCount val="1"/>
                <c:pt idx="0">
                  <c:v>Luas (Ha)</c:v>
                </c:pt>
              </c:strCache>
            </c:strRef>
          </c:cat>
          <c:val>
            <c:numRef>
              <c:f>'TOTAL KALTIM'!$M$9</c:f>
              <c:numCache>
                <c:formatCode>_-* #,##0.0_-;\-* #,##0.0_-;_-* "-"??_-;_-@_-</c:formatCode>
                <c:ptCount val="1"/>
                <c:pt idx="0">
                  <c:v>180329</c:v>
                </c:pt>
              </c:numCache>
            </c:numRef>
          </c:val>
        </c:ser>
        <c:ser>
          <c:idx val="5"/>
          <c:order val="5"/>
          <c:tx>
            <c:strRef>
              <c:f>'TOTAL KALTIM'!$L$10</c:f>
              <c:strCache>
                <c:ptCount val="1"/>
                <c:pt idx="0">
                  <c:v>PPU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cat>
            <c:strRef>
              <c:f>'TOTAL KALTIM'!$M$4</c:f>
              <c:strCache>
                <c:ptCount val="1"/>
                <c:pt idx="0">
                  <c:v>Luas (Ha)</c:v>
                </c:pt>
              </c:strCache>
            </c:strRef>
          </c:cat>
          <c:val>
            <c:numRef>
              <c:f>'TOTAL KALTIM'!$M$10</c:f>
              <c:numCache>
                <c:formatCode>_-* #,##0.0_-;\-* #,##0.0_-;_-* "-"??_-;_-@_-</c:formatCode>
                <c:ptCount val="1"/>
                <c:pt idx="0">
                  <c:v>47162</c:v>
                </c:pt>
              </c:numCache>
            </c:numRef>
          </c:val>
        </c:ser>
        <c:ser>
          <c:idx val="6"/>
          <c:order val="6"/>
          <c:tx>
            <c:strRef>
              <c:f>'TOTAL KALTIM'!$L$11</c:f>
              <c:strCache>
                <c:ptCount val="1"/>
                <c:pt idx="0">
                  <c:v>SAMARINDA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'TOTAL KALTIM'!$M$4</c:f>
              <c:strCache>
                <c:ptCount val="1"/>
                <c:pt idx="0">
                  <c:v>Luas (Ha)</c:v>
                </c:pt>
              </c:strCache>
            </c:strRef>
          </c:cat>
          <c:val>
            <c:numRef>
              <c:f>'TOTAL KALTIM'!$M$11</c:f>
              <c:numCache>
                <c:formatCode>_-* #,##0.0_-;\-* #,##0.0_-;_-* "-"??_-;_-@_-</c:formatCode>
                <c:ptCount val="1"/>
                <c:pt idx="0">
                  <c:v>1370</c:v>
                </c:pt>
              </c:numCache>
            </c:numRef>
          </c:val>
        </c:ser>
        <c:ser>
          <c:idx val="7"/>
          <c:order val="7"/>
          <c:tx>
            <c:strRef>
              <c:f>'TOTAL KALTIM'!$L$12</c:f>
              <c:strCache>
                <c:ptCount val="1"/>
                <c:pt idx="0">
                  <c:v>BONTANG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'TOTAL KALTIM'!$M$4</c:f>
              <c:strCache>
                <c:ptCount val="1"/>
                <c:pt idx="0">
                  <c:v>Luas (Ha)</c:v>
                </c:pt>
              </c:strCache>
            </c:strRef>
          </c:cat>
          <c:val>
            <c:numRef>
              <c:f>'TOTAL KALTIM'!$M$12</c:f>
              <c:numCache>
                <c:formatCode>_-* #,##0.0_-;\-* #,##0.0_-;_-* "-"??_-;_-@_-</c:formatCode>
                <c:ptCount val="1"/>
                <c:pt idx="0">
                  <c:v>65</c:v>
                </c:pt>
              </c:numCache>
            </c:numRef>
          </c:val>
        </c:ser>
        <c:ser>
          <c:idx val="8"/>
          <c:order val="8"/>
          <c:tx>
            <c:strRef>
              <c:f>'TOTAL KALTIM'!$L$13</c:f>
              <c:strCache>
                <c:ptCount val="1"/>
                <c:pt idx="0">
                  <c:v>BALIKPAPAN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'TOTAL KALTIM'!$M$4</c:f>
              <c:strCache>
                <c:ptCount val="1"/>
                <c:pt idx="0">
                  <c:v>Luas (Ha)</c:v>
                </c:pt>
              </c:strCache>
            </c:strRef>
          </c:cat>
          <c:val>
            <c:numRef>
              <c:f>'TOTAL KALTIM'!$M$13</c:f>
              <c:numCache>
                <c:formatCode>_-* #,##0.0_-;\-* #,##0.0_-;_-* "-"??_-;_-@_-</c:formatCode>
                <c:ptCount val="1"/>
                <c:pt idx="0">
                  <c:v>29</c:v>
                </c:pt>
              </c:numCache>
            </c:numRef>
          </c:val>
        </c:ser>
        <c:ser>
          <c:idx val="9"/>
          <c:order val="9"/>
          <c:tx>
            <c:strRef>
              <c:f>'TOTAL KALTIM'!$L$14</c:f>
              <c:strCache>
                <c:ptCount val="1"/>
                <c:pt idx="0">
                  <c:v>MAHULU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f>'TOTAL KALTIM'!$M$4</c:f>
              <c:strCache>
                <c:ptCount val="1"/>
                <c:pt idx="0">
                  <c:v>Luas (Ha)</c:v>
                </c:pt>
              </c:strCache>
            </c:strRef>
          </c:cat>
          <c:val>
            <c:numRef>
              <c:f>'TOTAL KALTIM'!$M$14</c:f>
              <c:numCache>
                <c:formatCode>_-* #,##0.0_-;\-* #,##0.0_-;_-* "-"??_-;_-@_-</c:formatCode>
                <c:ptCount val="1"/>
                <c:pt idx="0">
                  <c:v>20165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4113040"/>
        <c:axId val="524113432"/>
        <c:axId val="0"/>
      </c:bar3DChart>
      <c:catAx>
        <c:axId val="5241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3432"/>
        <c:crosses val="autoZero"/>
        <c:auto val="1"/>
        <c:lblAlgn val="ctr"/>
        <c:lblOffset val="100"/>
        <c:noMultiLvlLbl val="0"/>
      </c:catAx>
      <c:valAx>
        <c:axId val="52411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KALTIM!$J$3</c:f>
              <c:strCache>
                <c:ptCount val="1"/>
                <c:pt idx="0">
                  <c:v>Produksi (ton)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KALTIM!$B$7:$B$34</c:f>
              <c:numCache>
                <c:formatCode>General</c:formatCode>
                <c:ptCount val="2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  <c:pt idx="27">
                  <c:v>2030</c:v>
                </c:pt>
              </c:numCache>
            </c:numRef>
          </c:cat>
          <c:val>
            <c:numRef>
              <c:f>KALTIM!$J$7:$J$34</c:f>
              <c:numCache>
                <c:formatCode>_(* #,##0.00_);_(* \(#,##0.00\);_(* "-"??_);_(@_)</c:formatCode>
                <c:ptCount val="28"/>
                <c:pt idx="0">
                  <c:v>760293</c:v>
                </c:pt>
                <c:pt idx="1">
                  <c:v>957054</c:v>
                </c:pt>
                <c:pt idx="2">
                  <c:v>997284.5</c:v>
                </c:pt>
                <c:pt idx="3">
                  <c:v>1260089.5</c:v>
                </c:pt>
                <c:pt idx="4">
                  <c:v>1403957</c:v>
                </c:pt>
                <c:pt idx="5">
                  <c:v>1642557</c:v>
                </c:pt>
                <c:pt idx="6">
                  <c:v>2505734.5</c:v>
                </c:pt>
                <c:pt idx="7">
                  <c:v>2961069</c:v>
                </c:pt>
                <c:pt idx="8" formatCode="_-* #,##0_-;\-* #,##0_-;_-* &quot;-&quot;??_-;_-@_-">
                  <c:v>4081782</c:v>
                </c:pt>
                <c:pt idx="9" formatCode="_-* #,##0_-;\-* #,##0_-;_-* &quot;-&quot;??_-;_-@_-">
                  <c:v>5221016</c:v>
                </c:pt>
                <c:pt idx="10" formatCode="_-* #,##0_-;\-* #,##0_-;_-* &quot;-&quot;??_-;_-@_-">
                  <c:v>6901602</c:v>
                </c:pt>
                <c:pt idx="11" formatCode="_-* #,##0_-;\-* #,##0_-;_-* &quot;-&quot;??_-;_-@_-">
                  <c:v>9628072</c:v>
                </c:pt>
                <c:pt idx="12" formatCode="_-* #,##0_-;\-* #,##0_-;_-* &quot;-&quot;??_-;_-@_-">
                  <c:v>10812893</c:v>
                </c:pt>
                <c:pt idx="13" formatCode="_-* #,##0_-;\-* #,##0_-;_-* &quot;-&quot;??_-;_-@_-">
                  <c:v>11418110</c:v>
                </c:pt>
                <c:pt idx="14" formatCode="_-* #,##0_-;\-* #,##0_-;_-* &quot;-&quot;??_-;_-@_-">
                  <c:v>16068409.062000001</c:v>
                </c:pt>
                <c:pt idx="15" formatCode="_-* #,##0_-;\-* #,##0_-;_-* &quot;-&quot;??_-;_-@_-">
                  <c:v>18231649.535999998</c:v>
                </c:pt>
                <c:pt idx="16" formatCode="_-* #,##0_-;\-* #,##0_-;_-* &quot;-&quot;??_-;_-@_-">
                  <c:v>20469018.221999999</c:v>
                </c:pt>
                <c:pt idx="17" formatCode="_-* #,##0_-;\-* #,##0_-;_-* &quot;-&quot;??_-;_-@_-">
                  <c:v>22780515.119999997</c:v>
                </c:pt>
                <c:pt idx="18" formatCode="_-* #,##0_-;\-* #,##0_-;_-* &quot;-&quot;??_-;_-@_-">
                  <c:v>24603321.399999995</c:v>
                </c:pt>
                <c:pt idx="19" formatCode="_-* #,##0_-;\-* #,##0_-;_-* &quot;-&quot;??_-;_-@_-">
                  <c:v>26478778.079999994</c:v>
                </c:pt>
                <c:pt idx="20" formatCode="_-* #,##0_-;\-* #,##0_-;_-* &quot;-&quot;??_-;_-@_-">
                  <c:v>28406885.159999993</c:v>
                </c:pt>
                <c:pt idx="21" formatCode="_-* #,##0_-;\-* #,##0_-;_-* &quot;-&quot;??_-;_-@_-">
                  <c:v>30387642.639999993</c:v>
                </c:pt>
                <c:pt idx="22" formatCode="_-* #,##0_-;\-* #,##0_-;_-* &quot;-&quot;??_-;_-@_-">
                  <c:v>32421050.519999992</c:v>
                </c:pt>
                <c:pt idx="23" formatCode="_-* #,##0_-;\-* #,##0_-;_-* &quot;-&quot;??_-;_-@_-">
                  <c:v>34507108.79999999</c:v>
                </c:pt>
                <c:pt idx="24" formatCode="_-* #,##0_-;\-* #,##0_-;_-* &quot;-&quot;??_-;_-@_-">
                  <c:v>36645817.479999989</c:v>
                </c:pt>
                <c:pt idx="25" formatCode="_-* #,##0_-;\-* #,##0_-;_-* &quot;-&quot;??_-;_-@_-">
                  <c:v>38837176.559999987</c:v>
                </c:pt>
                <c:pt idx="26" formatCode="_-* #,##0_-;\-* #,##0_-;_-* &quot;-&quot;??_-;_-@_-">
                  <c:v>41081186.039999984</c:v>
                </c:pt>
                <c:pt idx="27" formatCode="_-* #,##0_-;\-* #,##0_-;_-* &quot;-&quot;??_-;_-@_-">
                  <c:v>41761233.119999982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4115392"/>
        <c:axId val="524115000"/>
      </c:barChart>
      <c:lineChart>
        <c:grouping val="stacked"/>
        <c:varyColors val="0"/>
        <c:ser>
          <c:idx val="0"/>
          <c:order val="0"/>
          <c:tx>
            <c:strRef>
              <c:f>KALTIM!$I$3</c:f>
              <c:strCache>
                <c:ptCount val="1"/>
                <c:pt idx="0">
                  <c:v>Luas (Ha)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KALTIM!$B$7:$B$34</c:f>
              <c:numCache>
                <c:formatCode>General</c:formatCode>
                <c:ptCount val="2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  <c:pt idx="27">
                  <c:v>2030</c:v>
                </c:pt>
              </c:numCache>
            </c:numRef>
          </c:cat>
          <c:val>
            <c:numRef>
              <c:f>KALTIM!$I$7:$I$34</c:f>
              <c:numCache>
                <c:formatCode>_-* #,##0_-;\-* #,##0_-;_-* "-"??_-;_-@_-</c:formatCode>
                <c:ptCount val="28"/>
                <c:pt idx="0">
                  <c:v>127207.5</c:v>
                </c:pt>
                <c:pt idx="1">
                  <c:v>146508.5</c:v>
                </c:pt>
                <c:pt idx="2">
                  <c:v>169052.5</c:v>
                </c:pt>
                <c:pt idx="3">
                  <c:v>188919.5</c:v>
                </c:pt>
                <c:pt idx="4">
                  <c:v>279391.5</c:v>
                </c:pt>
                <c:pt idx="5">
                  <c:v>346954.5</c:v>
                </c:pt>
                <c:pt idx="6">
                  <c:v>461993</c:v>
                </c:pt>
                <c:pt idx="7">
                  <c:v>563561</c:v>
                </c:pt>
                <c:pt idx="8">
                  <c:v>716320</c:v>
                </c:pt>
                <c:pt idx="9">
                  <c:v>824413</c:v>
                </c:pt>
                <c:pt idx="10">
                  <c:v>944826</c:v>
                </c:pt>
                <c:pt idx="11">
                  <c:v>1020413</c:v>
                </c:pt>
                <c:pt idx="12">
                  <c:v>1090106</c:v>
                </c:pt>
                <c:pt idx="13">
                  <c:v>1150078</c:v>
                </c:pt>
                <c:pt idx="14">
                  <c:v>1218278</c:v>
                </c:pt>
                <c:pt idx="15">
                  <c:v>1286478</c:v>
                </c:pt>
                <c:pt idx="16">
                  <c:v>1354678</c:v>
                </c:pt>
                <c:pt idx="17">
                  <c:v>1422878</c:v>
                </c:pt>
                <c:pt idx="18">
                  <c:v>1491078</c:v>
                </c:pt>
                <c:pt idx="19">
                  <c:v>1559278</c:v>
                </c:pt>
                <c:pt idx="20">
                  <c:v>1627478</c:v>
                </c:pt>
                <c:pt idx="21">
                  <c:v>1695678</c:v>
                </c:pt>
                <c:pt idx="22">
                  <c:v>1763878</c:v>
                </c:pt>
                <c:pt idx="23">
                  <c:v>1763878</c:v>
                </c:pt>
                <c:pt idx="24">
                  <c:v>1763878</c:v>
                </c:pt>
                <c:pt idx="25">
                  <c:v>1763878</c:v>
                </c:pt>
                <c:pt idx="26">
                  <c:v>1763878</c:v>
                </c:pt>
                <c:pt idx="27">
                  <c:v>1763878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114608"/>
        <c:axId val="524114216"/>
      </c:lineChart>
      <c:valAx>
        <c:axId val="5241142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4608"/>
        <c:crosses val="max"/>
        <c:crossBetween val="between"/>
      </c:valAx>
      <c:catAx>
        <c:axId val="52411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114216"/>
        <c:crosses val="autoZero"/>
        <c:auto val="1"/>
        <c:lblAlgn val="ctr"/>
        <c:lblOffset val="100"/>
        <c:noMultiLvlLbl val="0"/>
      </c:catAx>
      <c:valAx>
        <c:axId val="524115000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5392"/>
        <c:crosses val="autoZero"/>
        <c:crossBetween val="between"/>
      </c:valAx>
      <c:catAx>
        <c:axId val="52411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115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25</xdr:row>
      <xdr:rowOff>47905</xdr:rowOff>
    </xdr:from>
    <xdr:to>
      <xdr:col>18</xdr:col>
      <xdr:colOff>224919</xdr:colOff>
      <xdr:row>36</xdr:row>
      <xdr:rowOff>115261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75720</xdr:colOff>
      <xdr:row>15</xdr:row>
      <xdr:rowOff>73679</xdr:rowOff>
    </xdr:from>
    <xdr:to>
      <xdr:col>16</xdr:col>
      <xdr:colOff>431986</xdr:colOff>
      <xdr:row>24</xdr:row>
      <xdr:rowOff>145677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151277</xdr:colOff>
      <xdr:row>8</xdr:row>
      <xdr:rowOff>118782</xdr:rowOff>
    </xdr:from>
    <xdr:to>
      <xdr:col>25</xdr:col>
      <xdr:colOff>168088</xdr:colOff>
      <xdr:row>23</xdr:row>
      <xdr:rowOff>4482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1"/>
  <sheetViews>
    <sheetView tabSelected="1" topLeftCell="G1" zoomScaleNormal="100" workbookViewId="0">
      <selection activeCell="S13" sqref="S13"/>
    </sheetView>
  </sheetViews>
  <sheetFormatPr defaultRowHeight="15" x14ac:dyDescent="0.25"/>
  <cols>
    <col min="1" max="1" width="5" style="44" customWidth="1"/>
    <col min="2" max="2" width="8.7109375" style="44" customWidth="1"/>
    <col min="3" max="3" width="12.140625" style="44" bestFit="1" customWidth="1"/>
    <col min="4" max="4" width="11.5703125" style="44" bestFit="1" customWidth="1"/>
    <col min="5" max="6" width="13.28515625" style="44" bestFit="1" customWidth="1"/>
    <col min="7" max="7" width="15.28515625" style="44" customWidth="1"/>
    <col min="8" max="8" width="16.85546875" style="44" customWidth="1"/>
    <col min="9" max="9" width="15.28515625" style="44" customWidth="1"/>
    <col min="10" max="10" width="12.28515625" style="44" bestFit="1" customWidth="1"/>
    <col min="11" max="11" width="15.7109375" style="44" customWidth="1"/>
    <col min="12" max="12" width="14.42578125" style="44" customWidth="1"/>
    <col min="13" max="13" width="12.140625" style="44" bestFit="1" customWidth="1"/>
    <col min="14" max="14" width="9.140625" style="44"/>
    <col min="15" max="15" width="14" style="44" bestFit="1" customWidth="1"/>
    <col min="16" max="16384" width="9.140625" style="44"/>
  </cols>
  <sheetData>
    <row r="1" spans="1:16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</row>
    <row r="2" spans="1:16" x14ac:dyDescent="0.25">
      <c r="A2" s="1" t="s">
        <v>22</v>
      </c>
      <c r="B2" s="1"/>
      <c r="C2" s="1"/>
      <c r="D2" s="1"/>
      <c r="E2" s="1"/>
      <c r="F2" s="1"/>
      <c r="G2" s="1"/>
      <c r="H2" s="1"/>
      <c r="I2" s="1"/>
      <c r="L2" s="44" t="s">
        <v>55</v>
      </c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</row>
    <row r="4" spans="1:16" x14ac:dyDescent="0.25">
      <c r="A4" s="183" t="s">
        <v>1</v>
      </c>
      <c r="B4" s="183" t="s">
        <v>33</v>
      </c>
      <c r="C4" s="184" t="s">
        <v>35</v>
      </c>
      <c r="D4" s="184"/>
      <c r="E4" s="184"/>
      <c r="F4" s="67" t="s">
        <v>43</v>
      </c>
      <c r="G4" s="20" t="s">
        <v>36</v>
      </c>
      <c r="H4" s="20" t="s">
        <v>6</v>
      </c>
      <c r="I4" s="69" t="s">
        <v>44</v>
      </c>
      <c r="L4" s="48" t="s">
        <v>23</v>
      </c>
      <c r="M4" s="48" t="s">
        <v>38</v>
      </c>
      <c r="N4" s="48" t="s">
        <v>39</v>
      </c>
      <c r="O4" s="48" t="s">
        <v>36</v>
      </c>
      <c r="P4" s="48" t="s">
        <v>39</v>
      </c>
    </row>
    <row r="5" spans="1:16" x14ac:dyDescent="0.25">
      <c r="A5" s="183"/>
      <c r="B5" s="183"/>
      <c r="C5" s="20" t="s">
        <v>7</v>
      </c>
      <c r="D5" s="20" t="s">
        <v>8</v>
      </c>
      <c r="E5" s="20" t="s">
        <v>9</v>
      </c>
      <c r="F5" s="35" t="s">
        <v>38</v>
      </c>
      <c r="G5" s="20" t="s">
        <v>11</v>
      </c>
      <c r="H5" s="20" t="s">
        <v>12</v>
      </c>
      <c r="I5" s="39" t="s">
        <v>38</v>
      </c>
      <c r="L5" s="31" t="s">
        <v>24</v>
      </c>
      <c r="M5" s="26">
        <f>BERAU!F22</f>
        <v>120535</v>
      </c>
      <c r="N5" s="30">
        <f t="shared" ref="N5:N14" si="0">M5/$M$15</f>
        <v>0.10480593490180666</v>
      </c>
      <c r="O5" s="26">
        <f>BERAU!G22</f>
        <v>1221143</v>
      </c>
      <c r="P5" s="30">
        <f>O5/$O$15</f>
        <v>0.10694790994306413</v>
      </c>
    </row>
    <row r="6" spans="1:16" x14ac:dyDescent="0.25">
      <c r="A6" s="21">
        <v>1</v>
      </c>
      <c r="B6" s="21">
        <v>2000</v>
      </c>
      <c r="C6" s="26">
        <f>BERAU!C6+KUKAR!C6+KUBAR!C6+KUTIM!C6+PASER!C6+PPU!C6+SAMARINDA!C6+BONTANG!C6+BALIKPAPAN!C6+MAHULU!C6</f>
        <v>0</v>
      </c>
      <c r="D6" s="26">
        <f>BERAU!D6+KUKAR!D6+KUBAR!D6+KUTIM!D6+PASER!D6+PPU!D6+SAMARINDA!D6+BONTANG!D6+BALIKPAPAN!D6+MAHULU!D6</f>
        <v>0</v>
      </c>
      <c r="E6" s="26">
        <f>BERAU!E6+KUKAR!E6+KUBAR!E6+KUTIM!E6+PASER!E6+PPU!E6+SAMARINDA!E6+BONTANG!E6+BALIKPAPAN!E6+MAHULU!E6</f>
        <v>0</v>
      </c>
      <c r="F6" s="68">
        <f>BERAU!F6+KUKAR!F6+KUBAR!F6+KUTIM!F6+PASER!F6+PPU!F6+SAMARINDA!F6+BONTANG!F6+BALIKPAPAN!F6+MAHULU!F6</f>
        <v>0</v>
      </c>
      <c r="G6" s="26">
        <f>BERAU!G6+KUKAR!G6+KUBAR!G6+KUTIM!G6+PASER!G6+PPU!G6+SAMARINDA!G6+BONTANG!G6+BALIKPAPAN!G6+MAHULU!G6</f>
        <v>0</v>
      </c>
      <c r="H6" s="20"/>
      <c r="I6" s="39">
        <f>BERAU!I6+KUKAR!I6+KUBAR!I6+KUTIM!I6+PASER!I6+PPU!I6+SAMARINDA!I6+BONTANG!I6+BALIKPAPAN!I6+MAHULU!I6</f>
        <v>0</v>
      </c>
      <c r="J6" s="175">
        <f>KALTIM!J4</f>
        <v>0</v>
      </c>
      <c r="K6" s="175">
        <f>G6-J6</f>
        <v>0</v>
      </c>
      <c r="L6" s="31" t="s">
        <v>25</v>
      </c>
      <c r="M6" s="26">
        <f>KUKAR!F22</f>
        <v>202313</v>
      </c>
      <c r="N6" s="30">
        <f t="shared" si="0"/>
        <v>0.17591241637523716</v>
      </c>
      <c r="O6" s="26">
        <f>KUKAR!G22</f>
        <v>1941639</v>
      </c>
      <c r="P6" s="30">
        <f t="shared" ref="P5:P14" si="1">O6/$O$15</f>
        <v>0.17004907116852089</v>
      </c>
    </row>
    <row r="7" spans="1:16" x14ac:dyDescent="0.25">
      <c r="A7" s="21">
        <v>2</v>
      </c>
      <c r="B7" s="21">
        <v>2001</v>
      </c>
      <c r="C7" s="26">
        <f>BERAU!C7+KUKAR!C7+KUBAR!C7+KUTIM!C7+PASER!C7+PPU!C7+SAMARINDA!C7+BONTANG!C7+BALIKPAPAN!C7+MAHULU!C7</f>
        <v>0</v>
      </c>
      <c r="D7" s="26">
        <f>BERAU!D7+KUKAR!D7+KUBAR!D7+KUTIM!D7+PASER!D7+PPU!D7+SAMARINDA!D7+BONTANG!D7+BALIKPAPAN!D7+MAHULU!D7</f>
        <v>0</v>
      </c>
      <c r="E7" s="26">
        <f>BERAU!E7+KUKAR!E7+KUBAR!E7+KUTIM!E7+PASER!E7+PPU!E7+SAMARINDA!E7+BONTANG!E7+BALIKPAPAN!E7+MAHULU!E7</f>
        <v>0</v>
      </c>
      <c r="F7" s="68">
        <f>BERAU!F7+KUKAR!F7+KUBAR!F7+KUTIM!F7+PASER!F7+PPU!F7+SAMARINDA!F7+BONTANG!F7+BALIKPAPAN!F7+MAHULU!F7</f>
        <v>0</v>
      </c>
      <c r="G7" s="26">
        <f>BERAU!G7+KUKAR!G7+KUBAR!G7+KUTIM!G7+PASER!G7+PPU!G7+SAMARINDA!G7+BONTANG!G7+BALIKPAPAN!G7+MAHULU!G7</f>
        <v>0</v>
      </c>
      <c r="H7" s="20"/>
      <c r="I7" s="39">
        <f>BERAU!I7+KUKAR!I7+KUBAR!I7+KUTIM!I7+PASER!I7+PPU!I7+SAMARINDA!I7+BONTANG!I7+BALIKPAPAN!I7+MAHULU!I7</f>
        <v>0</v>
      </c>
      <c r="J7" s="175">
        <f>KALTIM!J5</f>
        <v>0</v>
      </c>
      <c r="K7" s="175">
        <f t="shared" ref="K7:K35" si="2">G7-J7</f>
        <v>0</v>
      </c>
      <c r="L7" s="31" t="s">
        <v>26</v>
      </c>
      <c r="M7" s="26">
        <f>KUBAR!F22</f>
        <v>127474</v>
      </c>
      <c r="N7" s="30">
        <f t="shared" si="0"/>
        <v>0.11083943871633055</v>
      </c>
      <c r="O7" s="26">
        <f>KUBAR!G22</f>
        <v>585642</v>
      </c>
      <c r="P7" s="30">
        <f t="shared" si="1"/>
        <v>5.1290625156002176E-2</v>
      </c>
    </row>
    <row r="8" spans="1:16" x14ac:dyDescent="0.25">
      <c r="A8" s="21">
        <v>3</v>
      </c>
      <c r="B8" s="21">
        <v>2002</v>
      </c>
      <c r="C8" s="26">
        <f>BERAU!C8+KUKAR!C8+KUBAR!C8+KUTIM!C8+PASER!C8+PPU!C8+SAMARINDA!C8+BONTANG!C8+BALIKPAPAN!C8+MAHULU!C8</f>
        <v>0</v>
      </c>
      <c r="D8" s="26">
        <f>BERAU!D8+KUKAR!D8+KUBAR!D8+KUTIM!D8+PASER!D8+PPU!D8+SAMARINDA!D8+BONTANG!D8+BALIKPAPAN!D8+MAHULU!D8</f>
        <v>0</v>
      </c>
      <c r="E8" s="26">
        <f>BERAU!E8+KUKAR!E8+KUBAR!E8+KUTIM!E8+PASER!E8+PPU!E8+SAMARINDA!E8+BONTANG!E8+BALIKPAPAN!E8+MAHULU!E8</f>
        <v>0</v>
      </c>
      <c r="F8" s="68">
        <f>BERAU!F8+KUKAR!F8+KUBAR!F8+KUTIM!F8+PASER!F8+PPU!F8+SAMARINDA!F8+BONTANG!F8+BALIKPAPAN!F8+MAHULU!F8</f>
        <v>0</v>
      </c>
      <c r="G8" s="26">
        <f>BERAU!G8+KUKAR!G8+KUBAR!G8+KUTIM!G8+PASER!G8+PPU!G8+SAMARINDA!G8+BONTANG!G8+BALIKPAPAN!G8+MAHULU!G8</f>
        <v>0</v>
      </c>
      <c r="H8" s="20"/>
      <c r="I8" s="39">
        <f>BERAU!I8+KUKAR!I8+KUBAR!I8+KUTIM!I8+PASER!I8+PPU!I8+SAMARINDA!I8+BONTANG!I8+BALIKPAPAN!I8+MAHULU!I8</f>
        <v>0</v>
      </c>
      <c r="J8" s="175">
        <f>KALTIM!J6</f>
        <v>0</v>
      </c>
      <c r="K8" s="175">
        <f t="shared" si="2"/>
        <v>0</v>
      </c>
      <c r="L8" s="31" t="s">
        <v>27</v>
      </c>
      <c r="M8" s="26">
        <f>KUTIM!F22</f>
        <v>450636</v>
      </c>
      <c r="N8" s="30">
        <f t="shared" si="0"/>
        <v>0.39183081495342054</v>
      </c>
      <c r="O8" s="26">
        <f>KUTIM!G22</f>
        <v>5082354</v>
      </c>
      <c r="P8" s="30">
        <f t="shared" si="1"/>
        <v>0.44511342069747095</v>
      </c>
    </row>
    <row r="9" spans="1:16" x14ac:dyDescent="0.25">
      <c r="A9" s="21">
        <v>4</v>
      </c>
      <c r="B9" s="21">
        <v>2003</v>
      </c>
      <c r="C9" s="26">
        <f>BERAU!C9+KUKAR!C9+KUBAR!C9+KUTIM!C9+PASER!C9+PPU!C9+SAMARINDA!C9+BONTANG!C9+BALIKPAPAN!C9+MAHULU!C9</f>
        <v>0</v>
      </c>
      <c r="D9" s="26">
        <f>BERAU!D9+KUKAR!D9+KUBAR!D9+KUTIM!D9+PASER!D9+PPU!D9+SAMARINDA!D9+BONTANG!D9+BALIKPAPAN!D9+MAHULU!D9</f>
        <v>0</v>
      </c>
      <c r="E9" s="26">
        <f>BERAU!E9+KUKAR!E9+KUBAR!E9+KUTIM!E9+PASER!E9+PPU!E9+SAMARINDA!E9+BONTANG!E9+BALIKPAPAN!E9+MAHULU!E9</f>
        <v>0</v>
      </c>
      <c r="F9" s="38">
        <f>BERAU!F9+KUKAR!F9+KUBAR!F9+KUTIM!F9+PASER!F9+PPU!F9+SAMARINDA!F9+BONTANG!F9+BALIKPAPAN!F9+MAHULU!F9</f>
        <v>127207.5</v>
      </c>
      <c r="G9" s="26">
        <f>BERAU!G9+KUKAR!G9+KUBAR!G9+KUTIM!G9+PASER!G9+PPU!G9+SAMARINDA!G9+BONTANG!G9+BALIKPAPAN!G9+MAHULU!G9</f>
        <v>760293</v>
      </c>
      <c r="H9" s="20"/>
      <c r="I9" s="39">
        <f>BERAU!I9+KUKAR!I9+KUBAR!I9+KUTIM!I9+PASER!I9+PPU!I9+SAMARINDA!I9+BONTANG!I9+BALIKPAPAN!I9+MAHULU!I9</f>
        <v>127207.5</v>
      </c>
      <c r="J9" s="175">
        <f>KALTIM!J7</f>
        <v>760293</v>
      </c>
      <c r="K9" s="175">
        <f t="shared" si="2"/>
        <v>0</v>
      </c>
      <c r="L9" s="31" t="s">
        <v>28</v>
      </c>
      <c r="M9" s="26">
        <f>PASER!F22</f>
        <v>180329</v>
      </c>
      <c r="N9" s="30">
        <f t="shared" si="0"/>
        <v>0.15679719114703525</v>
      </c>
      <c r="O9" s="26">
        <f>PASER!G22</f>
        <v>2127991</v>
      </c>
      <c r="P9" s="30">
        <f t="shared" si="1"/>
        <v>0.1863698107655295</v>
      </c>
    </row>
    <row r="10" spans="1:16" x14ac:dyDescent="0.25">
      <c r="A10" s="21">
        <v>5</v>
      </c>
      <c r="B10" s="21">
        <v>2004</v>
      </c>
      <c r="C10" s="26">
        <f>BERAU!C10+KUKAR!C10+KUBAR!C10+KUTIM!C10+PASER!C10+PPU!C10+SAMARINDA!C10+BONTANG!C10+BALIKPAPAN!C10+MAHULU!C10</f>
        <v>0</v>
      </c>
      <c r="D10" s="26">
        <f>BERAU!D10+KUKAR!D10+KUBAR!D10+KUTIM!D10+PASER!D10+PPU!D10+SAMARINDA!D10+BONTANG!D10+BALIKPAPAN!D10+MAHULU!D10</f>
        <v>0</v>
      </c>
      <c r="E10" s="26">
        <f>BERAU!E10+KUKAR!E10+KUBAR!E10+KUTIM!E10+PASER!E10+PPU!E10+SAMARINDA!E10+BONTANG!E10+BALIKPAPAN!E10+MAHULU!E10</f>
        <v>0</v>
      </c>
      <c r="F10" s="38">
        <f>BERAU!F10+KUKAR!F10+KUBAR!F10+KUTIM!F10+PASER!F10+PPU!F10+SAMARINDA!F10+BONTANG!F10+BALIKPAPAN!F10+MAHULU!F10</f>
        <v>146508.5</v>
      </c>
      <c r="G10" s="26">
        <f>BERAU!G10+KUKAR!G10+KUBAR!G10+KUTIM!G10+PASER!G10+PPU!G10+SAMARINDA!G10+BONTANG!G10+BALIKPAPAN!G10+MAHULU!G10</f>
        <v>957054</v>
      </c>
      <c r="H10" s="20"/>
      <c r="I10" s="39">
        <f>BERAU!I10+KUKAR!I10+KUBAR!I10+KUTIM!I10+PASER!I10+PPU!I10+SAMARINDA!I10+BONTANG!I10+BALIKPAPAN!I10+MAHULU!I10</f>
        <v>146508.5</v>
      </c>
      <c r="J10" s="175">
        <f>KALTIM!J8</f>
        <v>957054</v>
      </c>
      <c r="K10" s="175">
        <f t="shared" si="2"/>
        <v>0</v>
      </c>
      <c r="L10" s="31" t="s">
        <v>29</v>
      </c>
      <c r="M10" s="26">
        <f>PPU!F22</f>
        <v>47162</v>
      </c>
      <c r="N10" s="30">
        <f t="shared" si="0"/>
        <v>4.1007653393943716E-2</v>
      </c>
      <c r="O10" s="26">
        <f>PPU!G22</f>
        <v>453259</v>
      </c>
      <c r="P10" s="30">
        <f t="shared" si="1"/>
        <v>3.9696499683397689E-2</v>
      </c>
    </row>
    <row r="11" spans="1:16" x14ac:dyDescent="0.25">
      <c r="A11" s="21">
        <v>6</v>
      </c>
      <c r="B11" s="21">
        <v>2005</v>
      </c>
      <c r="C11" s="26">
        <f>BERAU!C11+KUKAR!C11+KUBAR!C11+KUTIM!C11+PASER!C11+PPU!C11+SAMARINDA!C11+BONTANG!C11+BALIKPAPAN!C11+MAHULU!C11</f>
        <v>0</v>
      </c>
      <c r="D11" s="26">
        <f>BERAU!D11+KUKAR!D11+KUBAR!D11+KUTIM!D11+PASER!D11+PPU!D11+SAMARINDA!D11+BONTANG!D11+BALIKPAPAN!D11+MAHULU!D11</f>
        <v>0</v>
      </c>
      <c r="E11" s="26">
        <f>BERAU!E11+KUKAR!E11+KUBAR!E11+KUTIM!E11+PASER!E11+PPU!E11+SAMARINDA!E11+BONTANG!E11+BALIKPAPAN!E11+MAHULU!E11</f>
        <v>0</v>
      </c>
      <c r="F11" s="38">
        <f>BERAU!F11+KUKAR!F11+KUBAR!F11+KUTIM!F11+PASER!F11+PPU!F11+SAMARINDA!F11+BONTANG!F11+BALIKPAPAN!F11+MAHULU!F11</f>
        <v>169052.5</v>
      </c>
      <c r="G11" s="26">
        <f>BERAU!G11+KUKAR!G11+KUBAR!G11+KUTIM!G11+PASER!G11+PPU!G11+SAMARINDA!G11+BONTANG!G11+BALIKPAPAN!G11+MAHULU!G11</f>
        <v>997284.5</v>
      </c>
      <c r="H11" s="20"/>
      <c r="I11" s="39">
        <f>BERAU!I11+KUKAR!I11+KUBAR!I11+KUTIM!I11+PASER!I11+PPU!I11+SAMARINDA!I11+BONTANG!I11+BALIKPAPAN!I11+MAHULU!I11</f>
        <v>169052.5</v>
      </c>
      <c r="J11" s="175">
        <f>KALTIM!J9</f>
        <v>997284.5</v>
      </c>
      <c r="K11" s="175">
        <f t="shared" si="2"/>
        <v>0</v>
      </c>
      <c r="L11" s="31" t="s">
        <v>30</v>
      </c>
      <c r="M11" s="26">
        <f>SAMARINDA!F22</f>
        <v>1370</v>
      </c>
      <c r="N11" s="30">
        <f t="shared" si="0"/>
        <v>1.1912235517938783E-3</v>
      </c>
      <c r="O11" s="26">
        <f>SAMARINDA!G22</f>
        <v>5950</v>
      </c>
      <c r="P11" s="30">
        <f t="shared" si="1"/>
        <v>5.2110200374667957E-4</v>
      </c>
    </row>
    <row r="12" spans="1:16" x14ac:dyDescent="0.25">
      <c r="A12" s="21">
        <v>7</v>
      </c>
      <c r="B12" s="3">
        <v>2006</v>
      </c>
      <c r="C12" s="26">
        <f>BERAU!C12+KUKAR!C12+KUBAR!C12+KUTIM!C12+PASER!C12+PPU!C12+SAMARINDA!C12+BONTANG!C12+BALIKPAPAN!C12+MAHULU!C12</f>
        <v>11479</v>
      </c>
      <c r="D12" s="26">
        <f>BERAU!D12+KUKAR!D12+KUBAR!D12+KUTIM!D12+PASER!D12+PPU!D12+SAMARINDA!D12+BONTANG!D12+BALIKPAPAN!D12+MAHULU!D12</f>
        <v>0</v>
      </c>
      <c r="E12" s="26">
        <f>BERAU!E12+KUKAR!E12+KUBAR!E12+KUTIM!E12+PASER!E12+PPU!E12+SAMARINDA!E12+BONTANG!E12+BALIKPAPAN!E12+MAHULU!E12</f>
        <v>0</v>
      </c>
      <c r="F12" s="38">
        <f>BERAU!F12+KUKAR!F12+KUBAR!F12+KUTIM!F12+PASER!F12+PPU!F12+SAMARINDA!F12+BONTANG!F12+BALIKPAPAN!F12+MAHULU!F12</f>
        <v>188919.5</v>
      </c>
      <c r="G12" s="26">
        <f>BERAU!G12+KUKAR!G12+KUBAR!G12+KUTIM!G12+PASER!G12+PPU!G12+SAMARINDA!G12+BONTANG!G12+BALIKPAPAN!G12+MAHULU!G12</f>
        <v>1260089.5</v>
      </c>
      <c r="H12" s="31"/>
      <c r="I12" s="39">
        <f>BERAU!I12+KUKAR!I12+KUBAR!I12+KUTIM!I12+PASER!I12+PPU!I12+SAMARINDA!I12+BONTANG!I12+BALIKPAPAN!I12+MAHULU!I12</f>
        <v>188919.5</v>
      </c>
      <c r="J12" s="175">
        <f>KALTIM!J10</f>
        <v>1260089.5</v>
      </c>
      <c r="K12" s="175">
        <f t="shared" si="2"/>
        <v>0</v>
      </c>
      <c r="L12" s="31" t="s">
        <v>32</v>
      </c>
      <c r="M12" s="26">
        <f>BONTANG!F22</f>
        <v>65</v>
      </c>
      <c r="N12" s="30">
        <f t="shared" si="0"/>
        <v>5.6517905742045324E-5</v>
      </c>
      <c r="O12" s="26">
        <f>BONTANG!G22</f>
        <v>0</v>
      </c>
      <c r="P12" s="30">
        <f t="shared" si="1"/>
        <v>0</v>
      </c>
    </row>
    <row r="13" spans="1:16" x14ac:dyDescent="0.25">
      <c r="A13" s="21">
        <v>8</v>
      </c>
      <c r="B13" s="3">
        <v>2007</v>
      </c>
      <c r="C13" s="26">
        <f>BERAU!C13+KUKAR!C13+KUBAR!C13+KUTIM!C13+PASER!C13+PPU!C13+SAMARINDA!C13+BONTANG!C13+BALIKPAPAN!C13+MAHULU!C13</f>
        <v>24928</v>
      </c>
      <c r="D13" s="26">
        <f>BERAU!D13+KUKAR!D13+KUBAR!D13+KUTIM!D13+PASER!D13+PPU!D13+SAMARINDA!D13+BONTANG!D13+BALIKPAPAN!D13+MAHULU!D13</f>
        <v>3625</v>
      </c>
      <c r="E13" s="26">
        <f>BERAU!E13+KUKAR!E13+KUBAR!E13+KUTIM!E13+PASER!E13+PPU!E13+SAMARINDA!E13+BONTANG!E13+BALIKPAPAN!E13+MAHULU!E13</f>
        <v>0</v>
      </c>
      <c r="F13" s="38">
        <f>BERAU!F13+KUKAR!F13+KUBAR!F13+KUTIM!F13+PASER!F13+PPU!F13+SAMARINDA!F13+BONTANG!F13+BALIKPAPAN!F13+MAHULU!F13</f>
        <v>279391.5</v>
      </c>
      <c r="G13" s="26">
        <f>BERAU!G13+KUKAR!G13+KUBAR!G13+KUTIM!G13+PASER!G13+PPU!G13+SAMARINDA!G13+BONTANG!G13+BALIKPAPAN!G13+MAHULU!G13</f>
        <v>1403957</v>
      </c>
      <c r="H13" s="31"/>
      <c r="I13" s="39">
        <f>BERAU!I13+KUKAR!I13+KUBAR!I13+KUTIM!I13+PASER!I13+PPU!I13+SAMARINDA!I13+BONTANG!I13+BALIKPAPAN!I13+MAHULU!I13</f>
        <v>279391.5</v>
      </c>
      <c r="J13" s="175">
        <f>KALTIM!J11</f>
        <v>1403957</v>
      </c>
      <c r="K13" s="175">
        <f t="shared" si="2"/>
        <v>0</v>
      </c>
      <c r="L13" s="31" t="s">
        <v>31</v>
      </c>
      <c r="M13" s="26">
        <f>BALIKPAPAN!F22</f>
        <v>29</v>
      </c>
      <c r="N13" s="30">
        <f t="shared" si="0"/>
        <v>2.5215681023374065E-5</v>
      </c>
      <c r="O13" s="26">
        <f>BALIKPAPAN!G22</f>
        <v>132</v>
      </c>
      <c r="P13" s="30">
        <f t="shared" si="1"/>
        <v>1.1560582267993564E-5</v>
      </c>
    </row>
    <row r="14" spans="1:16" x14ac:dyDescent="0.25">
      <c r="A14" s="21">
        <v>9</v>
      </c>
      <c r="B14" s="3">
        <v>2008</v>
      </c>
      <c r="C14" s="26">
        <f>BERAU!C14+KUKAR!C14+KUBAR!C14+KUTIM!C14+PASER!C14+PPU!C14+SAMARINDA!C14+BONTANG!C14+BALIKPAPAN!C14+MAHULU!C14</f>
        <v>27469</v>
      </c>
      <c r="D14" s="26">
        <f>BERAU!D14+KUKAR!D14+KUBAR!D14+KUTIM!D14+PASER!D14+PPU!D14+SAMARINDA!D14+BONTANG!D14+BALIKPAPAN!D14+MAHULU!D14</f>
        <v>3634.5</v>
      </c>
      <c r="E14" s="26">
        <f>BERAU!E14+KUKAR!E14+KUBAR!E14+KUTIM!E14+PASER!E14+PPU!E14+SAMARINDA!E14+BONTANG!E14+BALIKPAPAN!E14+MAHULU!E14</f>
        <v>0</v>
      </c>
      <c r="F14" s="38">
        <f>BERAU!F14+KUKAR!F14+KUBAR!F14+KUTIM!F14+PASER!F14+PPU!F14+SAMARINDA!F14+BONTANG!F14+BALIKPAPAN!F14+MAHULU!F14</f>
        <v>346954.5</v>
      </c>
      <c r="G14" s="26">
        <f>BERAU!G14+KUKAR!G14+KUBAR!G14+KUTIM!G14+PASER!G14+PPU!G14+SAMARINDA!G14+BONTANG!G14+BALIKPAPAN!G14+MAHULU!G14</f>
        <v>1642557</v>
      </c>
      <c r="H14" s="31"/>
      <c r="I14" s="39">
        <f>BERAU!I14+KUKAR!I14+KUBAR!I14+KUTIM!I14+PASER!I14+PPU!I14+SAMARINDA!I14+BONTANG!I14+BALIKPAPAN!I14+MAHULU!I14</f>
        <v>346954.5</v>
      </c>
      <c r="J14" s="175">
        <f>KALTIM!J12</f>
        <v>1642557</v>
      </c>
      <c r="K14" s="175">
        <f t="shared" si="2"/>
        <v>0</v>
      </c>
      <c r="L14" s="31" t="s">
        <v>37</v>
      </c>
      <c r="M14" s="26">
        <f>MAHULU!F22</f>
        <v>20165</v>
      </c>
      <c r="N14" s="30">
        <f t="shared" si="0"/>
        <v>1.753359337366683E-2</v>
      </c>
      <c r="O14" s="26">
        <f>MAHULU!G22</f>
        <v>0</v>
      </c>
      <c r="P14" s="30">
        <f t="shared" si="1"/>
        <v>0</v>
      </c>
    </row>
    <row r="15" spans="1:16" x14ac:dyDescent="0.25">
      <c r="A15" s="21">
        <v>10</v>
      </c>
      <c r="B15" s="3">
        <v>2009</v>
      </c>
      <c r="C15" s="26">
        <f>BERAU!C15+KUKAR!C15+KUBAR!C15+KUTIM!C15+PASER!C15+PPU!C15+SAMARINDA!C15+BONTANG!C15+BALIKPAPAN!C15+MAHULU!C15</f>
        <v>32219.5</v>
      </c>
      <c r="D15" s="26">
        <f>BERAU!D15+KUKAR!D15+KUBAR!D15+KUTIM!D15+PASER!D15+PPU!D15+SAMARINDA!D15+BONTANG!D15+BALIKPAPAN!D15+MAHULU!D15</f>
        <v>6758.5</v>
      </c>
      <c r="E15" s="26">
        <f>BERAU!E15+KUKAR!E15+KUBAR!E15+KUTIM!E15+PASER!E15+PPU!E15+SAMARINDA!E15+BONTANG!E15+BALIKPAPAN!E15+MAHULU!E15</f>
        <v>0</v>
      </c>
      <c r="F15" s="38">
        <f>BERAU!F15+KUKAR!F15+KUBAR!F15+KUTIM!F15+PASER!F15+PPU!F15+SAMARINDA!F15+BONTANG!F15+BALIKPAPAN!F15+MAHULU!F15</f>
        <v>461993</v>
      </c>
      <c r="G15" s="26">
        <f>BERAU!G15+KUKAR!G15+KUBAR!G15+KUTIM!G15+PASER!G15+PPU!G15+SAMARINDA!G15+BONTANG!G15+BALIKPAPAN!G15+MAHULU!G15</f>
        <v>2505734.5</v>
      </c>
      <c r="H15" s="31"/>
      <c r="I15" s="39">
        <f>BERAU!I15+KUKAR!I15+KUBAR!I15+KUTIM!I15+PASER!I15+PPU!I15+SAMARINDA!I15+BONTANG!I15+BALIKPAPAN!I15+MAHULU!I15</f>
        <v>461993</v>
      </c>
      <c r="J15" s="175">
        <f>KALTIM!J13</f>
        <v>2505734.5</v>
      </c>
      <c r="K15" s="175">
        <f t="shared" si="2"/>
        <v>0</v>
      </c>
      <c r="L15" s="31"/>
      <c r="M15" s="66">
        <f>SUM(M5:M14)</f>
        <v>1150078</v>
      </c>
      <c r="N15" s="31"/>
      <c r="O15" s="66">
        <f>SUM(O5:O14)</f>
        <v>11418110</v>
      </c>
      <c r="P15" s="31"/>
    </row>
    <row r="16" spans="1:16" x14ac:dyDescent="0.25">
      <c r="A16" s="21">
        <v>11</v>
      </c>
      <c r="B16" s="3">
        <v>2010</v>
      </c>
      <c r="C16" s="26">
        <f>BERAU!C16+KUKAR!C16+KUBAR!C16+KUTIM!C16+PASER!C16+PPU!C16+SAMARINDA!C16+BONTANG!C16+BALIKPAPAN!C16+MAHULU!C16</f>
        <v>363192</v>
      </c>
      <c r="D16" s="26">
        <f>BERAU!D16+KUKAR!D16+KUBAR!D16+KUTIM!D16+PASER!D16+PPU!D16+SAMARINDA!D16+BONTANG!D16+BALIKPAPAN!D16+MAHULU!D16</f>
        <v>190509</v>
      </c>
      <c r="E16" s="26">
        <f>BERAU!E16+KUKAR!E16+KUBAR!E16+KUTIM!E16+PASER!E16+PPU!E16+SAMARINDA!E16+BONTANG!E16+BALIKPAPAN!E16+MAHULU!E16</f>
        <v>9860</v>
      </c>
      <c r="F16" s="38">
        <f>BERAU!F16+KUKAR!F16+KUBAR!F16+KUTIM!F16+PASER!F16+PPU!F16+SAMARINDA!F16+BONTANG!F16+BALIKPAPAN!F16+MAHULU!F16</f>
        <v>563561</v>
      </c>
      <c r="G16" s="4">
        <f>BERAU!G16+KUKAR!G16+KUBAR!G16+KUTIM!G16+PASER!G16+PPU!G16+SAMARINDA!G16+BONTANG!G16+BALIKPAPAN!G16+MAHULU!G16</f>
        <v>2961069</v>
      </c>
      <c r="H16" s="31"/>
      <c r="I16" s="39">
        <f>BERAU!I16+KUKAR!I16+KUBAR!I16+KUTIM!I16+PASER!I16+PPU!I16+SAMARINDA!I16+BONTANG!I16+BALIKPAPAN!I16+MAHULU!I16</f>
        <v>563561</v>
      </c>
      <c r="J16" s="175">
        <f>KALTIM!J14</f>
        <v>2961069</v>
      </c>
      <c r="K16" s="175">
        <f t="shared" si="2"/>
        <v>0</v>
      </c>
    </row>
    <row r="17" spans="1:11" x14ac:dyDescent="0.25">
      <c r="A17" s="21">
        <v>12</v>
      </c>
      <c r="B17" s="3">
        <v>2011</v>
      </c>
      <c r="C17" s="26">
        <f>BERAU!C17+KUKAR!C17+KUBAR!C17+KUTIM!C17+PASER!C17+PPU!C17+SAMARINDA!C17+BONTANG!C17+BALIKPAPAN!C17+MAHULU!C17</f>
        <v>425605</v>
      </c>
      <c r="D17" s="26">
        <f>BERAU!D17+KUKAR!D17+KUBAR!D17+KUTIM!D17+PASER!D17+PPU!D17+SAMARINDA!D17+BONTANG!D17+BALIKPAPAN!D17+MAHULU!D17</f>
        <v>279568</v>
      </c>
      <c r="E17" s="26">
        <f>BERAU!E17+KUKAR!E17+KUBAR!E17+KUTIM!E17+PASER!E17+PPU!E17+SAMARINDA!E17+BONTANG!E17+BALIKPAPAN!E17+MAHULU!E17</f>
        <v>11147</v>
      </c>
      <c r="F17" s="38">
        <f>BERAU!F17+KUKAR!F17+KUBAR!F17+KUTIM!F17+PASER!F17+PPU!F17+SAMARINDA!F17+BONTANG!F17+BALIKPAPAN!F17+MAHULU!F17</f>
        <v>716320</v>
      </c>
      <c r="G17" s="4">
        <f>BERAU!G17+KUKAR!G17+KUBAR!G17+KUTIM!G17+PASER!G17+PPU!G17+SAMARINDA!G17+BONTANG!G17+BALIKPAPAN!G17+MAHULU!G17</f>
        <v>4081782</v>
      </c>
      <c r="H17" s="31"/>
      <c r="I17" s="39">
        <f>BERAU!I17+KUKAR!I17+KUBAR!I17+KUTIM!I17+PASER!I17+PPU!I17+SAMARINDA!I17+BONTANG!I17+BALIKPAPAN!I17+MAHULU!I17</f>
        <v>716320</v>
      </c>
      <c r="J17" s="175">
        <f>KALTIM!J15</f>
        <v>4081782</v>
      </c>
      <c r="K17" s="175">
        <f t="shared" si="2"/>
        <v>0</v>
      </c>
    </row>
    <row r="18" spans="1:11" x14ac:dyDescent="0.25">
      <c r="A18" s="21">
        <v>13</v>
      </c>
      <c r="B18" s="3">
        <v>2012</v>
      </c>
      <c r="C18" s="26">
        <f>BERAU!C18+KUKAR!C18+KUBAR!C18+KUTIM!C18+PASER!C18+PPU!C18+SAMARINDA!C18+BONTANG!C18+BALIKPAPAN!C18+MAHULU!C18</f>
        <v>485484</v>
      </c>
      <c r="D18" s="26">
        <f>BERAU!D18+KUKAR!D18+KUBAR!D18+KUTIM!D18+PASER!D18+PPU!D18+SAMARINDA!D18+BONTANG!D18+BALIKPAPAN!D18+MAHULU!D18</f>
        <v>335904</v>
      </c>
      <c r="E18" s="26">
        <f>BERAU!E18+KUKAR!E18+KUBAR!E18+KUTIM!E18+PASER!E18+PPU!E18+SAMARINDA!E18+BONTANG!E18+BALIKPAPAN!E18+MAHULU!E18</f>
        <v>3025</v>
      </c>
      <c r="F18" s="38">
        <f>BERAU!F18+KUKAR!F18+KUBAR!F18+KUTIM!F18+PASER!F18+PPU!F18+SAMARINDA!F18+BONTANG!F18+BALIKPAPAN!F18+MAHULU!F18</f>
        <v>824413</v>
      </c>
      <c r="G18" s="4">
        <f>BERAU!G18+KUKAR!G18+KUBAR!G18+KUTIM!G18+PASER!G18+PPU!G18+SAMARINDA!G18+BONTANG!G18+BALIKPAPAN!G18+MAHULU!G18</f>
        <v>5221016</v>
      </c>
      <c r="H18" s="31"/>
      <c r="I18" s="39">
        <f>BERAU!I18+KUKAR!I18+KUBAR!I18+KUTIM!I18+PASER!I18+PPU!I18+SAMARINDA!I18+BONTANG!I18+BALIKPAPAN!I18+MAHULU!I18</f>
        <v>824413</v>
      </c>
      <c r="J18" s="175">
        <f>KALTIM!J16</f>
        <v>5221016</v>
      </c>
      <c r="K18" s="175">
        <f t="shared" si="2"/>
        <v>0</v>
      </c>
    </row>
    <row r="19" spans="1:11" x14ac:dyDescent="0.25">
      <c r="A19" s="21">
        <v>14</v>
      </c>
      <c r="B19" s="3">
        <v>2013</v>
      </c>
      <c r="C19" s="26">
        <f>BERAU!C19+KUKAR!C19+KUBAR!C19+KUTIM!C19+PASER!C19+PPU!C19+SAMARINDA!C19+BONTANG!C19+BALIKPAPAN!C19+MAHULU!C19</f>
        <v>542295</v>
      </c>
      <c r="D19" s="26">
        <f>BERAU!D19+KUKAR!D19+KUBAR!D19+KUTIM!D19+PASER!D19+PPU!D19+SAMARINDA!D19+BONTANG!D19+BALIKPAPAN!D19+MAHULU!D19</f>
        <v>397635</v>
      </c>
      <c r="E19" s="26">
        <f>BERAU!E19+KUKAR!E19+KUBAR!E19+KUTIM!E19+PASER!E19+PPU!E19+SAMARINDA!E19+BONTANG!E19+BALIKPAPAN!E19+MAHULU!E19</f>
        <v>4896</v>
      </c>
      <c r="F19" s="38">
        <f>BERAU!F19+KUKAR!F19+KUBAR!F19+KUTIM!F19+PASER!F19+PPU!F19+SAMARINDA!F19+BONTANG!F19+BALIKPAPAN!F19+MAHULU!F19</f>
        <v>944826</v>
      </c>
      <c r="G19" s="4">
        <f>BERAU!G19+KUKAR!G19+KUBAR!G19+KUTIM!G19+PASER!G19+PPU!G19+SAMARINDA!G19+BONTANG!G19+BALIKPAPAN!G19+MAHULU!G19</f>
        <v>6901602</v>
      </c>
      <c r="H19" s="31"/>
      <c r="I19" s="39">
        <f>BERAU!I19+KUKAR!I19+KUBAR!I19+KUTIM!I19+PASER!I19+PPU!I19+SAMARINDA!I19+BONTANG!I19+BALIKPAPAN!I19+MAHULU!I19</f>
        <v>944826</v>
      </c>
      <c r="J19" s="175">
        <f>KALTIM!J17</f>
        <v>6901602</v>
      </c>
      <c r="K19" s="175">
        <f t="shared" si="2"/>
        <v>0</v>
      </c>
    </row>
    <row r="20" spans="1:11" x14ac:dyDescent="0.25">
      <c r="A20" s="21">
        <v>15</v>
      </c>
      <c r="B20" s="3">
        <v>2014</v>
      </c>
      <c r="C20" s="26">
        <f>BERAU!C20+KUKAR!C20+KUBAR!C20+KUTIM!C20+PASER!C20+PPU!C20+SAMARINDA!C20+BONTANG!C20+BALIKPAPAN!C20+MAHULU!C20</f>
        <v>515917</v>
      </c>
      <c r="D20" s="26">
        <f>BERAU!D20+KUKAR!D20+KUBAR!D20+KUTIM!D20+PASER!D20+PPU!D20+SAMARINDA!D20+BONTANG!D20+BALIKPAPAN!D20+MAHULU!D20</f>
        <v>500512</v>
      </c>
      <c r="E20" s="26">
        <f>BERAU!E20+KUKAR!E20+KUBAR!E20+KUTIM!E20+PASER!E20+PPU!E20+SAMARINDA!E20+BONTANG!E20+BALIKPAPAN!E20+MAHULU!E20</f>
        <v>3984</v>
      </c>
      <c r="F20" s="38">
        <f>BERAU!F20+KUKAR!F20+KUBAR!F20+KUTIM!F20+PASER!F20+PPU!F20+SAMARINDA!F20+BONTANG!F20+BALIKPAPAN!F20+MAHULU!F20</f>
        <v>1020413</v>
      </c>
      <c r="G20" s="4">
        <f>BERAU!G20+KUKAR!G20+KUBAR!G20+KUTIM!G20+PASER!G20+PPU!G20+SAMARINDA!G20+BONTANG!G20+BALIKPAPAN!G20+MAHULU!G20</f>
        <v>9628072</v>
      </c>
      <c r="H20" s="31"/>
      <c r="I20" s="39">
        <f>BERAU!I20+KUKAR!I20+KUBAR!I20+KUTIM!I20+PASER!I20+PPU!I20+SAMARINDA!I20+BONTANG!I20+BALIKPAPAN!I20+MAHULU!I20</f>
        <v>1020413</v>
      </c>
      <c r="J20" s="175">
        <f>KALTIM!J18</f>
        <v>9628072</v>
      </c>
      <c r="K20" s="175">
        <f t="shared" si="2"/>
        <v>0</v>
      </c>
    </row>
    <row r="21" spans="1:11" x14ac:dyDescent="0.25">
      <c r="A21" s="21">
        <v>16</v>
      </c>
      <c r="B21" s="3">
        <v>2015</v>
      </c>
      <c r="C21" s="128">
        <v>464585</v>
      </c>
      <c r="D21" s="128">
        <v>621777</v>
      </c>
      <c r="E21" s="128">
        <v>3744</v>
      </c>
      <c r="F21" s="38">
        <f>BERAU!F21+KUKAR!F21+KUBAR!F21+KUTIM!F21+PASER!F21+PPU!F21+SAMARINDA!F21+BONTANG!F21+BALIKPAPAN!F21+MAHULU!F21</f>
        <v>1090106</v>
      </c>
      <c r="G21" s="4">
        <f>BERAU!G21+KUKAR!G21+KUBAR!G21+KUTIM!G21+PASER!G21+PPU!G21+SAMARINDA!G21+BONTANG!G21+BALIKPAPAN!G21+MAHULU!G21</f>
        <v>10812893</v>
      </c>
      <c r="H21" s="31"/>
      <c r="I21" s="39">
        <f>BERAU!I21+KUKAR!I21+KUBAR!I21+KUTIM!I21+PASER!I21+PPU!I21+SAMARINDA!I21+BONTANG!I21+BALIKPAPAN!I21+MAHULU!I21</f>
        <v>1090106</v>
      </c>
      <c r="J21" s="175">
        <f>KALTIM!J19</f>
        <v>10812893</v>
      </c>
      <c r="K21" s="175">
        <f t="shared" si="2"/>
        <v>0</v>
      </c>
    </row>
    <row r="22" spans="1:11" x14ac:dyDescent="0.25">
      <c r="A22" s="21">
        <v>17</v>
      </c>
      <c r="B22" s="3">
        <v>2016</v>
      </c>
      <c r="C22" s="26">
        <f>BERAU!C22+KUKAR!C22+KUBAR!C22+KUTIM!C22+PASER!C22+PPU!C22+SAMARINDA!C22+BONTANG!C22+BALIKPAPAN!C22+MAHULU!C22</f>
        <v>384084</v>
      </c>
      <c r="D22" s="26">
        <f>BERAU!D22+KUKAR!D22+KUBAR!D22+KUTIM!D22+PASER!D22+PPU!D22+SAMARINDA!D22+BONTANG!D22+BALIKPAPAN!D22+MAHULU!D22</f>
        <v>763896</v>
      </c>
      <c r="E22" s="26">
        <f>BERAU!E22+KUKAR!E22+KUBAR!E22+KUTIM!E22+PASER!E22+PPU!E22+SAMARINDA!E22+BONTANG!E22+BALIKPAPAN!E22+MAHULU!E22</f>
        <v>2098</v>
      </c>
      <c r="F22" s="38">
        <f>BERAU!F22+KUKAR!F22+KUBAR!F22+KUTIM!F22+PASER!F22+PPU!F22+SAMARINDA!F22+BONTANG!F22+BALIKPAPAN!F22+MAHULU!F22</f>
        <v>1150078</v>
      </c>
      <c r="G22" s="4">
        <f>BERAU!G22+KUKAR!G22+KUBAR!G22+KUTIM!G22+PASER!G22+PPU!G22+SAMARINDA!G22+BONTANG!G22+BALIKPAPAN!G22+MAHULU!G22</f>
        <v>11418110</v>
      </c>
      <c r="H22" s="31"/>
      <c r="I22" s="39">
        <f>BERAU!I22+KUKAR!I22+KUBAR!I22+KUTIM!I22+PASER!I22+PPU!I22+SAMARINDA!I22+BONTANG!I22+BALIKPAPAN!I22+MAHULU!I22</f>
        <v>1137774.2540000002</v>
      </c>
      <c r="J22" s="175">
        <f>KALTIM!J20</f>
        <v>11418110</v>
      </c>
      <c r="K22" s="175">
        <f t="shared" si="2"/>
        <v>0</v>
      </c>
    </row>
    <row r="23" spans="1:11" x14ac:dyDescent="0.25">
      <c r="A23" s="21">
        <v>18</v>
      </c>
      <c r="B23" s="3">
        <v>2017</v>
      </c>
      <c r="C23" s="26">
        <f>BERAU!C24+KUKAR!C23+KUBAR!C23+KUTIM!C23+PASER!C23+PPU!C23+SAMARINDA!C23+BONTANG!C23+BALIKPAPAN!C23+MAHULU!C23</f>
        <v>0</v>
      </c>
      <c r="D23" s="26">
        <f>BERAU!D24+KUKAR!D23+KUBAR!D23+KUTIM!D23+PASER!D23+PPU!D23+SAMARINDA!D23+BONTANG!D23+BALIKPAPAN!D23+MAHULU!D23</f>
        <v>0</v>
      </c>
      <c r="E23" s="26">
        <f>BERAU!E24+KUKAR!E23+KUBAR!E23+KUTIM!E23+PASER!E23+PPU!E23+SAMARINDA!E23+BONTANG!E23+BALIKPAPAN!E23+MAHULU!E23</f>
        <v>0</v>
      </c>
      <c r="F23" s="38">
        <f>BERAU!F23+KUKAR!F23+KUBAR!F23+KUTIM!F23+PASER!F23+PPU!F23+SAMARINDA!F23+BONTANG!F23+BALIKPAPAN!F23+MAHULU!F23</f>
        <v>1218588.6328888889</v>
      </c>
      <c r="G23" s="4">
        <f>BERAU!G23+KUKAR!G23+KUBAR!G23+KUTIM!G23+PASER!G23+PPU!G23+SAMARINDA!G23+BONTANG!G23+BALIKPAPAN!G23+MAHULU!G23</f>
        <v>16087912.462384</v>
      </c>
      <c r="H23" s="31"/>
      <c r="I23" s="39">
        <f>BERAU!I23+KUKAR!I23+KUBAR!I23+KUTIM!I23+PASER!I23+PPU!I23+SAMARINDA!I23+BONTANG!I23+BALIKPAPAN!I23+MAHULU!I23</f>
        <v>1188350.0615925996</v>
      </c>
      <c r="J23" s="175">
        <f>KALTIM!J21</f>
        <v>16068409.062000001</v>
      </c>
      <c r="K23" s="175">
        <f t="shared" si="2"/>
        <v>19503.400383999571</v>
      </c>
    </row>
    <row r="24" spans="1:11" x14ac:dyDescent="0.25">
      <c r="A24" s="21">
        <v>19</v>
      </c>
      <c r="B24" s="3">
        <v>2018</v>
      </c>
      <c r="C24" s="26">
        <f>BERAU!C25+KUKAR!C24+KUBAR!C24+KUTIM!C24+PASER!C24+PPU!C24+SAMARINDA!C24+BONTANG!C24+BALIKPAPAN!C24+MAHULU!C24</f>
        <v>0</v>
      </c>
      <c r="D24" s="26">
        <f>BERAU!D25+KUKAR!D24+KUBAR!D24+KUTIM!D24+PASER!D24+PPU!D24+SAMARINDA!D24+BONTANG!D24+BALIKPAPAN!D24+MAHULU!D24</f>
        <v>0</v>
      </c>
      <c r="E24" s="26">
        <f>BERAU!E25+KUKAR!E24+KUBAR!E24+KUTIM!E24+PASER!E24+PPU!E24+SAMARINDA!E24+BONTANG!E24+BALIKPAPAN!E24+MAHULU!E24</f>
        <v>0</v>
      </c>
      <c r="F24" s="38">
        <f>BERAU!F24+KUKAR!F24+KUBAR!F24+KUTIM!F24+PASER!F24+PPU!F24+SAMARINDA!F24+BONTANG!F24+BALIKPAPAN!F24+MAHULU!F24</f>
        <v>1287199.4398717778</v>
      </c>
      <c r="G24" s="4">
        <f>BERAU!G24+KUKAR!G24+KUBAR!G24+KUTIM!G24+PASER!G24+PPU!G24+SAMARINDA!G24+BONTANG!G24+BALIKPAPAN!G24+MAHULU!G24</f>
        <v>18256741.843456767</v>
      </c>
      <c r="H24" s="31"/>
      <c r="I24" s="39">
        <f>BERAU!I24+KUKAR!I24+KUBAR!I24+KUTIM!I24+PASER!I24+PPU!I24+SAMARINDA!I24+BONTANG!I24+BALIKPAPAN!I24+MAHULU!I24</f>
        <v>1242085.6703128014</v>
      </c>
      <c r="J24" s="175">
        <f>KALTIM!J22</f>
        <v>18231649.535999998</v>
      </c>
      <c r="K24" s="175">
        <f t="shared" si="2"/>
        <v>25092.307456769049</v>
      </c>
    </row>
    <row r="25" spans="1:11" x14ac:dyDescent="0.25">
      <c r="A25" s="21">
        <v>20</v>
      </c>
      <c r="B25" s="3">
        <v>2019</v>
      </c>
      <c r="C25" s="26">
        <f>BERAU!C26+KUKAR!C25+KUBAR!C25+KUTIM!C25+PASER!C25+PPU!C25+SAMARINDA!C25+BONTANG!C25+BALIKPAPAN!C25+MAHULU!C25</f>
        <v>0</v>
      </c>
      <c r="D25" s="26">
        <f>BERAU!D26+KUKAR!D25+KUBAR!D25+KUTIM!D25+PASER!D25+PPU!D25+SAMARINDA!D25+BONTANG!D25+BALIKPAPAN!D25+MAHULU!D25</f>
        <v>0</v>
      </c>
      <c r="E25" s="26">
        <f>BERAU!E26+KUKAR!E25+KUBAR!E25+KUTIM!E25+PASER!E25+PPU!E25+SAMARINDA!E25+BONTANG!E25+BALIKPAPAN!E25+MAHULU!E25</f>
        <v>0</v>
      </c>
      <c r="F25" s="38">
        <f>BERAU!F25+KUKAR!F25+KUBAR!F25+KUTIM!F25+PASER!F25+PPU!F25+SAMARINDA!F25+BONTANG!F25+BALIKPAPAN!F25+MAHULU!F25</f>
        <v>1355936.6641118808</v>
      </c>
      <c r="G25" s="4">
        <f>BERAU!G25+KUKAR!G25+KUBAR!G25+KUTIM!G25+PASER!G25+PPU!G25+SAMARINDA!G25+BONTANG!G25+BALIKPAPAN!G25+MAHULU!G25</f>
        <v>20502369.184288971</v>
      </c>
      <c r="H25" s="31"/>
      <c r="I25" s="39">
        <f>BERAU!I25+KUKAR!I25+KUBAR!I25+KUTIM!I25+PASER!I25+PPU!I25+SAMARINDA!I25+BONTANG!I25+BALIKPAPAN!I25+MAHULU!I25</f>
        <v>1299264.4241753754</v>
      </c>
      <c r="J25" s="175">
        <f>KALTIM!J23</f>
        <v>20469018.221999999</v>
      </c>
      <c r="K25" s="175">
        <f t="shared" si="2"/>
        <v>33350.96228897199</v>
      </c>
    </row>
    <row r="26" spans="1:11" x14ac:dyDescent="0.25">
      <c r="A26" s="21">
        <v>21</v>
      </c>
      <c r="B26" s="3">
        <v>2020</v>
      </c>
      <c r="C26" s="26">
        <f>BERAU!C27+KUKAR!C26+KUBAR!C26+KUTIM!C26+PASER!C26+PPU!C26+SAMARINDA!C26+BONTANG!C26+BALIKPAPAN!C26+MAHULU!C26</f>
        <v>0</v>
      </c>
      <c r="D26" s="26">
        <f>BERAU!D27+KUKAR!D26+KUBAR!D26+KUTIM!D26+PASER!D26+PPU!D26+SAMARINDA!D26+BONTANG!D26+BALIKPAPAN!D26+MAHULU!D26</f>
        <v>0</v>
      </c>
      <c r="E26" s="26">
        <f>BERAU!E27+KUKAR!E26+KUBAR!E26+KUTIM!E26+PASER!E26+PPU!E26+SAMARINDA!E26+BONTANG!E26+BALIKPAPAN!E26+MAHULU!E26</f>
        <v>0</v>
      </c>
      <c r="F26" s="38">
        <f>BERAU!F26+KUKAR!F26+KUBAR!F26+KUTIM!F26+PASER!F26+PPU!F26+SAMARINDA!F26+BONTANG!F26+BALIKPAPAN!F26+MAHULU!F26</f>
        <v>1424833.4294927092</v>
      </c>
      <c r="G26" s="4">
        <f>BERAU!G26+KUKAR!G26+KUBAR!G26+KUTIM!G26+PASER!G26+PPU!G26+SAMARINDA!G26+BONTANG!G26+BALIKPAPAN!G26+MAHULU!G26</f>
        <v>22825598.186408877</v>
      </c>
      <c r="H26" s="31"/>
      <c r="I26" s="39">
        <f>BERAU!I26+KUKAR!I26+KUBAR!I26+KUTIM!I26+PASER!I26+PPU!I26+SAMARINDA!I26+BONTANG!I26+BALIKPAPAN!I26+MAHULU!I26</f>
        <v>1360205.7380131998</v>
      </c>
      <c r="J26" s="175">
        <f>KALTIM!J24</f>
        <v>22780515.119999997</v>
      </c>
      <c r="K26" s="175">
        <f t="shared" si="2"/>
        <v>45083.066408880055</v>
      </c>
    </row>
    <row r="27" spans="1:11" x14ac:dyDescent="0.25">
      <c r="A27" s="21">
        <v>22</v>
      </c>
      <c r="B27" s="3">
        <v>2021</v>
      </c>
      <c r="C27" s="26">
        <f>BERAU!C28+KUKAR!C27+KUBAR!C27+KUTIM!C27+PASER!C27+PPU!C27+SAMARINDA!C27+BONTANG!C27+BALIKPAPAN!C27+MAHULU!C27</f>
        <v>0</v>
      </c>
      <c r="D27" s="26">
        <f>BERAU!D28+KUKAR!D27+KUBAR!D27+KUTIM!D27+PASER!D27+PPU!D27+SAMARINDA!D27+BONTANG!D27+BALIKPAPAN!D27+MAHULU!D27</f>
        <v>0</v>
      </c>
      <c r="E27" s="26">
        <f>BERAU!E28+KUKAR!E27+KUBAR!E27+KUTIM!E27+PASER!E27+PPU!E27+SAMARINDA!E27+BONTANG!E27+BALIKPAPAN!E27+MAHULU!E27</f>
        <v>0</v>
      </c>
      <c r="F27" s="38">
        <f>BERAU!F27+KUKAR!F27+KUBAR!F27+KUTIM!F27+PASER!F27+PPU!F27+SAMARINDA!F27+BONTANG!F27+BALIKPAPAN!F27+MAHULU!F27</f>
        <v>1493931.5459621074</v>
      </c>
      <c r="G27" s="4">
        <f>BERAU!G27+KUKAR!G27+KUBAR!G27+KUTIM!G27+PASER!G27+PPU!G27+SAMARINDA!G27+BONTANG!G27+BALIKPAPAN!G27+MAHULU!G27</f>
        <v>24667450.305924535</v>
      </c>
      <c r="H27" s="31"/>
      <c r="I27" s="39">
        <f>BERAU!I27+KUKAR!I27+KUBAR!I27+KUTIM!I27+PASER!I27+PPU!I27+SAMARINDA!I27+BONTANG!I27+BALIKPAPAN!I27+MAHULU!I27</f>
        <v>1425270.9836089986</v>
      </c>
      <c r="J27" s="175">
        <f>KALTIM!J25</f>
        <v>24603321.399999995</v>
      </c>
      <c r="K27" s="175">
        <f t="shared" si="2"/>
        <v>64128.905924540013</v>
      </c>
    </row>
    <row r="28" spans="1:11" x14ac:dyDescent="0.25">
      <c r="A28" s="21">
        <v>23</v>
      </c>
      <c r="B28" s="3">
        <v>2022</v>
      </c>
      <c r="C28" s="26">
        <f>BERAU!C29+KUKAR!C28+KUBAR!C28+KUTIM!C28+PASER!C28+PPU!C28+SAMARINDA!C28+BONTANG!C28+BALIKPAPAN!C28+MAHULU!C28</f>
        <v>0</v>
      </c>
      <c r="D28" s="26">
        <f>BERAU!D29+KUKAR!D28+KUBAR!D28+KUTIM!D28+PASER!D28+PPU!D28+SAMARINDA!D28+BONTANG!D28+BALIKPAPAN!D28+MAHULU!D28</f>
        <v>0</v>
      </c>
      <c r="E28" s="26">
        <f>BERAU!E29+KUKAR!E28+KUBAR!E28+KUTIM!E28+PASER!E28+PPU!E28+SAMARINDA!E28+BONTANG!E28+BALIKPAPAN!E28+MAHULU!E28</f>
        <v>0</v>
      </c>
      <c r="F28" s="38">
        <f>BERAU!F28+KUKAR!F28+KUBAR!F28+KUTIM!F28+PASER!F28+PPU!F28+SAMARINDA!F28+BONTANG!F28+BALIKPAPAN!F28+MAHULU!F28</f>
        <v>1563283.7888485419</v>
      </c>
      <c r="G28" s="4">
        <f>BERAU!G28+KUKAR!G28+KUBAR!G28+KUTIM!G28+PASER!G28+PPU!G28+SAMARINDA!G28+BONTANG!G28+BALIKPAPAN!G28+MAHULU!G28</f>
        <v>26567885.241568204</v>
      </c>
      <c r="H28" s="31"/>
      <c r="I28" s="39">
        <f>BERAU!I28+KUKAR!I28+KUBAR!I28+KUTIM!I28+PASER!I28+PPU!I28+SAMARINDA!I28+BONTANG!I28+BALIKPAPAN!I28+MAHULU!I28</f>
        <v>1494870.4645226086</v>
      </c>
      <c r="J28" s="175">
        <f>KALTIM!J26</f>
        <v>26478778.079999994</v>
      </c>
      <c r="K28" s="175">
        <f t="shared" si="2"/>
        <v>89107.161568209529</v>
      </c>
    </row>
    <row r="29" spans="1:11" x14ac:dyDescent="0.25">
      <c r="A29" s="21">
        <v>24</v>
      </c>
      <c r="B29" s="3">
        <v>2023</v>
      </c>
      <c r="C29" s="26">
        <f>BERAU!C30+KUKAR!C29+KUBAR!C29+KUTIM!C29+PASER!C29+PPU!C29+SAMARINDA!C29+BONTANG!C29+BALIKPAPAN!C29+MAHULU!C29</f>
        <v>0</v>
      </c>
      <c r="D29" s="26">
        <f>BERAU!D30+KUKAR!D29+KUBAR!D29+KUTIM!D29+PASER!D29+PPU!D29+SAMARINDA!D29+BONTANG!D29+BALIKPAPAN!D29+MAHULU!D29</f>
        <v>0</v>
      </c>
      <c r="E29" s="26">
        <f>BERAU!E30+KUKAR!E29+KUBAR!E29+KUTIM!E29+PASER!E29+PPU!E29+SAMARINDA!E29+BONTANG!E29+BALIKPAPAN!E29+MAHULU!E29</f>
        <v>0</v>
      </c>
      <c r="F29" s="38">
        <f>BERAU!F29+KUKAR!F29+KUBAR!F29+KUTIM!F29+PASER!F29+PPU!F29+SAMARINDA!F29+BONTANG!F29+BALIKPAPAN!F29+MAHULU!F29</f>
        <v>1632956.7766519799</v>
      </c>
      <c r="G29" s="4">
        <f>BERAU!G29+KUKAR!G29+KUBAR!G29+KUTIM!G29+PASER!G29+PPU!G29+SAMARINDA!G29+BONTANG!G29+BALIKPAPAN!G29+MAHULU!G29</f>
        <v>28528596.393467095</v>
      </c>
      <c r="H29" s="31"/>
      <c r="I29" s="39">
        <f>BERAU!I29+KUKAR!I29+KUBAR!I29+KUTIM!I29+PASER!I29+PPU!I29+SAMARINDA!I29+BONTANG!I29+BALIKPAPAN!I29+MAHULU!I29</f>
        <v>1569471.6915928822</v>
      </c>
      <c r="J29" s="175">
        <f>KALTIM!J27</f>
        <v>28406885.159999993</v>
      </c>
      <c r="K29" s="175">
        <f t="shared" si="2"/>
        <v>121711.23346710205</v>
      </c>
    </row>
    <row r="30" spans="1:11" x14ac:dyDescent="0.25">
      <c r="A30" s="21">
        <v>25</v>
      </c>
      <c r="B30" s="3">
        <v>2024</v>
      </c>
      <c r="C30" s="26">
        <f>BERAU!C31+KUKAR!C30+KUBAR!C30+KUTIM!C30+PASER!C30+PPU!C30+SAMARINDA!C30+BONTANG!C30+BALIKPAPAN!C30+MAHULU!C30</f>
        <v>0</v>
      </c>
      <c r="D30" s="26">
        <f>BERAU!D31+KUKAR!D30+KUBAR!D30+KUTIM!D30+PASER!D30+PPU!D30+SAMARINDA!D30+BONTANG!D30+BALIKPAPAN!D30+MAHULU!D30</f>
        <v>0</v>
      </c>
      <c r="E30" s="26">
        <f>BERAU!E31+KUKAR!E30+KUBAR!E30+KUTIM!E30+PASER!E30+PPU!E30+SAMARINDA!E30+BONTANG!E30+BALIKPAPAN!E30+MAHULU!E30</f>
        <v>0</v>
      </c>
      <c r="F30" s="38">
        <f>BERAU!F30+KUKAR!F30+KUBAR!F30+KUTIM!F30+PASER!F30+PPU!F30+SAMARINDA!F30+BONTANG!F30+BALIKPAPAN!F30+MAHULU!F30</f>
        <v>1703034.6045309652</v>
      </c>
      <c r="G30" s="4">
        <f>BERAU!G30+KUKAR!G30+KUBAR!G30+KUTIM!G30+PASER!G30+PPU!G30+SAMARINDA!G30+BONTANG!G30+BALIKPAPAN!G30+MAHULU!G30</f>
        <v>30551753.811486054</v>
      </c>
      <c r="H30" s="31"/>
      <c r="I30" s="39">
        <f>BERAU!I30+KUKAR!I30+KUBAR!I30+KUTIM!I30+PASER!I30+PPU!I30+SAMARINDA!I30+BONTANG!I30+BALIKPAPAN!I30+MAHULU!I30</f>
        <v>1649609.2131848841</v>
      </c>
      <c r="J30" s="175">
        <f>KALTIM!J28</f>
        <v>30387642.639999993</v>
      </c>
      <c r="K30" s="175">
        <f t="shared" si="2"/>
        <v>164111.17148606107</v>
      </c>
    </row>
    <row r="31" spans="1:11" x14ac:dyDescent="0.25">
      <c r="A31" s="21">
        <v>26</v>
      </c>
      <c r="B31" s="3">
        <v>2025</v>
      </c>
      <c r="C31" s="26">
        <f>BERAU!C32+KUKAR!C31+KUBAR!C31+KUTIM!C31+PASER!C31+PPU!C31+SAMARINDA!C31+BONTANG!C31+BALIKPAPAN!C31+MAHULU!C31</f>
        <v>0</v>
      </c>
      <c r="D31" s="26">
        <f>BERAU!D32+KUKAR!D31+KUBAR!D31+KUTIM!D31+PASER!D31+PPU!D31+SAMARINDA!D31+BONTANG!D31+BALIKPAPAN!D31+MAHULU!D31</f>
        <v>0</v>
      </c>
      <c r="E31" s="26">
        <f>BERAU!E32+KUKAR!E31+KUBAR!E31+KUTIM!E31+PASER!E31+PPU!E31+SAMARINDA!E31+BONTANG!E31+BALIKPAPAN!E31+MAHULU!E31</f>
        <v>0</v>
      </c>
      <c r="F31" s="38">
        <f>BERAU!F31+KUKAR!F31+KUBAR!F31+KUTIM!F31+PASER!F31+PPU!F31+SAMARINDA!F31+BONTANG!F31+BALIKPAPAN!F31+MAHULU!F31</f>
        <v>1773623.4320289521</v>
      </c>
      <c r="G31" s="4">
        <f>BERAU!G31+KUKAR!G31+KUBAR!G31+KUTIM!G31+PASER!G31+PPU!G31+SAMARINDA!G31+BONTANG!G31+BALIKPAPAN!G31+MAHULU!G31</f>
        <v>32640137.818331726</v>
      </c>
      <c r="H31" s="31"/>
      <c r="I31" s="39">
        <f>BERAU!I31+KUKAR!I31+KUBAR!I31+KUTIM!I31+PASER!I31+PPU!I31+SAMARINDA!I31+BONTANG!I31+BALIKPAPAN!I31+MAHULU!I31</f>
        <v>1735896.3047675167</v>
      </c>
      <c r="J31" s="175">
        <f>KALTIM!J29</f>
        <v>32421050.519999992</v>
      </c>
      <c r="K31" s="175">
        <f t="shared" si="2"/>
        <v>219087.29833173379</v>
      </c>
    </row>
    <row r="32" spans="1:11" x14ac:dyDescent="0.25">
      <c r="A32" s="21">
        <v>27</v>
      </c>
      <c r="B32" s="3">
        <v>2026</v>
      </c>
      <c r="C32" s="26">
        <f>BERAU!C33+KUKAR!C32+KUBAR!C32+KUTIM!C32+PASER!C32+PPU!C32+SAMARINDA!C32+BONTANG!C32+BALIKPAPAN!C32+MAHULU!C32</f>
        <v>0</v>
      </c>
      <c r="D32" s="26">
        <f>BERAU!D33+KUKAR!D32+KUBAR!D32+KUTIM!D32+PASER!D32+PPU!D32+SAMARINDA!D32+BONTANG!D32+BALIKPAPAN!D32+MAHULU!D32</f>
        <v>0</v>
      </c>
      <c r="E32" s="26">
        <f>BERAU!E33+KUKAR!E32+KUBAR!E32+KUTIM!E32+PASER!E32+PPU!E32+SAMARINDA!E32+BONTANG!E32+BALIKPAPAN!E32+MAHULU!E32</f>
        <v>0</v>
      </c>
      <c r="F32" s="38">
        <f>BERAU!F32+KUKAR!F32+KUBAR!F32+KUTIM!F32+PASER!F32+PPU!F32+SAMARINDA!F32+BONTANG!F32+BALIKPAPAN!F32+MAHULU!F32</f>
        <v>1776729.3868799917</v>
      </c>
      <c r="G32" s="4">
        <f>BERAU!G32+KUKAR!G32+KUBAR!G32+KUTIM!G32+PASER!G32+PPU!G32+SAMARINDA!G32+BONTANG!G32+BALIKPAPAN!G32+MAHULU!G32</f>
        <v>34797309.959927276</v>
      </c>
      <c r="H32" s="31"/>
      <c r="I32" s="39">
        <f>BERAU!I32+KUKAR!I32+KUBAR!I32+KUTIM!I32+PASER!I32+PPU!I32+SAMARINDA!I32+BONTANG!I32+BALIKPAPAN!I32+MAHULU!I32</f>
        <v>1829038.8830353983</v>
      </c>
      <c r="J32" s="175">
        <f>KALTIM!J30</f>
        <v>34507108.79999999</v>
      </c>
      <c r="K32" s="175">
        <f t="shared" si="2"/>
        <v>290201.15992728621</v>
      </c>
    </row>
    <row r="33" spans="1:11" x14ac:dyDescent="0.25">
      <c r="A33" s="21">
        <v>28</v>
      </c>
      <c r="B33" s="3">
        <v>2027</v>
      </c>
      <c r="C33" s="26">
        <f>BERAU!C34+KUKAR!C33+KUBAR!C33+KUTIM!C33+PASER!C33+PPU!C33+SAMARINDA!C33+BONTANG!C33+BALIKPAPAN!C33+MAHULU!C33</f>
        <v>0</v>
      </c>
      <c r="D33" s="26">
        <f>BERAU!D34+KUKAR!D33+KUBAR!D33+KUTIM!D33+PASER!D33+PPU!D33+SAMARINDA!D33+BONTANG!D33+BALIKPAPAN!D33+MAHULU!D33</f>
        <v>0</v>
      </c>
      <c r="E33" s="26">
        <f>BERAU!E34+KUKAR!E33+KUBAR!E33+KUTIM!E33+PASER!E33+PPU!E33+SAMARINDA!E33+BONTANG!E33+BALIKPAPAN!E33+MAHULU!E33</f>
        <v>0</v>
      </c>
      <c r="F33" s="38">
        <f>BERAU!F33+KUKAR!F33+KUBAR!F33+KUTIM!F33+PASER!F33+PPU!F33+SAMARINDA!F33+BONTANG!F33+BALIKPAPAN!F33+MAHULU!F33</f>
        <v>1780649.5459752702</v>
      </c>
      <c r="G33" s="4">
        <f>BERAU!G33+KUKAR!G33+KUBAR!G33+KUTIM!G33+PASER!G33+PPU!G33+SAMARINDA!G33+BONTANG!G33+BALIKPAPAN!G33+MAHULU!G33</f>
        <v>37027831.677780658</v>
      </c>
      <c r="H33" s="31"/>
      <c r="I33" s="39">
        <f>BERAU!I33+KUKAR!I33+KUBAR!I33+KUTIM!I33+PASER!I33+PPU!I33+SAMARINDA!I33+BONTANG!I33+BALIKPAPAN!I33+MAHULU!I33</f>
        <v>1929852.0825637158</v>
      </c>
      <c r="J33" s="175">
        <f>KALTIM!J31</f>
        <v>36645817.479999989</v>
      </c>
      <c r="K33" s="175">
        <f t="shared" si="2"/>
        <v>382014.19778066874</v>
      </c>
    </row>
    <row r="34" spans="1:11" x14ac:dyDescent="0.25">
      <c r="A34" s="21">
        <v>29</v>
      </c>
      <c r="B34" s="3">
        <v>2028</v>
      </c>
      <c r="C34" s="26">
        <f>BERAU!C35+KUKAR!C34+KUBAR!C34+KUTIM!C34+PASER!C34+PPU!C34+SAMARINDA!C34+BONTANG!C34+BALIKPAPAN!C34+MAHULU!C34</f>
        <v>0</v>
      </c>
      <c r="D34" s="26">
        <f>BERAU!D35+KUKAR!D34+KUBAR!D34+KUTIM!D34+PASER!D34+PPU!D34+SAMARINDA!D34+BONTANG!D34+BALIKPAPAN!D34+MAHULU!D34</f>
        <v>0</v>
      </c>
      <c r="E34" s="26">
        <f>BERAU!E35+KUKAR!E34+KUBAR!E34+KUTIM!E34+PASER!E34+PPU!E34+SAMARINDA!E34+BONTANG!E34+BALIKPAPAN!E34+MAHULU!E34</f>
        <v>0</v>
      </c>
      <c r="F34" s="38">
        <f>BERAU!F34+KUKAR!F34+KUBAR!F34+KUTIM!F34+PASER!F34+PPU!F34+SAMARINDA!F34+BONTANG!F34+BALIKPAPAN!F34+MAHULU!F34</f>
        <v>1785597.5044781948</v>
      </c>
      <c r="G34" s="4">
        <f>BERAU!G34+KUKAR!G34+KUBAR!G34+KUTIM!G34+PASER!G34+PPU!G34+SAMARINDA!G34+BONTANG!G34+BALIKPAPAN!G34+MAHULU!G34</f>
        <v>39337543.984693952</v>
      </c>
      <c r="H34" s="31"/>
      <c r="I34" s="39">
        <f>BERAU!I34+KUKAR!I34+KUBAR!I34+KUTIM!I34+PASER!I34+PPU!I34+SAMARINDA!I34+BONTANG!I34+BALIKPAPAN!I34+MAHULU!I34</f>
        <v>2039280.0203467214</v>
      </c>
      <c r="J34" s="175">
        <f>KALTIM!J32</f>
        <v>38837176.559999987</v>
      </c>
      <c r="K34" s="175">
        <f t="shared" si="2"/>
        <v>500367.42469396442</v>
      </c>
    </row>
    <row r="35" spans="1:11" x14ac:dyDescent="0.25">
      <c r="A35" s="21">
        <v>30</v>
      </c>
      <c r="B35" s="3">
        <v>2029</v>
      </c>
      <c r="C35" s="26">
        <f>BERAU!C36+KUKAR!C35+KUBAR!C35+KUTIM!C35+PASER!C35+PPU!C35+SAMARINDA!C35+BONTANG!C35+BALIKPAPAN!C35+MAHULU!C35</f>
        <v>0</v>
      </c>
      <c r="D35" s="26">
        <f>BERAU!D36+KUKAR!D35+KUBAR!D35+KUTIM!D35+PASER!D35+PPU!D35+SAMARINDA!D35+BONTANG!D35+BALIKPAPAN!D35+MAHULU!D35</f>
        <v>0</v>
      </c>
      <c r="E35" s="26">
        <f>BERAU!E36+KUKAR!E35+KUBAR!E35+KUTIM!E35+PASER!E35+PPU!E35+SAMARINDA!E35+BONTANG!E35+BALIKPAPAN!E35+MAHULU!E35</f>
        <v>0</v>
      </c>
      <c r="F35" s="38">
        <f>BERAU!F35+KUKAR!F35+KUBAR!F35+KUTIM!F35+PASER!F35+PPU!F35+SAMARINDA!F35+BONTANG!F35+BALIKPAPAN!F35+MAHULU!F35</f>
        <v>1791842.9269836475</v>
      </c>
      <c r="G35" s="4">
        <f>BERAU!G35+KUKAR!G35+KUBAR!G35+KUTIM!G35+PASER!G35+PPU!G35+SAMARINDA!G35+BONTANG!G35+BALIKPAPAN!G35+MAHULU!G35</f>
        <v>41733925.11140468</v>
      </c>
      <c r="H35" s="31"/>
      <c r="I35" s="39">
        <f>BERAU!I35+KUKAR!I35+KUBAR!I35+KUTIM!I35+PASER!I35+PPU!I35+SAMARINDA!I35+BONTANG!I35+BALIKPAPAN!I35+MAHULU!I35</f>
        <v>2158419.3784520673</v>
      </c>
      <c r="J35" s="175">
        <f>KALTIM!J33</f>
        <v>41081186.039999984</v>
      </c>
      <c r="K35" s="175">
        <f t="shared" si="2"/>
        <v>652739.07140469551</v>
      </c>
    </row>
    <row r="36" spans="1:11" x14ac:dyDescent="0.25">
      <c r="A36" s="21">
        <v>31</v>
      </c>
      <c r="B36" s="3">
        <v>2030</v>
      </c>
      <c r="C36" s="26">
        <f>BERAU!C37+KUKAR!C36+KUBAR!C36+KUTIM!C36+PASER!C36+PPU!C36+SAMARINDA!C36+BONTANG!C36+BALIKPAPAN!C36+MAHULU!C36</f>
        <v>0</v>
      </c>
      <c r="D36" s="26">
        <f>BERAU!D37+KUKAR!D36+KUBAR!D36+KUTIM!D36+PASER!D36+PPU!D36+SAMARINDA!D36+BONTANG!D36+BALIKPAPAN!D36+MAHULU!D36</f>
        <v>0</v>
      </c>
      <c r="E36" s="26">
        <f>BERAU!E37+KUKAR!E36+KUBAR!E36+KUTIM!E36+PASER!E36+PPU!E36+SAMARINDA!E36+BONTANG!E36+BALIKPAPAN!E36+MAHULU!E36</f>
        <v>0</v>
      </c>
      <c r="F36" s="38">
        <f>BERAU!F36+KUKAR!F36+KUBAR!F36+KUTIM!F36+PASER!F36+PPU!F36+SAMARINDA!F36+BONTANG!F36+BALIKPAPAN!F36+MAHULU!F36</f>
        <v>1799762.8877527816</v>
      </c>
      <c r="G36" s="4">
        <f>BERAU!G36+KUKAR!G36+KUBAR!G36+KUTIM!G36+PASER!G36+PPU!G36+SAMARINDA!G36+BONTANG!G36+BALIKPAPAN!G36+MAHULU!G36</f>
        <v>42612512.211291924</v>
      </c>
      <c r="H36" s="31"/>
      <c r="I36" s="39">
        <f>BERAU!I36+KUKAR!I36+KUBAR!I36+KUTIM!I36+PASER!I36+PPU!I36+SAMARINDA!I36+BONTANG!I36+BALIKPAPAN!I36+MAHULU!I36</f>
        <v>1259834.0214269471</v>
      </c>
      <c r="J36" s="175">
        <f>KALTIM!J34</f>
        <v>41761233.119999982</v>
      </c>
      <c r="K36" s="175">
        <f>G36-J36</f>
        <v>851279.0912919417</v>
      </c>
    </row>
    <row r="37" spans="1:11" x14ac:dyDescent="0.25">
      <c r="F37" s="182" t="s">
        <v>45</v>
      </c>
      <c r="K37" s="175"/>
    </row>
    <row r="39" spans="1:11" x14ac:dyDescent="0.25">
      <c r="A39" s="1" t="s">
        <v>40</v>
      </c>
      <c r="B39" s="1"/>
    </row>
    <row r="40" spans="1:11" x14ac:dyDescent="0.25">
      <c r="A40" s="32">
        <v>1</v>
      </c>
      <c r="B40" s="1" t="s">
        <v>41</v>
      </c>
    </row>
    <row r="41" spans="1:11" x14ac:dyDescent="0.25">
      <c r="A41" s="32">
        <v>2</v>
      </c>
      <c r="B41" s="1" t="s">
        <v>42</v>
      </c>
    </row>
  </sheetData>
  <mergeCells count="3">
    <mergeCell ref="A4:A5"/>
    <mergeCell ref="C4:E4"/>
    <mergeCell ref="B4:B5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2" workbookViewId="0">
      <selection activeCell="F36" sqref="F36"/>
    </sheetView>
  </sheetViews>
  <sheetFormatPr defaultRowHeight="15" x14ac:dyDescent="0.25"/>
  <cols>
    <col min="1" max="1" width="5.140625" customWidth="1"/>
    <col min="3" max="5" width="9.28515625" bestFit="1" customWidth="1"/>
    <col min="6" max="6" width="10.5703125" bestFit="1" customWidth="1"/>
    <col min="7" max="7" width="9.5703125" bestFit="1" customWidth="1"/>
    <col min="8" max="8" width="15.5703125" bestFit="1" customWidth="1"/>
    <col min="9" max="9" width="10.5703125" bestFit="1" customWidth="1"/>
  </cols>
  <sheetData>
    <row r="1" spans="1:9" x14ac:dyDescent="0.25">
      <c r="A1" s="1" t="s">
        <v>13</v>
      </c>
      <c r="B1" s="1"/>
      <c r="C1" s="1"/>
      <c r="D1" s="1"/>
      <c r="E1" s="1"/>
      <c r="F1" s="1"/>
      <c r="G1" s="1"/>
      <c r="H1" s="1"/>
    </row>
    <row r="2" spans="1:9" x14ac:dyDescent="0.25">
      <c r="A2" s="1" t="s">
        <v>19</v>
      </c>
      <c r="B2" s="1"/>
      <c r="C2" s="1"/>
      <c r="D2" s="1"/>
      <c r="E2" s="1"/>
      <c r="F2" s="1"/>
      <c r="G2" s="1"/>
      <c r="H2" s="1"/>
    </row>
    <row r="3" spans="1:9" x14ac:dyDescent="0.25">
      <c r="A3" s="1"/>
      <c r="B3" s="1"/>
      <c r="C3" s="1"/>
      <c r="D3" s="1"/>
      <c r="E3" s="1"/>
      <c r="F3" s="1"/>
      <c r="G3" s="1"/>
      <c r="H3" s="1"/>
    </row>
    <row r="4" spans="1:9" x14ac:dyDescent="0.25">
      <c r="A4" s="183" t="s">
        <v>1</v>
      </c>
      <c r="B4" s="183" t="s">
        <v>2</v>
      </c>
      <c r="C4" s="189" t="s">
        <v>3</v>
      </c>
      <c r="D4" s="189"/>
      <c r="E4" s="189"/>
      <c r="F4" s="2" t="s">
        <v>4</v>
      </c>
      <c r="G4" s="2" t="s">
        <v>5</v>
      </c>
      <c r="H4" s="2" t="s">
        <v>6</v>
      </c>
      <c r="I4" s="8"/>
    </row>
    <row r="5" spans="1:9" x14ac:dyDescent="0.25">
      <c r="A5" s="183"/>
      <c r="B5" s="183"/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12</v>
      </c>
      <c r="I5" s="8"/>
    </row>
    <row r="6" spans="1:9" x14ac:dyDescent="0.25">
      <c r="A6" s="6">
        <v>1</v>
      </c>
      <c r="B6" s="6">
        <v>2000</v>
      </c>
      <c r="C6" s="5"/>
      <c r="D6" s="5"/>
      <c r="E6" s="5"/>
      <c r="F6" s="5"/>
      <c r="G6" s="5"/>
      <c r="H6" s="5"/>
      <c r="I6" s="59">
        <f>F6</f>
        <v>0</v>
      </c>
    </row>
    <row r="7" spans="1:9" x14ac:dyDescent="0.25">
      <c r="A7" s="6">
        <v>2</v>
      </c>
      <c r="B7" s="6">
        <v>2001</v>
      </c>
      <c r="C7" s="5"/>
      <c r="D7" s="5"/>
      <c r="E7" s="5"/>
      <c r="F7" s="5"/>
      <c r="G7" s="5"/>
      <c r="H7" s="5"/>
      <c r="I7" s="59">
        <f t="shared" ref="I7:I21" si="0">F7</f>
        <v>0</v>
      </c>
    </row>
    <row r="8" spans="1:9" x14ac:dyDescent="0.25">
      <c r="A8" s="6">
        <v>3</v>
      </c>
      <c r="B8" s="6">
        <v>2002</v>
      </c>
      <c r="C8" s="5"/>
      <c r="D8" s="5"/>
      <c r="E8" s="5"/>
      <c r="F8" s="5"/>
      <c r="G8" s="5"/>
      <c r="H8" s="5"/>
      <c r="I8" s="59">
        <f t="shared" si="0"/>
        <v>0</v>
      </c>
    </row>
    <row r="9" spans="1:9" x14ac:dyDescent="0.25">
      <c r="A9" s="6">
        <v>4</v>
      </c>
      <c r="B9" s="6">
        <v>2003</v>
      </c>
      <c r="C9" s="5"/>
      <c r="D9" s="5"/>
      <c r="E9" s="5"/>
      <c r="F9" s="5">
        <v>1</v>
      </c>
      <c r="G9" s="5">
        <v>0</v>
      </c>
      <c r="H9" s="5"/>
      <c r="I9" s="59">
        <f t="shared" si="0"/>
        <v>1</v>
      </c>
    </row>
    <row r="10" spans="1:9" x14ac:dyDescent="0.25">
      <c r="A10" s="6">
        <v>5</v>
      </c>
      <c r="B10" s="6">
        <v>2004</v>
      </c>
      <c r="C10" s="5"/>
      <c r="D10" s="5"/>
      <c r="E10" s="5"/>
      <c r="F10" s="5">
        <v>1</v>
      </c>
      <c r="G10" s="5">
        <v>0</v>
      </c>
      <c r="H10" s="5"/>
      <c r="I10" s="59">
        <f t="shared" si="0"/>
        <v>1</v>
      </c>
    </row>
    <row r="11" spans="1:9" x14ac:dyDescent="0.25">
      <c r="A11" s="6">
        <v>6</v>
      </c>
      <c r="B11" s="6">
        <v>2005</v>
      </c>
      <c r="C11" s="5"/>
      <c r="D11" s="5"/>
      <c r="E11" s="5"/>
      <c r="F11" s="5">
        <v>16</v>
      </c>
      <c r="G11" s="5">
        <v>0</v>
      </c>
      <c r="H11" s="5"/>
      <c r="I11" s="59">
        <f t="shared" si="0"/>
        <v>16</v>
      </c>
    </row>
    <row r="12" spans="1:9" x14ac:dyDescent="0.25">
      <c r="A12" s="6">
        <v>7</v>
      </c>
      <c r="B12" s="3">
        <v>2006</v>
      </c>
      <c r="C12" s="10"/>
      <c r="D12" s="10"/>
      <c r="E12" s="10"/>
      <c r="F12" s="10">
        <v>205</v>
      </c>
      <c r="G12" s="10">
        <v>0</v>
      </c>
      <c r="H12" s="10" t="e">
        <f t="shared" ref="H12:H19" si="1">(G12*1000)/D12</f>
        <v>#DIV/0!</v>
      </c>
      <c r="I12" s="59">
        <f t="shared" si="0"/>
        <v>205</v>
      </c>
    </row>
    <row r="13" spans="1:9" x14ac:dyDescent="0.25">
      <c r="A13" s="6">
        <v>8</v>
      </c>
      <c r="B13" s="3">
        <v>2007</v>
      </c>
      <c r="C13" s="10"/>
      <c r="D13" s="10"/>
      <c r="E13" s="10"/>
      <c r="F13" s="10">
        <v>331.5</v>
      </c>
      <c r="G13" s="10"/>
      <c r="H13" s="10" t="e">
        <f t="shared" si="1"/>
        <v>#DIV/0!</v>
      </c>
      <c r="I13" s="59">
        <f t="shared" si="0"/>
        <v>331.5</v>
      </c>
    </row>
    <row r="14" spans="1:9" x14ac:dyDescent="0.25">
      <c r="A14" s="6">
        <v>9</v>
      </c>
      <c r="B14" s="3">
        <v>2008</v>
      </c>
      <c r="C14" s="10"/>
      <c r="D14" s="10"/>
      <c r="E14" s="10"/>
      <c r="F14" s="10">
        <v>827</v>
      </c>
      <c r="G14" s="10">
        <v>163.5</v>
      </c>
      <c r="H14" s="10" t="e">
        <f t="shared" si="1"/>
        <v>#DIV/0!</v>
      </c>
      <c r="I14" s="59">
        <f t="shared" si="0"/>
        <v>827</v>
      </c>
    </row>
    <row r="15" spans="1:9" x14ac:dyDescent="0.25">
      <c r="A15" s="6">
        <v>10</v>
      </c>
      <c r="B15" s="3">
        <v>2009</v>
      </c>
      <c r="C15" s="10"/>
      <c r="D15" s="10"/>
      <c r="E15" s="10"/>
      <c r="F15" s="10">
        <v>920</v>
      </c>
      <c r="G15" s="10">
        <v>306</v>
      </c>
      <c r="H15" s="10" t="e">
        <f t="shared" si="1"/>
        <v>#DIV/0!</v>
      </c>
      <c r="I15" s="59">
        <f t="shared" si="0"/>
        <v>920</v>
      </c>
    </row>
    <row r="16" spans="1:9" x14ac:dyDescent="0.25">
      <c r="A16" s="6">
        <v>11</v>
      </c>
      <c r="B16" s="3">
        <v>2010</v>
      </c>
      <c r="C16" s="10">
        <v>710</v>
      </c>
      <c r="D16" s="10">
        <v>405</v>
      </c>
      <c r="E16" s="10">
        <v>0</v>
      </c>
      <c r="F16" s="10">
        <f t="shared" ref="F16:F19" si="2">SUM(C16:E16)</f>
        <v>1115</v>
      </c>
      <c r="G16" s="10">
        <v>826</v>
      </c>
      <c r="H16" s="10">
        <f t="shared" si="1"/>
        <v>2039.5061728395062</v>
      </c>
      <c r="I16" s="59">
        <f t="shared" si="0"/>
        <v>1115</v>
      </c>
    </row>
    <row r="17" spans="1:9" x14ac:dyDescent="0.25">
      <c r="A17" s="6">
        <v>12</v>
      </c>
      <c r="B17" s="3">
        <v>2011</v>
      </c>
      <c r="C17" s="10">
        <v>521</v>
      </c>
      <c r="D17" s="10">
        <v>615</v>
      </c>
      <c r="E17" s="10">
        <v>0</v>
      </c>
      <c r="F17" s="10">
        <f t="shared" si="2"/>
        <v>1136</v>
      </c>
      <c r="G17" s="10">
        <v>1064</v>
      </c>
      <c r="H17" s="10">
        <f t="shared" si="1"/>
        <v>1730.0813008130081</v>
      </c>
      <c r="I17" s="59">
        <f t="shared" si="0"/>
        <v>1136</v>
      </c>
    </row>
    <row r="18" spans="1:9" x14ac:dyDescent="0.25">
      <c r="A18" s="6">
        <v>13</v>
      </c>
      <c r="B18" s="3">
        <v>2012</v>
      </c>
      <c r="C18" s="10">
        <v>421</v>
      </c>
      <c r="D18" s="10">
        <v>700</v>
      </c>
      <c r="E18" s="10">
        <v>141</v>
      </c>
      <c r="F18" s="10">
        <f t="shared" si="2"/>
        <v>1262</v>
      </c>
      <c r="G18" s="10">
        <v>5244</v>
      </c>
      <c r="H18" s="10">
        <f t="shared" si="1"/>
        <v>7491.4285714285716</v>
      </c>
      <c r="I18" s="59">
        <f t="shared" si="0"/>
        <v>1262</v>
      </c>
    </row>
    <row r="19" spans="1:9" x14ac:dyDescent="0.25">
      <c r="A19" s="6">
        <v>14</v>
      </c>
      <c r="B19" s="3">
        <v>2013</v>
      </c>
      <c r="C19" s="10">
        <v>592</v>
      </c>
      <c r="D19" s="10">
        <v>756</v>
      </c>
      <c r="E19" s="10">
        <v>141</v>
      </c>
      <c r="F19" s="10">
        <f t="shared" si="2"/>
        <v>1489</v>
      </c>
      <c r="G19" s="10">
        <v>5911</v>
      </c>
      <c r="H19" s="10">
        <f t="shared" si="1"/>
        <v>7818.7830687830692</v>
      </c>
      <c r="I19" s="59">
        <f t="shared" si="0"/>
        <v>1489</v>
      </c>
    </row>
    <row r="20" spans="1:9" x14ac:dyDescent="0.25">
      <c r="A20" s="6">
        <v>15</v>
      </c>
      <c r="B20" s="3">
        <v>2014</v>
      </c>
      <c r="C20" s="10">
        <v>646</v>
      </c>
      <c r="D20" s="10">
        <v>752</v>
      </c>
      <c r="E20" s="10">
        <v>71</v>
      </c>
      <c r="F20" s="10">
        <f t="shared" ref="F20:F22" si="3">SUM(C20:E20)</f>
        <v>1469</v>
      </c>
      <c r="G20" s="12">
        <v>5664</v>
      </c>
      <c r="H20" s="10">
        <f>(G20*1000)/D20</f>
        <v>7531.9148936170213</v>
      </c>
      <c r="I20" s="59">
        <f t="shared" si="0"/>
        <v>1469</v>
      </c>
    </row>
    <row r="21" spans="1:9" x14ac:dyDescent="0.25">
      <c r="A21" s="6">
        <v>16</v>
      </c>
      <c r="B21" s="3">
        <v>2015</v>
      </c>
      <c r="C21" s="10"/>
      <c r="D21" s="10"/>
      <c r="E21" s="10"/>
      <c r="F21" s="10">
        <v>1370</v>
      </c>
      <c r="G21" s="18">
        <v>7094</v>
      </c>
      <c r="H21" s="10" t="e">
        <f t="shared" ref="H21:H22" si="4">(G21*1000)/D21</f>
        <v>#DIV/0!</v>
      </c>
      <c r="I21" s="59">
        <f t="shared" si="0"/>
        <v>1370</v>
      </c>
    </row>
    <row r="22" spans="1:9" x14ac:dyDescent="0.25">
      <c r="A22" s="6">
        <v>17</v>
      </c>
      <c r="B22" s="3">
        <v>2016</v>
      </c>
      <c r="C22" s="10">
        <v>767</v>
      </c>
      <c r="D22" s="10">
        <v>575</v>
      </c>
      <c r="E22" s="10">
        <v>28</v>
      </c>
      <c r="F22" s="10">
        <f t="shared" si="3"/>
        <v>1370</v>
      </c>
      <c r="G22" s="10">
        <v>5950</v>
      </c>
      <c r="H22" s="10">
        <f t="shared" si="4"/>
        <v>10347.826086956522</v>
      </c>
      <c r="I22" s="60">
        <f>I21*1.176</f>
        <v>1611.12</v>
      </c>
    </row>
    <row r="23" spans="1:9" x14ac:dyDescent="0.25">
      <c r="A23" s="6">
        <v>18</v>
      </c>
      <c r="B23" s="3">
        <v>2017</v>
      </c>
      <c r="C23" s="10"/>
      <c r="D23" s="10"/>
      <c r="E23" s="10"/>
      <c r="F23" s="53">
        <f>F22*1.263</f>
        <v>1730.31</v>
      </c>
      <c r="G23" s="10">
        <f>F23*H23</f>
        <v>32332.572659999998</v>
      </c>
      <c r="H23" s="99">
        <v>18.686</v>
      </c>
      <c r="I23" s="60">
        <f t="shared" ref="I23:I35" si="5">I22*1.176</f>
        <v>1894.6771199999998</v>
      </c>
    </row>
    <row r="24" spans="1:9" x14ac:dyDescent="0.25">
      <c r="A24" s="21">
        <v>19</v>
      </c>
      <c r="B24" s="3">
        <v>2018</v>
      </c>
      <c r="C24" s="4"/>
      <c r="D24" s="4"/>
      <c r="E24" s="4"/>
      <c r="F24" s="53">
        <f t="shared" ref="F24:F35" si="6">F23*1.263</f>
        <v>2185.3815299999997</v>
      </c>
      <c r="G24" s="10">
        <f t="shared" ref="G24:G35" si="7">F24*H24</f>
        <v>41679.59654015999</v>
      </c>
      <c r="H24" s="99">
        <v>19.071999999999999</v>
      </c>
      <c r="I24" s="60">
        <f t="shared" si="5"/>
        <v>2228.1402931199996</v>
      </c>
    </row>
    <row r="25" spans="1:9" x14ac:dyDescent="0.25">
      <c r="A25" s="21">
        <v>20</v>
      </c>
      <c r="B25" s="3">
        <v>2019</v>
      </c>
      <c r="C25" s="4"/>
      <c r="D25" s="4"/>
      <c r="E25" s="4"/>
      <c r="F25" s="53">
        <f t="shared" si="6"/>
        <v>2760.1368723899996</v>
      </c>
      <c r="G25" s="10">
        <f t="shared" si="7"/>
        <v>53706.743262964606</v>
      </c>
      <c r="H25" s="99">
        <v>19.457999999999998</v>
      </c>
      <c r="I25" s="60">
        <f t="shared" si="5"/>
        <v>2620.2929847091195</v>
      </c>
    </row>
    <row r="26" spans="1:9" x14ac:dyDescent="0.25">
      <c r="A26" s="21">
        <v>21</v>
      </c>
      <c r="B26" s="3">
        <v>2020</v>
      </c>
      <c r="C26" s="4"/>
      <c r="D26" s="4"/>
      <c r="E26" s="4"/>
      <c r="F26" s="53">
        <f t="shared" si="6"/>
        <v>3486.0528698285693</v>
      </c>
      <c r="G26" s="10">
        <f t="shared" si="7"/>
        <v>69177.23314887812</v>
      </c>
      <c r="H26" s="120">
        <v>19.843999999999998</v>
      </c>
      <c r="I26" s="60">
        <f t="shared" si="5"/>
        <v>3081.4645500179245</v>
      </c>
    </row>
    <row r="27" spans="1:9" x14ac:dyDescent="0.25">
      <c r="A27" s="21">
        <v>22</v>
      </c>
      <c r="B27" s="3">
        <v>2021</v>
      </c>
      <c r="C27" s="4"/>
      <c r="D27" s="4"/>
      <c r="E27" s="4"/>
      <c r="F27" s="53">
        <f t="shared" si="6"/>
        <v>4402.8847745934827</v>
      </c>
      <c r="G27" s="10">
        <f t="shared" si="7"/>
        <v>89070.358990026143</v>
      </c>
      <c r="H27" s="99">
        <v>20.229999999999997</v>
      </c>
      <c r="I27" s="60">
        <f t="shared" si="5"/>
        <v>3623.8023108210791</v>
      </c>
    </row>
    <row r="28" spans="1:9" x14ac:dyDescent="0.25">
      <c r="A28" s="21">
        <v>23</v>
      </c>
      <c r="B28" s="3">
        <v>2022</v>
      </c>
      <c r="C28" s="4"/>
      <c r="D28" s="4"/>
      <c r="E28" s="4"/>
      <c r="F28" s="53">
        <f t="shared" si="6"/>
        <v>5560.8434703115681</v>
      </c>
      <c r="G28" s="10">
        <f t="shared" si="7"/>
        <v>114642.34898394327</v>
      </c>
      <c r="H28" s="99">
        <v>20.615999999999996</v>
      </c>
      <c r="I28" s="60">
        <f t="shared" si="5"/>
        <v>4261.5915175255886</v>
      </c>
    </row>
    <row r="29" spans="1:9" x14ac:dyDescent="0.25">
      <c r="A29" s="21">
        <v>24</v>
      </c>
      <c r="B29" s="3">
        <v>2023</v>
      </c>
      <c r="C29" s="4"/>
      <c r="D29" s="4"/>
      <c r="E29" s="4"/>
      <c r="F29" s="53">
        <f t="shared" si="6"/>
        <v>7023.3453030035098</v>
      </c>
      <c r="G29" s="10">
        <f t="shared" si="7"/>
        <v>147504.29805367967</v>
      </c>
      <c r="H29" s="99">
        <v>21.001999999999995</v>
      </c>
      <c r="I29" s="60">
        <f t="shared" si="5"/>
        <v>5011.6316246100923</v>
      </c>
    </row>
    <row r="30" spans="1:9" x14ac:dyDescent="0.25">
      <c r="A30" s="21">
        <v>25</v>
      </c>
      <c r="B30" s="3">
        <v>2024</v>
      </c>
      <c r="C30" s="4"/>
      <c r="D30" s="4"/>
      <c r="E30" s="4"/>
      <c r="F30" s="53">
        <f t="shared" si="6"/>
        <v>8870.4851176934317</v>
      </c>
      <c r="G30" s="10">
        <f t="shared" si="7"/>
        <v>189721.93569722708</v>
      </c>
      <c r="H30" s="99">
        <v>21.387999999999995</v>
      </c>
      <c r="I30" s="60">
        <f t="shared" si="5"/>
        <v>5893.6787905414685</v>
      </c>
    </row>
    <row r="31" spans="1:9" x14ac:dyDescent="0.25">
      <c r="A31" s="21">
        <v>26</v>
      </c>
      <c r="B31" s="3">
        <v>2025</v>
      </c>
      <c r="C31" s="4"/>
      <c r="D31" s="4"/>
      <c r="E31" s="4"/>
      <c r="F31" s="53">
        <f t="shared" si="6"/>
        <v>11203.422703646804</v>
      </c>
      <c r="G31" s="10">
        <f t="shared" si="7"/>
        <v>243943.32594920543</v>
      </c>
      <c r="H31" s="99">
        <v>21.773999999999994</v>
      </c>
      <c r="I31" s="60">
        <f t="shared" si="5"/>
        <v>6930.9662576767669</v>
      </c>
    </row>
    <row r="32" spans="1:9" x14ac:dyDescent="0.25">
      <c r="A32" s="21">
        <v>27</v>
      </c>
      <c r="B32" s="3">
        <v>2026</v>
      </c>
      <c r="C32" s="4"/>
      <c r="D32" s="4"/>
      <c r="E32" s="4"/>
      <c r="F32" s="53">
        <f t="shared" si="6"/>
        <v>14149.922874705911</v>
      </c>
      <c r="G32" s="10">
        <f t="shared" si="7"/>
        <v>313562.29090348288</v>
      </c>
      <c r="H32" s="99">
        <v>22.159999999999993</v>
      </c>
      <c r="I32" s="60">
        <f t="shared" si="5"/>
        <v>8150.8163190278774</v>
      </c>
    </row>
    <row r="33" spans="1:9" x14ac:dyDescent="0.25">
      <c r="A33" s="21">
        <v>28</v>
      </c>
      <c r="B33" s="3">
        <v>2027</v>
      </c>
      <c r="C33" s="4"/>
      <c r="D33" s="4"/>
      <c r="E33" s="4"/>
      <c r="F33" s="53">
        <f t="shared" si="6"/>
        <v>17871.352590753566</v>
      </c>
      <c r="G33" s="10">
        <f t="shared" si="7"/>
        <v>402927.51551112975</v>
      </c>
      <c r="H33" s="99">
        <v>22.545999999999992</v>
      </c>
      <c r="I33" s="60">
        <f t="shared" si="5"/>
        <v>9585.3599911767833</v>
      </c>
    </row>
    <row r="34" spans="1:9" x14ac:dyDescent="0.25">
      <c r="A34" s="21">
        <v>29</v>
      </c>
      <c r="B34" s="3">
        <v>2028</v>
      </c>
      <c r="C34" s="4"/>
      <c r="D34" s="4"/>
      <c r="E34" s="4"/>
      <c r="F34" s="53">
        <f t="shared" si="6"/>
        <v>22571.518322121752</v>
      </c>
      <c r="G34" s="10">
        <f t="shared" si="7"/>
        <v>517610.05816289585</v>
      </c>
      <c r="H34" s="99">
        <v>22.931999999999992</v>
      </c>
      <c r="I34" s="60">
        <f t="shared" si="5"/>
        <v>11272.383349623897</v>
      </c>
    </row>
    <row r="35" spans="1:9" x14ac:dyDescent="0.25">
      <c r="A35" s="21">
        <v>30</v>
      </c>
      <c r="B35" s="3">
        <v>2029</v>
      </c>
      <c r="C35" s="4"/>
      <c r="D35" s="4"/>
      <c r="E35" s="4"/>
      <c r="F35" s="53">
        <f t="shared" si="6"/>
        <v>28507.827640839772</v>
      </c>
      <c r="G35" s="10">
        <f t="shared" si="7"/>
        <v>664745.52492910158</v>
      </c>
      <c r="H35" s="99">
        <v>23.317999999999991</v>
      </c>
      <c r="I35" s="60">
        <f t="shared" si="5"/>
        <v>13256.322819157702</v>
      </c>
    </row>
    <row r="36" spans="1:9" x14ac:dyDescent="0.25">
      <c r="A36" s="21">
        <v>31</v>
      </c>
      <c r="B36" s="3">
        <v>2030</v>
      </c>
      <c r="C36" s="4"/>
      <c r="D36" s="4"/>
      <c r="E36" s="4"/>
      <c r="F36" s="53">
        <v>36042</v>
      </c>
      <c r="G36" s="10">
        <f>F36*H36</f>
        <v>854339.56799999962</v>
      </c>
      <c r="H36" s="120">
        <v>23.70399999999999</v>
      </c>
      <c r="I36" s="60">
        <f>F36*70%</f>
        <v>25229.399999999998</v>
      </c>
    </row>
    <row r="37" spans="1:9" x14ac:dyDescent="0.25">
      <c r="F37" s="42">
        <f>(F36/F22)^(1/14)-1</f>
        <v>0.26309169515264696</v>
      </c>
      <c r="G37" s="10"/>
      <c r="I37" s="42">
        <f>(I36/I21)^(1/15)-1</f>
        <v>0.21435525637197506</v>
      </c>
    </row>
    <row r="39" spans="1:9" x14ac:dyDescent="0.25">
      <c r="A39" s="1" t="s">
        <v>40</v>
      </c>
      <c r="B39" s="1"/>
    </row>
    <row r="40" spans="1:9" x14ac:dyDescent="0.25">
      <c r="A40" s="32">
        <v>1</v>
      </c>
      <c r="B40" s="1" t="s">
        <v>41</v>
      </c>
    </row>
    <row r="41" spans="1:9" x14ac:dyDescent="0.25">
      <c r="A41" s="32">
        <v>2</v>
      </c>
      <c r="B41" s="1" t="s">
        <v>42</v>
      </c>
    </row>
  </sheetData>
  <mergeCells count="3">
    <mergeCell ref="A4:A5"/>
    <mergeCell ref="B4:B5"/>
    <mergeCell ref="C4: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2" workbookViewId="0">
      <selection activeCell="F36" sqref="F36"/>
    </sheetView>
  </sheetViews>
  <sheetFormatPr defaultRowHeight="15" x14ac:dyDescent="0.25"/>
  <cols>
    <col min="1" max="1" width="5.140625" customWidth="1"/>
    <col min="6" max="6" width="9.5703125" bestFit="1" customWidth="1"/>
    <col min="8" max="8" width="15.28515625" bestFit="1" customWidth="1"/>
  </cols>
  <sheetData>
    <row r="1" spans="1:9" x14ac:dyDescent="0.25">
      <c r="A1" s="1" t="s">
        <v>13</v>
      </c>
      <c r="B1" s="1"/>
      <c r="C1" s="1"/>
      <c r="D1" s="1"/>
      <c r="E1" s="1"/>
      <c r="F1" s="1"/>
      <c r="G1" s="1"/>
      <c r="H1" s="1"/>
    </row>
    <row r="2" spans="1:9" x14ac:dyDescent="0.25">
      <c r="A2" s="1" t="s">
        <v>20</v>
      </c>
      <c r="B2" s="1"/>
      <c r="C2" s="1"/>
      <c r="D2" s="1"/>
      <c r="E2" s="1"/>
      <c r="F2" s="1"/>
      <c r="G2" s="1"/>
      <c r="H2" s="1"/>
    </row>
    <row r="3" spans="1:9" x14ac:dyDescent="0.25">
      <c r="A3" s="1"/>
      <c r="B3" s="1"/>
      <c r="C3" s="1"/>
      <c r="D3" s="1"/>
      <c r="E3" s="1"/>
      <c r="F3" s="1"/>
      <c r="G3" s="1"/>
      <c r="H3" s="1"/>
    </row>
    <row r="4" spans="1:9" x14ac:dyDescent="0.25">
      <c r="A4" s="183" t="s">
        <v>1</v>
      </c>
      <c r="B4" s="183" t="s">
        <v>2</v>
      </c>
      <c r="C4" s="189" t="s">
        <v>3</v>
      </c>
      <c r="D4" s="189"/>
      <c r="E4" s="189"/>
      <c r="F4" s="2" t="s">
        <v>4</v>
      </c>
      <c r="G4" s="2" t="s">
        <v>5</v>
      </c>
      <c r="H4" s="2" t="s">
        <v>6</v>
      </c>
      <c r="I4" s="8"/>
    </row>
    <row r="5" spans="1:9" x14ac:dyDescent="0.25">
      <c r="A5" s="183"/>
      <c r="B5" s="183"/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12</v>
      </c>
      <c r="I5" s="8"/>
    </row>
    <row r="6" spans="1:9" x14ac:dyDescent="0.25">
      <c r="A6" s="6">
        <v>1</v>
      </c>
      <c r="B6" s="6">
        <v>2000</v>
      </c>
      <c r="C6" s="5"/>
      <c r="D6" s="5"/>
      <c r="E6" s="5"/>
      <c r="F6" s="5"/>
      <c r="G6" s="5"/>
      <c r="H6" s="5"/>
      <c r="I6" s="57">
        <f>F6</f>
        <v>0</v>
      </c>
    </row>
    <row r="7" spans="1:9" x14ac:dyDescent="0.25">
      <c r="A7" s="6">
        <v>2</v>
      </c>
      <c r="B7" s="6">
        <v>2001</v>
      </c>
      <c r="C7" s="5"/>
      <c r="D7" s="5"/>
      <c r="E7" s="5"/>
      <c r="F7" s="5"/>
      <c r="G7" s="5"/>
      <c r="H7" s="5"/>
      <c r="I7" s="57">
        <f t="shared" ref="I7:I21" si="0">F7</f>
        <v>0</v>
      </c>
    </row>
    <row r="8" spans="1:9" x14ac:dyDescent="0.25">
      <c r="A8" s="6">
        <v>3</v>
      </c>
      <c r="B8" s="6">
        <v>2002</v>
      </c>
      <c r="C8" s="5"/>
      <c r="D8" s="5"/>
      <c r="E8" s="5"/>
      <c r="F8" s="5"/>
      <c r="G8" s="5"/>
      <c r="H8" s="5"/>
      <c r="I8" s="57">
        <f t="shared" si="0"/>
        <v>0</v>
      </c>
    </row>
    <row r="9" spans="1:9" x14ac:dyDescent="0.25">
      <c r="A9" s="6">
        <v>4</v>
      </c>
      <c r="B9" s="6">
        <v>2003</v>
      </c>
      <c r="C9" s="5"/>
      <c r="D9" s="5"/>
      <c r="E9" s="5"/>
      <c r="F9" s="5"/>
      <c r="G9" s="5"/>
      <c r="H9" s="5"/>
      <c r="I9" s="57">
        <f t="shared" si="0"/>
        <v>0</v>
      </c>
    </row>
    <row r="10" spans="1:9" x14ac:dyDescent="0.25">
      <c r="A10" s="6">
        <v>5</v>
      </c>
      <c r="B10" s="6">
        <v>2004</v>
      </c>
      <c r="C10" s="5"/>
      <c r="D10" s="5"/>
      <c r="E10" s="5"/>
      <c r="F10" s="5"/>
      <c r="G10" s="5"/>
      <c r="H10" s="5"/>
      <c r="I10" s="57">
        <f t="shared" si="0"/>
        <v>0</v>
      </c>
    </row>
    <row r="11" spans="1:9" x14ac:dyDescent="0.25">
      <c r="A11" s="6">
        <v>6</v>
      </c>
      <c r="B11" s="6">
        <v>2005</v>
      </c>
      <c r="C11" s="5"/>
      <c r="D11" s="5"/>
      <c r="E11" s="5"/>
      <c r="F11" s="5"/>
      <c r="G11" s="5"/>
      <c r="H11" s="5"/>
      <c r="I11" s="57">
        <f t="shared" si="0"/>
        <v>0</v>
      </c>
    </row>
    <row r="12" spans="1:9" x14ac:dyDescent="0.25">
      <c r="A12" s="6">
        <v>7</v>
      </c>
      <c r="B12" s="3">
        <v>2006</v>
      </c>
      <c r="C12" s="8"/>
      <c r="D12" s="8"/>
      <c r="E12" s="8"/>
      <c r="F12" s="4">
        <f t="shared" ref="F12:F19" si="1">SUM(C12:E12)</f>
        <v>0</v>
      </c>
      <c r="G12" s="8"/>
      <c r="H12" s="8"/>
      <c r="I12" s="57">
        <f t="shared" si="0"/>
        <v>0</v>
      </c>
    </row>
    <row r="13" spans="1:9" x14ac:dyDescent="0.25">
      <c r="A13" s="6">
        <v>8</v>
      </c>
      <c r="B13" s="3">
        <v>2007</v>
      </c>
      <c r="C13" s="8"/>
      <c r="D13" s="8"/>
      <c r="E13" s="8"/>
      <c r="F13" s="4">
        <f t="shared" si="1"/>
        <v>0</v>
      </c>
      <c r="G13" s="8"/>
      <c r="H13" s="8"/>
      <c r="I13" s="57">
        <f t="shared" si="0"/>
        <v>0</v>
      </c>
    </row>
    <row r="14" spans="1:9" x14ac:dyDescent="0.25">
      <c r="A14" s="6">
        <v>9</v>
      </c>
      <c r="B14" s="3">
        <v>2008</v>
      </c>
      <c r="C14" s="8"/>
      <c r="D14" s="8"/>
      <c r="E14" s="8"/>
      <c r="F14" s="4">
        <f t="shared" si="1"/>
        <v>0</v>
      </c>
      <c r="G14" s="8"/>
      <c r="H14" s="8"/>
      <c r="I14" s="57">
        <f t="shared" si="0"/>
        <v>0</v>
      </c>
    </row>
    <row r="15" spans="1:9" x14ac:dyDescent="0.25">
      <c r="A15" s="6">
        <v>10</v>
      </c>
      <c r="B15" s="3">
        <v>2009</v>
      </c>
      <c r="C15" s="8">
        <v>0</v>
      </c>
      <c r="D15" s="8">
        <v>0</v>
      </c>
      <c r="E15" s="8">
        <v>0</v>
      </c>
      <c r="F15" s="4">
        <f t="shared" si="1"/>
        <v>0</v>
      </c>
      <c r="G15" s="8">
        <v>0</v>
      </c>
      <c r="H15" s="8"/>
      <c r="I15" s="57">
        <f t="shared" si="0"/>
        <v>0</v>
      </c>
    </row>
    <row r="16" spans="1:9" x14ac:dyDescent="0.25">
      <c r="A16" s="6">
        <v>11</v>
      </c>
      <c r="B16" s="3">
        <v>2010</v>
      </c>
      <c r="C16" s="8">
        <v>0</v>
      </c>
      <c r="D16" s="8">
        <v>0</v>
      </c>
      <c r="E16" s="8">
        <v>0</v>
      </c>
      <c r="F16" s="4">
        <f t="shared" si="1"/>
        <v>0</v>
      </c>
      <c r="G16" s="8">
        <v>0</v>
      </c>
      <c r="H16" s="8"/>
      <c r="I16" s="57">
        <f t="shared" si="0"/>
        <v>0</v>
      </c>
    </row>
    <row r="17" spans="1:9" x14ac:dyDescent="0.25">
      <c r="A17" s="6">
        <v>12</v>
      </c>
      <c r="B17" s="3">
        <v>2011</v>
      </c>
      <c r="C17" s="8">
        <v>20</v>
      </c>
      <c r="D17" s="8">
        <v>0</v>
      </c>
      <c r="E17" s="8">
        <v>0</v>
      </c>
      <c r="F17" s="4">
        <f t="shared" si="1"/>
        <v>20</v>
      </c>
      <c r="G17" s="8">
        <v>0</v>
      </c>
      <c r="H17" s="8"/>
      <c r="I17" s="57">
        <f t="shared" si="0"/>
        <v>20</v>
      </c>
    </row>
    <row r="18" spans="1:9" x14ac:dyDescent="0.25">
      <c r="A18" s="6">
        <v>13</v>
      </c>
      <c r="B18" s="3">
        <v>2012</v>
      </c>
      <c r="C18" s="8">
        <v>20</v>
      </c>
      <c r="D18" s="8">
        <v>0</v>
      </c>
      <c r="E18" s="8">
        <v>0</v>
      </c>
      <c r="F18" s="4">
        <f t="shared" si="1"/>
        <v>20</v>
      </c>
      <c r="G18" s="8">
        <v>0</v>
      </c>
      <c r="H18" s="8"/>
      <c r="I18" s="57">
        <f t="shared" si="0"/>
        <v>20</v>
      </c>
    </row>
    <row r="19" spans="1:9" x14ac:dyDescent="0.25">
      <c r="A19" s="6">
        <v>14</v>
      </c>
      <c r="B19" s="3">
        <v>2013</v>
      </c>
      <c r="C19" s="8">
        <v>38</v>
      </c>
      <c r="D19" s="8">
        <v>0</v>
      </c>
      <c r="E19" s="8">
        <v>0</v>
      </c>
      <c r="F19" s="4">
        <f t="shared" si="1"/>
        <v>38</v>
      </c>
      <c r="G19" s="8">
        <v>0</v>
      </c>
      <c r="H19" s="8"/>
      <c r="I19" s="57">
        <f t="shared" si="0"/>
        <v>38</v>
      </c>
    </row>
    <row r="20" spans="1:9" x14ac:dyDescent="0.25">
      <c r="A20" s="6">
        <v>15</v>
      </c>
      <c r="B20" s="3">
        <v>2014</v>
      </c>
      <c r="C20" s="4">
        <v>38</v>
      </c>
      <c r="D20" s="4">
        <v>0</v>
      </c>
      <c r="E20" s="4">
        <v>0</v>
      </c>
      <c r="F20" s="4">
        <f t="shared" ref="F20:F22" si="2">SUM(C20:E20)</f>
        <v>38</v>
      </c>
      <c r="G20" s="4">
        <v>0</v>
      </c>
      <c r="H20" s="9" t="e">
        <f>(G20*1000)/D20</f>
        <v>#DIV/0!</v>
      </c>
      <c r="I20" s="57">
        <f t="shared" si="0"/>
        <v>38</v>
      </c>
    </row>
    <row r="21" spans="1:9" x14ac:dyDescent="0.25">
      <c r="A21" s="6">
        <v>16</v>
      </c>
      <c r="B21" s="3">
        <v>2015</v>
      </c>
      <c r="C21" s="8"/>
      <c r="D21" s="8"/>
      <c r="E21" s="8"/>
      <c r="F21" s="4">
        <v>52</v>
      </c>
      <c r="G21" s="8"/>
      <c r="H21" s="8"/>
      <c r="I21" s="57">
        <f t="shared" si="0"/>
        <v>52</v>
      </c>
    </row>
    <row r="22" spans="1:9" x14ac:dyDescent="0.25">
      <c r="A22" s="6">
        <v>17</v>
      </c>
      <c r="B22" s="3">
        <v>2016</v>
      </c>
      <c r="C22" s="8">
        <v>65</v>
      </c>
      <c r="D22" s="8">
        <v>0</v>
      </c>
      <c r="E22" s="8">
        <v>0</v>
      </c>
      <c r="F22" s="4">
        <f t="shared" si="2"/>
        <v>65</v>
      </c>
      <c r="G22" s="8">
        <v>0</v>
      </c>
      <c r="H22" s="8"/>
      <c r="I22" s="60">
        <f>I21*1.1951</f>
        <v>62.145200000000003</v>
      </c>
    </row>
    <row r="23" spans="1:9" x14ac:dyDescent="0.25">
      <c r="A23" s="6">
        <v>18</v>
      </c>
      <c r="B23" s="3">
        <v>2017</v>
      </c>
      <c r="C23" s="4"/>
      <c r="D23" s="4"/>
      <c r="E23" s="4"/>
      <c r="F23" s="38">
        <f>F22*1.222</f>
        <v>79.429999999999993</v>
      </c>
      <c r="G23" s="4">
        <f>F23*H23</f>
        <v>1484.2289799999999</v>
      </c>
      <c r="H23" s="99">
        <v>18.686</v>
      </c>
      <c r="I23" s="60">
        <f t="shared" ref="I23:I35" si="3">I22*1.1951</f>
        <v>74.269728520000001</v>
      </c>
    </row>
    <row r="24" spans="1:9" x14ac:dyDescent="0.25">
      <c r="A24" s="21">
        <v>19</v>
      </c>
      <c r="B24" s="3">
        <v>2018</v>
      </c>
      <c r="C24" s="4"/>
      <c r="D24" s="4"/>
      <c r="E24" s="4"/>
      <c r="F24" s="38">
        <f t="shared" ref="F24:F36" si="4">F23*1.222</f>
        <v>97.063459999999992</v>
      </c>
      <c r="G24" s="4">
        <f t="shared" ref="G24:G36" si="5">F24*H24</f>
        <v>1851.1943091199998</v>
      </c>
      <c r="H24" s="99">
        <v>19.071999999999999</v>
      </c>
      <c r="I24" s="60">
        <f t="shared" si="3"/>
        <v>88.759752554252003</v>
      </c>
    </row>
    <row r="25" spans="1:9" x14ac:dyDescent="0.25">
      <c r="A25" s="21">
        <v>20</v>
      </c>
      <c r="B25" s="3">
        <v>2019</v>
      </c>
      <c r="C25" s="4"/>
      <c r="D25" s="4"/>
      <c r="E25" s="4"/>
      <c r="F25" s="38">
        <f t="shared" si="4"/>
        <v>118.61154811999999</v>
      </c>
      <c r="G25" s="4">
        <f t="shared" si="5"/>
        <v>2307.9435033189598</v>
      </c>
      <c r="H25" s="99">
        <v>19.457999999999998</v>
      </c>
      <c r="I25" s="60">
        <f t="shared" si="3"/>
        <v>106.07678027758658</v>
      </c>
    </row>
    <row r="26" spans="1:9" x14ac:dyDescent="0.25">
      <c r="A26" s="21">
        <v>21</v>
      </c>
      <c r="B26" s="3">
        <v>2020</v>
      </c>
      <c r="C26" s="4"/>
      <c r="D26" s="4"/>
      <c r="E26" s="4"/>
      <c r="F26" s="38">
        <f t="shared" si="4"/>
        <v>144.94331180263998</v>
      </c>
      <c r="G26" s="4">
        <f t="shared" si="5"/>
        <v>2876.2550794115873</v>
      </c>
      <c r="H26" s="120">
        <v>19.843999999999998</v>
      </c>
      <c r="I26" s="60">
        <f t="shared" si="3"/>
        <v>126.77236010974373</v>
      </c>
    </row>
    <row r="27" spans="1:9" x14ac:dyDescent="0.25">
      <c r="A27" s="21">
        <v>22</v>
      </c>
      <c r="B27" s="3">
        <v>2021</v>
      </c>
      <c r="C27" s="4"/>
      <c r="D27" s="4"/>
      <c r="E27" s="4"/>
      <c r="F27" s="38">
        <f t="shared" si="4"/>
        <v>177.12072702282606</v>
      </c>
      <c r="G27" s="4">
        <f t="shared" si="5"/>
        <v>3583.1523076717708</v>
      </c>
      <c r="H27" s="99">
        <v>20.229999999999997</v>
      </c>
      <c r="I27" s="60">
        <f t="shared" si="3"/>
        <v>151.50564756715474</v>
      </c>
    </row>
    <row r="28" spans="1:9" x14ac:dyDescent="0.25">
      <c r="A28" s="21">
        <v>23</v>
      </c>
      <c r="B28" s="3">
        <v>2022</v>
      </c>
      <c r="C28" s="4"/>
      <c r="D28" s="4"/>
      <c r="E28" s="4"/>
      <c r="F28" s="38">
        <f t="shared" si="4"/>
        <v>216.44152842189345</v>
      </c>
      <c r="G28" s="4">
        <f t="shared" si="5"/>
        <v>4462.1585499457542</v>
      </c>
      <c r="H28" s="99">
        <v>20.615999999999996</v>
      </c>
      <c r="I28" s="60">
        <f t="shared" si="3"/>
        <v>181.06439940750664</v>
      </c>
    </row>
    <row r="29" spans="1:9" x14ac:dyDescent="0.25">
      <c r="A29" s="21">
        <v>24</v>
      </c>
      <c r="B29" s="3">
        <v>2023</v>
      </c>
      <c r="C29" s="4"/>
      <c r="D29" s="4"/>
      <c r="E29" s="4"/>
      <c r="F29" s="38">
        <f t="shared" si="4"/>
        <v>264.49154773155379</v>
      </c>
      <c r="G29" s="4">
        <f t="shared" si="5"/>
        <v>5554.8514854580917</v>
      </c>
      <c r="H29" s="99">
        <v>21.001999999999995</v>
      </c>
      <c r="I29" s="60">
        <f t="shared" si="3"/>
        <v>216.3900637319112</v>
      </c>
    </row>
    <row r="30" spans="1:9" x14ac:dyDescent="0.25">
      <c r="A30" s="21">
        <v>25</v>
      </c>
      <c r="B30" s="3">
        <v>2024</v>
      </c>
      <c r="C30" s="4"/>
      <c r="D30" s="4"/>
      <c r="E30" s="4"/>
      <c r="F30" s="38">
        <f t="shared" si="4"/>
        <v>323.20867132795871</v>
      </c>
      <c r="G30" s="4">
        <f t="shared" si="5"/>
        <v>6912.7870623623794</v>
      </c>
      <c r="H30" s="99">
        <v>21.387999999999995</v>
      </c>
      <c r="I30" s="60">
        <f t="shared" si="3"/>
        <v>258.60776516600708</v>
      </c>
    </row>
    <row r="31" spans="1:9" x14ac:dyDescent="0.25">
      <c r="A31" s="21">
        <v>26</v>
      </c>
      <c r="B31" s="3">
        <v>2025</v>
      </c>
      <c r="C31" s="4"/>
      <c r="D31" s="4"/>
      <c r="E31" s="4"/>
      <c r="F31" s="38">
        <f t="shared" si="4"/>
        <v>394.96099636276551</v>
      </c>
      <c r="G31" s="4">
        <f t="shared" si="5"/>
        <v>8599.8807348028531</v>
      </c>
      <c r="H31" s="99">
        <v>21.773999999999994</v>
      </c>
      <c r="I31" s="60">
        <f t="shared" si="3"/>
        <v>309.06214014989507</v>
      </c>
    </row>
    <row r="32" spans="1:9" x14ac:dyDescent="0.25">
      <c r="A32" s="21">
        <v>27</v>
      </c>
      <c r="B32" s="3">
        <v>2026</v>
      </c>
      <c r="C32" s="4"/>
      <c r="D32" s="4"/>
      <c r="E32" s="4"/>
      <c r="F32" s="38">
        <f t="shared" si="4"/>
        <v>482.64233755529943</v>
      </c>
      <c r="G32" s="4">
        <f t="shared" si="5"/>
        <v>10695.354200225433</v>
      </c>
      <c r="H32" s="99">
        <v>22.159999999999993</v>
      </c>
      <c r="I32" s="60">
        <f t="shared" si="3"/>
        <v>369.36016369313961</v>
      </c>
    </row>
    <row r="33" spans="1:9" x14ac:dyDescent="0.25">
      <c r="A33" s="21">
        <v>28</v>
      </c>
      <c r="B33" s="3">
        <v>2027</v>
      </c>
      <c r="C33" s="4"/>
      <c r="D33" s="4"/>
      <c r="E33" s="4"/>
      <c r="F33" s="38">
        <f t="shared" si="4"/>
        <v>589.78893649257589</v>
      </c>
      <c r="G33" s="4">
        <f t="shared" si="5"/>
        <v>13297.381362161612</v>
      </c>
      <c r="H33" s="99">
        <v>22.545999999999992</v>
      </c>
      <c r="I33" s="60">
        <f t="shared" si="3"/>
        <v>441.42233162967119</v>
      </c>
    </row>
    <row r="34" spans="1:9" x14ac:dyDescent="0.25">
      <c r="A34" s="21">
        <v>29</v>
      </c>
      <c r="B34" s="3">
        <v>2028</v>
      </c>
      <c r="C34" s="4"/>
      <c r="D34" s="4"/>
      <c r="E34" s="4"/>
      <c r="F34" s="38">
        <f t="shared" si="4"/>
        <v>720.72208039392774</v>
      </c>
      <c r="G34" s="4">
        <f t="shared" si="5"/>
        <v>16527.598747593544</v>
      </c>
      <c r="H34" s="99">
        <v>22.931999999999992</v>
      </c>
      <c r="I34" s="60">
        <f t="shared" si="3"/>
        <v>527.54382853062009</v>
      </c>
    </row>
    <row r="35" spans="1:9" x14ac:dyDescent="0.25">
      <c r="A35" s="21">
        <v>30</v>
      </c>
      <c r="B35" s="3">
        <v>2029</v>
      </c>
      <c r="C35" s="4"/>
      <c r="D35" s="4"/>
      <c r="E35" s="4"/>
      <c r="F35" s="38">
        <f t="shared" si="4"/>
        <v>880.72238224137971</v>
      </c>
      <c r="G35" s="4">
        <f t="shared" si="5"/>
        <v>20536.684509104485</v>
      </c>
      <c r="H35" s="99">
        <v>23.317999999999991</v>
      </c>
      <c r="I35" s="60">
        <f t="shared" si="3"/>
        <v>630.46762947694413</v>
      </c>
    </row>
    <row r="36" spans="1:9" x14ac:dyDescent="0.25">
      <c r="A36" s="21">
        <v>31</v>
      </c>
      <c r="B36" s="3">
        <v>2030</v>
      </c>
      <c r="C36" s="4"/>
      <c r="D36" s="4"/>
      <c r="E36" s="4"/>
      <c r="F36" s="38">
        <f t="shared" si="4"/>
        <v>1076.242751098966</v>
      </c>
      <c r="G36" s="4">
        <f t="shared" si="5"/>
        <v>25511.258172049878</v>
      </c>
      <c r="H36" s="120">
        <v>23.70399999999999</v>
      </c>
      <c r="I36" s="61">
        <f>F36*70%</f>
        <v>753.36992576927616</v>
      </c>
    </row>
    <row r="37" spans="1:9" x14ac:dyDescent="0.25">
      <c r="F37" s="43">
        <f>(F36/F22)^(1/14)-1</f>
        <v>0.22199999999999998</v>
      </c>
      <c r="G37" s="4"/>
      <c r="I37" s="43">
        <f>(I36/I21)^(1/15)-1</f>
        <v>0.19508922020731045</v>
      </c>
    </row>
    <row r="39" spans="1:9" x14ac:dyDescent="0.25">
      <c r="A39" s="1" t="s">
        <v>40</v>
      </c>
      <c r="B39" s="1"/>
    </row>
    <row r="40" spans="1:9" x14ac:dyDescent="0.25">
      <c r="A40" s="32">
        <v>1</v>
      </c>
      <c r="B40" s="1" t="s">
        <v>41</v>
      </c>
    </row>
    <row r="41" spans="1:9" x14ac:dyDescent="0.25">
      <c r="A41" s="32">
        <v>2</v>
      </c>
      <c r="B41" s="1" t="s">
        <v>42</v>
      </c>
    </row>
  </sheetData>
  <mergeCells count="3">
    <mergeCell ref="A4:A5"/>
    <mergeCell ref="B4:B5"/>
    <mergeCell ref="C4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9" workbookViewId="0">
      <selection activeCell="F36" sqref="F36"/>
    </sheetView>
  </sheetViews>
  <sheetFormatPr defaultRowHeight="15" x14ac:dyDescent="0.25"/>
  <cols>
    <col min="1" max="1" width="4.28515625" customWidth="1"/>
    <col min="8" max="8" width="15.28515625" bestFit="1" customWidth="1"/>
  </cols>
  <sheetData>
    <row r="1" spans="1:9" x14ac:dyDescent="0.25">
      <c r="A1" s="1" t="s">
        <v>13</v>
      </c>
      <c r="B1" s="1"/>
      <c r="C1" s="1"/>
      <c r="D1" s="1"/>
      <c r="E1" s="1"/>
      <c r="F1" s="1"/>
      <c r="G1" s="1"/>
      <c r="H1" s="1"/>
    </row>
    <row r="2" spans="1:9" x14ac:dyDescent="0.25">
      <c r="A2" s="1" t="s">
        <v>21</v>
      </c>
      <c r="B2" s="1"/>
      <c r="C2" s="1"/>
      <c r="D2" s="1"/>
      <c r="E2" s="1"/>
      <c r="F2" s="1"/>
      <c r="G2" s="1"/>
      <c r="H2" s="1"/>
    </row>
    <row r="3" spans="1:9" x14ac:dyDescent="0.25">
      <c r="A3" s="1"/>
      <c r="B3" s="1"/>
      <c r="C3" s="1"/>
      <c r="D3" s="1"/>
      <c r="E3" s="1"/>
      <c r="F3" s="1"/>
      <c r="G3" s="1"/>
      <c r="H3" s="1"/>
    </row>
    <row r="4" spans="1:9" x14ac:dyDescent="0.25">
      <c r="A4" s="183" t="s">
        <v>1</v>
      </c>
      <c r="B4" s="183" t="s">
        <v>2</v>
      </c>
      <c r="C4" s="189" t="s">
        <v>3</v>
      </c>
      <c r="D4" s="189"/>
      <c r="E4" s="189"/>
      <c r="F4" s="2" t="s">
        <v>4</v>
      </c>
      <c r="G4" s="2" t="s">
        <v>5</v>
      </c>
      <c r="H4" s="2" t="s">
        <v>6</v>
      </c>
      <c r="I4" s="8"/>
    </row>
    <row r="5" spans="1:9" x14ac:dyDescent="0.25">
      <c r="A5" s="183"/>
      <c r="B5" s="183"/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12</v>
      </c>
      <c r="I5" s="8"/>
    </row>
    <row r="6" spans="1:9" x14ac:dyDescent="0.25">
      <c r="A6" s="6">
        <v>1</v>
      </c>
      <c r="B6" s="6">
        <v>2000</v>
      </c>
      <c r="C6" s="5"/>
      <c r="D6" s="5"/>
      <c r="E6" s="5"/>
      <c r="F6" s="5"/>
      <c r="G6" s="5"/>
      <c r="H6" s="5"/>
      <c r="I6" s="57">
        <f>F6</f>
        <v>0</v>
      </c>
    </row>
    <row r="7" spans="1:9" x14ac:dyDescent="0.25">
      <c r="A7" s="6">
        <v>2</v>
      </c>
      <c r="B7" s="6">
        <v>2001</v>
      </c>
      <c r="C7" s="5"/>
      <c r="D7" s="5"/>
      <c r="E7" s="5"/>
      <c r="F7" s="5"/>
      <c r="G7" s="5"/>
      <c r="H7" s="5"/>
      <c r="I7" s="57">
        <f t="shared" ref="I7:I21" si="0">F7</f>
        <v>0</v>
      </c>
    </row>
    <row r="8" spans="1:9" x14ac:dyDescent="0.25">
      <c r="A8" s="6">
        <v>3</v>
      </c>
      <c r="B8" s="6">
        <v>2002</v>
      </c>
      <c r="C8" s="5"/>
      <c r="D8" s="5"/>
      <c r="E8" s="5"/>
      <c r="F8" s="5"/>
      <c r="G8" s="5"/>
      <c r="H8" s="5"/>
      <c r="I8" s="57">
        <f t="shared" si="0"/>
        <v>0</v>
      </c>
    </row>
    <row r="9" spans="1:9" x14ac:dyDescent="0.25">
      <c r="A9" s="6">
        <v>4</v>
      </c>
      <c r="B9" s="6">
        <v>2003</v>
      </c>
      <c r="C9" s="5"/>
      <c r="D9" s="5"/>
      <c r="E9" s="5"/>
      <c r="F9" s="5"/>
      <c r="G9" s="5"/>
      <c r="H9" s="5"/>
      <c r="I9" s="57">
        <f t="shared" si="0"/>
        <v>0</v>
      </c>
    </row>
    <row r="10" spans="1:9" x14ac:dyDescent="0.25">
      <c r="A10" s="6">
        <v>5</v>
      </c>
      <c r="B10" s="6">
        <v>2004</v>
      </c>
      <c r="C10" s="5"/>
      <c r="D10" s="5"/>
      <c r="E10" s="5"/>
      <c r="F10" s="5"/>
      <c r="G10" s="5"/>
      <c r="H10" s="5"/>
      <c r="I10" s="57">
        <f t="shared" si="0"/>
        <v>0</v>
      </c>
    </row>
    <row r="11" spans="1:9" x14ac:dyDescent="0.25">
      <c r="A11" s="6">
        <v>6</v>
      </c>
      <c r="B11" s="6">
        <v>2005</v>
      </c>
      <c r="C11" s="5"/>
      <c r="D11" s="5"/>
      <c r="E11" s="5"/>
      <c r="F11" s="5"/>
      <c r="G11" s="5"/>
      <c r="H11" s="5"/>
      <c r="I11" s="57">
        <f t="shared" si="0"/>
        <v>0</v>
      </c>
    </row>
    <row r="12" spans="1:9" x14ac:dyDescent="0.25">
      <c r="A12" s="6">
        <v>7</v>
      </c>
      <c r="B12" s="3">
        <v>2006</v>
      </c>
      <c r="C12" s="8"/>
      <c r="D12" s="8"/>
      <c r="E12" s="8"/>
      <c r="F12" s="4">
        <f t="shared" ref="F12:F19" si="1">SUM(C12:E12)</f>
        <v>0</v>
      </c>
      <c r="G12" s="8"/>
      <c r="H12" s="9" t="e">
        <f t="shared" ref="H12:H19" si="2">(G12*1000)/D12</f>
        <v>#DIV/0!</v>
      </c>
      <c r="I12" s="57">
        <f t="shared" si="0"/>
        <v>0</v>
      </c>
    </row>
    <row r="13" spans="1:9" x14ac:dyDescent="0.25">
      <c r="A13" s="6">
        <v>8</v>
      </c>
      <c r="B13" s="3">
        <v>2007</v>
      </c>
      <c r="C13" s="8"/>
      <c r="D13" s="8"/>
      <c r="E13" s="8"/>
      <c r="F13" s="4">
        <f t="shared" si="1"/>
        <v>0</v>
      </c>
      <c r="G13" s="8"/>
      <c r="H13" s="9" t="e">
        <f t="shared" si="2"/>
        <v>#DIV/0!</v>
      </c>
      <c r="I13" s="57">
        <f t="shared" si="0"/>
        <v>0</v>
      </c>
    </row>
    <row r="14" spans="1:9" x14ac:dyDescent="0.25">
      <c r="A14" s="6">
        <v>9</v>
      </c>
      <c r="B14" s="3">
        <v>2008</v>
      </c>
      <c r="C14" s="8"/>
      <c r="D14" s="8"/>
      <c r="E14" s="8"/>
      <c r="F14" s="4">
        <f t="shared" si="1"/>
        <v>0</v>
      </c>
      <c r="G14" s="8"/>
      <c r="H14" s="9" t="e">
        <f t="shared" si="2"/>
        <v>#DIV/0!</v>
      </c>
      <c r="I14" s="57">
        <f t="shared" si="0"/>
        <v>0</v>
      </c>
    </row>
    <row r="15" spans="1:9" x14ac:dyDescent="0.25">
      <c r="A15" s="6">
        <v>10</v>
      </c>
      <c r="B15" s="3">
        <v>2009</v>
      </c>
      <c r="C15" s="8">
        <v>0</v>
      </c>
      <c r="D15" s="8">
        <v>0</v>
      </c>
      <c r="E15" s="8">
        <v>0</v>
      </c>
      <c r="F15" s="4">
        <f t="shared" si="1"/>
        <v>0</v>
      </c>
      <c r="G15" s="8">
        <v>0</v>
      </c>
      <c r="H15" s="9" t="e">
        <f t="shared" si="2"/>
        <v>#DIV/0!</v>
      </c>
      <c r="I15" s="57">
        <f t="shared" si="0"/>
        <v>0</v>
      </c>
    </row>
    <row r="16" spans="1:9" x14ac:dyDescent="0.25">
      <c r="A16" s="6">
        <v>11</v>
      </c>
      <c r="B16" s="3">
        <v>2010</v>
      </c>
      <c r="C16" s="8">
        <v>10</v>
      </c>
      <c r="D16" s="8">
        <v>0</v>
      </c>
      <c r="E16" s="8">
        <v>0</v>
      </c>
      <c r="F16" s="4">
        <f t="shared" si="1"/>
        <v>10</v>
      </c>
      <c r="G16" s="8">
        <v>0</v>
      </c>
      <c r="H16" s="9" t="e">
        <f t="shared" si="2"/>
        <v>#DIV/0!</v>
      </c>
      <c r="I16" s="57">
        <f t="shared" si="0"/>
        <v>10</v>
      </c>
    </row>
    <row r="17" spans="1:9" x14ac:dyDescent="0.25">
      <c r="A17" s="6">
        <v>12</v>
      </c>
      <c r="B17" s="3">
        <v>2011</v>
      </c>
      <c r="C17" s="8">
        <v>10</v>
      </c>
      <c r="D17" s="8">
        <v>0</v>
      </c>
      <c r="E17" s="8">
        <v>0</v>
      </c>
      <c r="F17" s="4">
        <f t="shared" si="1"/>
        <v>10</v>
      </c>
      <c r="G17" s="8">
        <v>0</v>
      </c>
      <c r="H17" s="9" t="e">
        <f t="shared" si="2"/>
        <v>#DIV/0!</v>
      </c>
      <c r="I17" s="57">
        <f t="shared" si="0"/>
        <v>10</v>
      </c>
    </row>
    <row r="18" spans="1:9" x14ac:dyDescent="0.25">
      <c r="A18" s="6">
        <v>13</v>
      </c>
      <c r="B18" s="3">
        <v>2012</v>
      </c>
      <c r="C18" s="8">
        <v>10</v>
      </c>
      <c r="D18" s="8">
        <v>0</v>
      </c>
      <c r="E18" s="8">
        <v>0</v>
      </c>
      <c r="F18" s="4">
        <f t="shared" si="1"/>
        <v>10</v>
      </c>
      <c r="G18" s="8">
        <v>0</v>
      </c>
      <c r="H18" s="9" t="e">
        <f t="shared" si="2"/>
        <v>#DIV/0!</v>
      </c>
      <c r="I18" s="57">
        <f t="shared" si="0"/>
        <v>10</v>
      </c>
    </row>
    <row r="19" spans="1:9" x14ac:dyDescent="0.25">
      <c r="A19" s="6">
        <v>14</v>
      </c>
      <c r="B19" s="3">
        <v>2013</v>
      </c>
      <c r="C19" s="8">
        <v>2</v>
      </c>
      <c r="D19" s="8">
        <v>8</v>
      </c>
      <c r="E19" s="8">
        <v>0</v>
      </c>
      <c r="F19" s="4">
        <f t="shared" si="1"/>
        <v>10</v>
      </c>
      <c r="G19" s="8">
        <v>65</v>
      </c>
      <c r="H19" s="9">
        <f t="shared" si="2"/>
        <v>8125</v>
      </c>
      <c r="I19" s="57">
        <f t="shared" si="0"/>
        <v>10</v>
      </c>
    </row>
    <row r="20" spans="1:9" x14ac:dyDescent="0.25">
      <c r="A20" s="6">
        <v>15</v>
      </c>
      <c r="B20" s="3">
        <v>2014</v>
      </c>
      <c r="C20" s="4">
        <v>0</v>
      </c>
      <c r="D20" s="4">
        <v>10</v>
      </c>
      <c r="E20" s="4">
        <v>0</v>
      </c>
      <c r="F20" s="4">
        <f t="shared" ref="F20:F22" si="3">SUM(C20:E20)</f>
        <v>10</v>
      </c>
      <c r="G20" s="4">
        <v>67</v>
      </c>
      <c r="H20" s="9">
        <f>(G20*1000)/D20</f>
        <v>6700</v>
      </c>
      <c r="I20" s="57">
        <f t="shared" si="0"/>
        <v>10</v>
      </c>
    </row>
    <row r="21" spans="1:9" x14ac:dyDescent="0.25">
      <c r="A21" s="6">
        <v>16</v>
      </c>
      <c r="B21" s="3">
        <v>2015</v>
      </c>
      <c r="C21" s="8"/>
      <c r="D21" s="8"/>
      <c r="E21" s="8"/>
      <c r="F21" s="4">
        <v>21</v>
      </c>
      <c r="G21" s="64">
        <v>75</v>
      </c>
      <c r="H21" s="9" t="e">
        <f t="shared" ref="H21:H22" si="4">(G21*1000)/D21</f>
        <v>#DIV/0!</v>
      </c>
      <c r="I21" s="57">
        <f t="shared" si="0"/>
        <v>21</v>
      </c>
    </row>
    <row r="22" spans="1:9" x14ac:dyDescent="0.25">
      <c r="A22" s="6">
        <v>17</v>
      </c>
      <c r="B22" s="3">
        <v>2016</v>
      </c>
      <c r="C22" s="8">
        <v>12</v>
      </c>
      <c r="D22" s="8">
        <v>17</v>
      </c>
      <c r="E22" s="8">
        <v>0</v>
      </c>
      <c r="F22" s="4">
        <f t="shared" si="3"/>
        <v>29</v>
      </c>
      <c r="G22" s="8">
        <v>132</v>
      </c>
      <c r="H22" s="9">
        <f t="shared" si="4"/>
        <v>7764.7058823529414</v>
      </c>
      <c r="I22" s="60">
        <f>I21*1.2526</f>
        <v>26.304599999999997</v>
      </c>
    </row>
    <row r="23" spans="1:9" x14ac:dyDescent="0.25">
      <c r="A23" s="6">
        <v>18</v>
      </c>
      <c r="B23" s="3">
        <v>2017</v>
      </c>
      <c r="C23" s="4"/>
      <c r="D23" s="4"/>
      <c r="E23" s="4"/>
      <c r="F23" s="38">
        <f>F22*1.276</f>
        <v>37.003999999999998</v>
      </c>
      <c r="G23" s="4">
        <f>F23*H23</f>
        <v>691.45674399999996</v>
      </c>
      <c r="H23" s="99">
        <v>18.686</v>
      </c>
      <c r="I23" s="60">
        <f t="shared" ref="I23:I35" si="5">I22*1.2526</f>
        <v>32.949141959999992</v>
      </c>
    </row>
    <row r="24" spans="1:9" x14ac:dyDescent="0.25">
      <c r="A24" s="21">
        <v>19</v>
      </c>
      <c r="B24" s="3">
        <v>2018</v>
      </c>
      <c r="C24" s="4"/>
      <c r="D24" s="4"/>
      <c r="E24" s="4"/>
      <c r="F24" s="38">
        <f t="shared" ref="F24:F36" si="6">F23*1.276</f>
        <v>47.217103999999999</v>
      </c>
      <c r="G24" s="4">
        <f t="shared" ref="G24:G36" si="7">F24*H24</f>
        <v>900.5246074879999</v>
      </c>
      <c r="H24" s="99">
        <v>19.071999999999999</v>
      </c>
      <c r="I24" s="60">
        <f t="shared" si="5"/>
        <v>41.272095219095988</v>
      </c>
    </row>
    <row r="25" spans="1:9" x14ac:dyDescent="0.25">
      <c r="A25" s="21">
        <v>20</v>
      </c>
      <c r="B25" s="3">
        <v>2019</v>
      </c>
      <c r="C25" s="4"/>
      <c r="D25" s="4"/>
      <c r="E25" s="4"/>
      <c r="F25" s="38">
        <f t="shared" si="6"/>
        <v>60.249024704</v>
      </c>
      <c r="G25" s="4">
        <f t="shared" si="7"/>
        <v>1172.3255226904319</v>
      </c>
      <c r="H25" s="99">
        <v>19.457999999999998</v>
      </c>
      <c r="I25" s="60">
        <f t="shared" si="5"/>
        <v>51.697426471439634</v>
      </c>
    </row>
    <row r="26" spans="1:9" x14ac:dyDescent="0.25">
      <c r="A26" s="21">
        <v>21</v>
      </c>
      <c r="B26" s="3">
        <v>2020</v>
      </c>
      <c r="C26" s="4"/>
      <c r="D26" s="4"/>
      <c r="E26" s="4"/>
      <c r="F26" s="38">
        <f t="shared" si="6"/>
        <v>76.877755522304</v>
      </c>
      <c r="G26" s="4">
        <f t="shared" si="7"/>
        <v>1525.5621805846004</v>
      </c>
      <c r="H26" s="120">
        <v>19.843999999999998</v>
      </c>
      <c r="I26" s="60">
        <f t="shared" si="5"/>
        <v>64.756196398125283</v>
      </c>
    </row>
    <row r="27" spans="1:9" x14ac:dyDescent="0.25">
      <c r="A27" s="21">
        <v>22</v>
      </c>
      <c r="B27" s="3">
        <v>2021</v>
      </c>
      <c r="C27" s="4"/>
      <c r="D27" s="4"/>
      <c r="E27" s="4"/>
      <c r="F27" s="38">
        <f t="shared" si="6"/>
        <v>98.096016046459908</v>
      </c>
      <c r="G27" s="4">
        <f t="shared" si="7"/>
        <v>1984.4824046198837</v>
      </c>
      <c r="H27" s="99">
        <v>20.229999999999997</v>
      </c>
      <c r="I27" s="60">
        <f t="shared" si="5"/>
        <v>81.11361160829172</v>
      </c>
    </row>
    <row r="28" spans="1:9" x14ac:dyDescent="0.25">
      <c r="A28" s="21">
        <v>23</v>
      </c>
      <c r="B28" s="3">
        <v>2022</v>
      </c>
      <c r="C28" s="4"/>
      <c r="D28" s="4"/>
      <c r="E28" s="4"/>
      <c r="F28" s="38">
        <f t="shared" si="6"/>
        <v>125.17051647528285</v>
      </c>
      <c r="G28" s="4">
        <f t="shared" si="7"/>
        <v>2580.515367654431</v>
      </c>
      <c r="H28" s="99">
        <v>20.615999999999996</v>
      </c>
      <c r="I28" s="60">
        <f t="shared" si="5"/>
        <v>101.60290990054621</v>
      </c>
    </row>
    <row r="29" spans="1:9" x14ac:dyDescent="0.25">
      <c r="A29" s="21">
        <v>24</v>
      </c>
      <c r="B29" s="3">
        <v>2023</v>
      </c>
      <c r="C29" s="4"/>
      <c r="D29" s="4"/>
      <c r="E29" s="4"/>
      <c r="F29" s="38">
        <f t="shared" si="6"/>
        <v>159.71757902246091</v>
      </c>
      <c r="G29" s="4">
        <f t="shared" si="7"/>
        <v>3354.3885946297232</v>
      </c>
      <c r="H29" s="99">
        <v>21.001999999999995</v>
      </c>
      <c r="I29" s="60">
        <f t="shared" si="5"/>
        <v>127.26780494142417</v>
      </c>
    </row>
    <row r="30" spans="1:9" x14ac:dyDescent="0.25">
      <c r="A30" s="21">
        <v>25</v>
      </c>
      <c r="B30" s="3">
        <v>2024</v>
      </c>
      <c r="C30" s="4"/>
      <c r="D30" s="4"/>
      <c r="E30" s="4"/>
      <c r="F30" s="38">
        <f t="shared" si="6"/>
        <v>203.79963083266011</v>
      </c>
      <c r="G30" s="4">
        <f t="shared" si="7"/>
        <v>4358.8665042489338</v>
      </c>
      <c r="H30" s="99">
        <v>21.387999999999995</v>
      </c>
      <c r="I30" s="60">
        <f t="shared" si="5"/>
        <v>159.4156524696279</v>
      </c>
    </row>
    <row r="31" spans="1:9" x14ac:dyDescent="0.25">
      <c r="A31" s="21">
        <v>26</v>
      </c>
      <c r="B31" s="3">
        <v>2025</v>
      </c>
      <c r="C31" s="4"/>
      <c r="D31" s="4"/>
      <c r="E31" s="4"/>
      <c r="F31" s="38">
        <f t="shared" si="6"/>
        <v>260.04832894247431</v>
      </c>
      <c r="G31" s="4">
        <f t="shared" si="7"/>
        <v>5662.292314393434</v>
      </c>
      <c r="H31" s="99">
        <v>21.773999999999994</v>
      </c>
      <c r="I31" s="60">
        <f t="shared" si="5"/>
        <v>199.6840462834559</v>
      </c>
    </row>
    <row r="32" spans="1:9" x14ac:dyDescent="0.25">
      <c r="A32" s="21">
        <v>27</v>
      </c>
      <c r="B32" s="3">
        <v>2026</v>
      </c>
      <c r="C32" s="4"/>
      <c r="D32" s="4"/>
      <c r="E32" s="4"/>
      <c r="F32" s="38">
        <f t="shared" si="6"/>
        <v>331.82166773059726</v>
      </c>
      <c r="G32" s="4">
        <f t="shared" si="7"/>
        <v>7353.1681569100328</v>
      </c>
      <c r="H32" s="99">
        <v>22.159999999999993</v>
      </c>
      <c r="I32" s="60">
        <f t="shared" si="5"/>
        <v>250.12423637465685</v>
      </c>
    </row>
    <row r="33" spans="1:9" x14ac:dyDescent="0.25">
      <c r="A33" s="21">
        <v>28</v>
      </c>
      <c r="B33" s="3">
        <v>2027</v>
      </c>
      <c r="C33" s="4"/>
      <c r="D33" s="4"/>
      <c r="E33" s="4"/>
      <c r="F33" s="38">
        <f t="shared" si="6"/>
        <v>423.40444802424213</v>
      </c>
      <c r="G33" s="4">
        <f t="shared" si="7"/>
        <v>9546.0766851545595</v>
      </c>
      <c r="H33" s="99">
        <v>22.545999999999992</v>
      </c>
      <c r="I33" s="60">
        <f t="shared" si="5"/>
        <v>313.30561848289517</v>
      </c>
    </row>
    <row r="34" spans="1:9" x14ac:dyDescent="0.25">
      <c r="A34" s="21">
        <v>29</v>
      </c>
      <c r="B34" s="3">
        <v>2028</v>
      </c>
      <c r="C34" s="4"/>
      <c r="D34" s="4"/>
      <c r="E34" s="4"/>
      <c r="F34" s="38">
        <f t="shared" si="6"/>
        <v>540.26407567893295</v>
      </c>
      <c r="G34" s="4">
        <f t="shared" si="7"/>
        <v>12389.335783469285</v>
      </c>
      <c r="H34" s="99">
        <v>22.931999999999992</v>
      </c>
      <c r="I34" s="60">
        <f t="shared" si="5"/>
        <v>392.44661771167449</v>
      </c>
    </row>
    <row r="35" spans="1:9" x14ac:dyDescent="0.25">
      <c r="A35" s="21">
        <v>30</v>
      </c>
      <c r="B35" s="3">
        <v>2029</v>
      </c>
      <c r="C35" s="4"/>
      <c r="D35" s="4"/>
      <c r="E35" s="4"/>
      <c r="F35" s="38">
        <f t="shared" si="6"/>
        <v>689.37696056631842</v>
      </c>
      <c r="G35" s="4">
        <f t="shared" si="7"/>
        <v>16074.891966485406</v>
      </c>
      <c r="H35" s="99">
        <v>23.317999999999991</v>
      </c>
      <c r="I35" s="60">
        <f t="shared" si="5"/>
        <v>491.57863334564342</v>
      </c>
    </row>
    <row r="36" spans="1:9" x14ac:dyDescent="0.25">
      <c r="A36" s="21">
        <v>31</v>
      </c>
      <c r="B36" s="3">
        <v>2030</v>
      </c>
      <c r="C36" s="4"/>
      <c r="D36" s="4"/>
      <c r="E36" s="4"/>
      <c r="F36" s="38">
        <f t="shared" si="6"/>
        <v>879.64500168262236</v>
      </c>
      <c r="G36" s="4">
        <f t="shared" si="7"/>
        <v>20851.105119884873</v>
      </c>
      <c r="H36" s="120">
        <v>23.70399999999999</v>
      </c>
      <c r="I36" s="60">
        <f>F36*70%</f>
        <v>615.75150117783562</v>
      </c>
    </row>
    <row r="37" spans="1:9" x14ac:dyDescent="0.25">
      <c r="F37" s="43">
        <f>(F36/F22)^(1/14)-1</f>
        <v>0.27600000000000002</v>
      </c>
      <c r="G37" s="4"/>
      <c r="I37" s="43">
        <f>(I36/I21)^(1/15)-1</f>
        <v>0.25260001424649303</v>
      </c>
    </row>
    <row r="39" spans="1:9" x14ac:dyDescent="0.25">
      <c r="A39" s="1" t="s">
        <v>40</v>
      </c>
      <c r="B39" s="1"/>
    </row>
    <row r="40" spans="1:9" x14ac:dyDescent="0.25">
      <c r="A40" s="32">
        <v>1</v>
      </c>
      <c r="B40" s="1" t="s">
        <v>41</v>
      </c>
    </row>
    <row r="41" spans="1:9" x14ac:dyDescent="0.25">
      <c r="A41" s="32">
        <v>2</v>
      </c>
      <c r="B41" s="1" t="s">
        <v>42</v>
      </c>
    </row>
  </sheetData>
  <mergeCells count="3">
    <mergeCell ref="A4:A5"/>
    <mergeCell ref="B4:B5"/>
    <mergeCell ref="C4:E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opLeftCell="A24" zoomScale="80" zoomScaleNormal="80" workbookViewId="0">
      <selection activeCell="R45" sqref="R45"/>
    </sheetView>
  </sheetViews>
  <sheetFormatPr defaultRowHeight="15" x14ac:dyDescent="0.25"/>
  <cols>
    <col min="1" max="1" width="5.5703125" customWidth="1"/>
    <col min="6" max="6" width="9.5703125" bestFit="1" customWidth="1"/>
    <col min="7" max="7" width="12.140625" bestFit="1" customWidth="1"/>
    <col min="8" max="8" width="15.28515625" bestFit="1" customWidth="1"/>
    <col min="9" max="9" width="11.5703125" bestFit="1" customWidth="1"/>
    <col min="12" max="12" width="9.140625" style="45"/>
    <col min="13" max="13" width="13.28515625" style="45" customWidth="1"/>
    <col min="14" max="14" width="10.5703125" style="45" bestFit="1" customWidth="1"/>
    <col min="15" max="15" width="14.5703125" style="45" customWidth="1"/>
    <col min="16" max="16" width="15.7109375" style="45" bestFit="1" customWidth="1"/>
    <col min="17" max="17" width="17.85546875" style="45" customWidth="1"/>
    <col min="18" max="18" width="14.85546875" style="45" customWidth="1"/>
    <col min="19" max="19" width="14.140625" style="45" customWidth="1"/>
    <col min="20" max="20" width="15.140625" style="45" customWidth="1"/>
    <col min="21" max="21" width="14" style="45" customWidth="1"/>
    <col min="22" max="22" width="15" style="45" customWidth="1"/>
    <col min="23" max="23" width="12.5703125" style="45" customWidth="1"/>
    <col min="24" max="24" width="13.28515625" style="45" bestFit="1" customWidth="1"/>
    <col min="25" max="25" width="14.5703125" style="45" customWidth="1"/>
  </cols>
  <sheetData>
    <row r="1" spans="1:25" x14ac:dyDescent="0.25">
      <c r="A1" s="1" t="s">
        <v>13</v>
      </c>
      <c r="B1" s="1"/>
      <c r="C1" s="1"/>
      <c r="D1" s="1"/>
      <c r="E1" s="1"/>
      <c r="F1" s="1"/>
      <c r="G1" s="1"/>
      <c r="H1" s="1"/>
    </row>
    <row r="2" spans="1:25" x14ac:dyDescent="0.25">
      <c r="A2" s="1" t="s">
        <v>34</v>
      </c>
      <c r="B2" s="1"/>
      <c r="C2" s="1"/>
      <c r="D2" s="1"/>
      <c r="E2" s="1"/>
      <c r="F2" s="1"/>
      <c r="G2" s="1"/>
      <c r="H2" s="1"/>
    </row>
    <row r="3" spans="1:25" x14ac:dyDescent="0.25">
      <c r="A3" s="1"/>
      <c r="B3" s="1"/>
      <c r="C3" s="1"/>
      <c r="D3" s="1"/>
      <c r="E3" s="1"/>
      <c r="F3" s="1"/>
      <c r="G3" s="1"/>
      <c r="H3" s="1"/>
    </row>
    <row r="4" spans="1:25" ht="45" x14ac:dyDescent="0.25">
      <c r="A4" s="183" t="s">
        <v>1</v>
      </c>
      <c r="B4" s="183" t="s">
        <v>2</v>
      </c>
      <c r="C4" s="189" t="s">
        <v>3</v>
      </c>
      <c r="D4" s="189"/>
      <c r="E4" s="189"/>
      <c r="F4" s="5" t="s">
        <v>4</v>
      </c>
      <c r="G4" s="5" t="s">
        <v>5</v>
      </c>
      <c r="H4" s="5" t="s">
        <v>6</v>
      </c>
      <c r="I4" s="8"/>
      <c r="L4" s="70" t="s">
        <v>2</v>
      </c>
      <c r="M4" s="70" t="s">
        <v>63</v>
      </c>
      <c r="N4" s="70" t="s">
        <v>46</v>
      </c>
      <c r="O4" s="70" t="s">
        <v>7</v>
      </c>
      <c r="P4" s="70" t="s">
        <v>8</v>
      </c>
      <c r="Q4" s="70" t="s">
        <v>47</v>
      </c>
      <c r="R4" s="70" t="s">
        <v>9</v>
      </c>
      <c r="S4" s="70" t="s">
        <v>38</v>
      </c>
      <c r="T4" s="71" t="s">
        <v>48</v>
      </c>
      <c r="U4" s="70" t="s">
        <v>49</v>
      </c>
      <c r="V4" s="70" t="s">
        <v>50</v>
      </c>
      <c r="W4" s="70" t="s">
        <v>51</v>
      </c>
      <c r="X4" s="70" t="s">
        <v>52</v>
      </c>
      <c r="Y4" s="70" t="s">
        <v>53</v>
      </c>
    </row>
    <row r="5" spans="1:25" x14ac:dyDescent="0.25">
      <c r="A5" s="183"/>
      <c r="B5" s="183"/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8"/>
      <c r="L5" s="72"/>
      <c r="M5" s="73"/>
      <c r="N5" s="73"/>
      <c r="O5" s="74"/>
      <c r="P5" s="74"/>
      <c r="Q5" s="73"/>
      <c r="R5" s="74"/>
      <c r="S5" s="74"/>
      <c r="T5" s="74"/>
      <c r="U5" s="74"/>
      <c r="V5" s="83"/>
      <c r="W5" s="73"/>
      <c r="X5" s="74"/>
      <c r="Y5" s="75"/>
    </row>
    <row r="6" spans="1:25" x14ac:dyDescent="0.25">
      <c r="A6" s="6">
        <v>1</v>
      </c>
      <c r="B6" s="6">
        <v>2000</v>
      </c>
      <c r="C6" s="5"/>
      <c r="D6" s="5"/>
      <c r="E6" s="5"/>
      <c r="F6" s="5"/>
      <c r="G6" s="5"/>
      <c r="H6" s="5"/>
      <c r="I6" s="57">
        <f>F6</f>
        <v>0</v>
      </c>
      <c r="L6" s="122">
        <v>2000</v>
      </c>
      <c r="M6" s="73"/>
      <c r="N6" s="73"/>
      <c r="O6" s="74">
        <f>C6</f>
        <v>0</v>
      </c>
      <c r="P6" s="74">
        <f>D6</f>
        <v>0</v>
      </c>
      <c r="Q6" s="73"/>
      <c r="R6" s="74">
        <f>E6</f>
        <v>0</v>
      </c>
      <c r="S6" s="74">
        <f>F6</f>
        <v>0</v>
      </c>
      <c r="T6" s="74">
        <f>G6</f>
        <v>0</v>
      </c>
      <c r="U6" s="74">
        <f t="shared" ref="U6:U36" si="0">T6*20%</f>
        <v>0</v>
      </c>
      <c r="V6" s="83" t="e">
        <f>T6/P6</f>
        <v>#DIV/0!</v>
      </c>
      <c r="W6" s="73"/>
      <c r="X6" s="74">
        <f t="shared" ref="X6:X22" si="1">T6*($F$51+$F$54+$F$55)</f>
        <v>0</v>
      </c>
      <c r="Y6" s="75">
        <f t="shared" ref="Y6:Y21" si="2">T6*$F$50</f>
        <v>0</v>
      </c>
    </row>
    <row r="7" spans="1:25" x14ac:dyDescent="0.25">
      <c r="A7" s="6">
        <v>2</v>
      </c>
      <c r="B7" s="6">
        <v>2001</v>
      </c>
      <c r="C7" s="5"/>
      <c r="D7" s="5"/>
      <c r="E7" s="5"/>
      <c r="F7" s="5"/>
      <c r="G7" s="5"/>
      <c r="H7" s="5"/>
      <c r="I7" s="57">
        <f t="shared" ref="I7:I21" si="3">F7</f>
        <v>0</v>
      </c>
      <c r="L7" s="122">
        <v>2001</v>
      </c>
      <c r="M7" s="73"/>
      <c r="N7" s="73"/>
      <c r="O7" s="74">
        <f t="shared" ref="O7:P22" si="4">C7</f>
        <v>0</v>
      </c>
      <c r="P7" s="74">
        <f t="shared" si="4"/>
        <v>0</v>
      </c>
      <c r="Q7" s="73"/>
      <c r="R7" s="74">
        <f t="shared" ref="R7:T22" si="5">E7</f>
        <v>0</v>
      </c>
      <c r="S7" s="74">
        <f t="shared" si="5"/>
        <v>0</v>
      </c>
      <c r="T7" s="74">
        <f t="shared" si="5"/>
        <v>0</v>
      </c>
      <c r="U7" s="74">
        <f t="shared" si="0"/>
        <v>0</v>
      </c>
      <c r="V7" s="83" t="e">
        <f t="shared" ref="V7:V22" si="6">T7/P7</f>
        <v>#DIV/0!</v>
      </c>
      <c r="W7" s="73"/>
      <c r="X7" s="74">
        <f t="shared" si="1"/>
        <v>0</v>
      </c>
      <c r="Y7" s="75">
        <f t="shared" si="2"/>
        <v>0</v>
      </c>
    </row>
    <row r="8" spans="1:25" x14ac:dyDescent="0.25">
      <c r="A8" s="6">
        <v>3</v>
      </c>
      <c r="B8" s="6">
        <v>2002</v>
      </c>
      <c r="C8" s="5"/>
      <c r="D8" s="5"/>
      <c r="E8" s="5"/>
      <c r="F8" s="5"/>
      <c r="G8" s="5"/>
      <c r="H8" s="5"/>
      <c r="I8" s="57">
        <f t="shared" si="3"/>
        <v>0</v>
      </c>
      <c r="L8" s="122">
        <v>2002</v>
      </c>
      <c r="M8" s="73"/>
      <c r="N8" s="73"/>
      <c r="O8" s="74">
        <f t="shared" si="4"/>
        <v>0</v>
      </c>
      <c r="P8" s="74">
        <f t="shared" si="4"/>
        <v>0</v>
      </c>
      <c r="Q8" s="73"/>
      <c r="R8" s="74">
        <f t="shared" si="5"/>
        <v>0</v>
      </c>
      <c r="S8" s="74">
        <f t="shared" si="5"/>
        <v>0</v>
      </c>
      <c r="T8" s="74">
        <f t="shared" si="5"/>
        <v>0</v>
      </c>
      <c r="U8" s="74">
        <f t="shared" si="0"/>
        <v>0</v>
      </c>
      <c r="V8" s="83" t="e">
        <f t="shared" si="6"/>
        <v>#DIV/0!</v>
      </c>
      <c r="W8" s="73"/>
      <c r="X8" s="74">
        <f t="shared" si="1"/>
        <v>0</v>
      </c>
      <c r="Y8" s="75">
        <f t="shared" si="2"/>
        <v>0</v>
      </c>
    </row>
    <row r="9" spans="1:25" x14ac:dyDescent="0.25">
      <c r="A9" s="6">
        <v>4</v>
      </c>
      <c r="B9" s="6">
        <v>2003</v>
      </c>
      <c r="C9" s="5"/>
      <c r="D9" s="5"/>
      <c r="E9" s="5"/>
      <c r="F9" s="5"/>
      <c r="G9" s="5"/>
      <c r="H9" s="5"/>
      <c r="I9" s="57">
        <f t="shared" si="3"/>
        <v>0</v>
      </c>
      <c r="L9" s="122">
        <v>2003</v>
      </c>
      <c r="M9" s="127"/>
      <c r="N9" s="127"/>
      <c r="O9" s="125">
        <f t="shared" si="4"/>
        <v>0</v>
      </c>
      <c r="P9" s="125">
        <f t="shared" si="4"/>
        <v>0</v>
      </c>
      <c r="Q9" s="123">
        <f>S9-S8</f>
        <v>0</v>
      </c>
      <c r="R9" s="125">
        <f t="shared" si="5"/>
        <v>0</v>
      </c>
      <c r="S9" s="125">
        <f t="shared" si="5"/>
        <v>0</v>
      </c>
      <c r="T9" s="125">
        <f t="shared" si="5"/>
        <v>0</v>
      </c>
      <c r="U9" s="125">
        <f t="shared" si="0"/>
        <v>0</v>
      </c>
      <c r="V9" s="126" t="e">
        <f t="shared" si="6"/>
        <v>#DIV/0!</v>
      </c>
      <c r="W9" s="73"/>
      <c r="X9" s="74">
        <f t="shared" si="1"/>
        <v>0</v>
      </c>
      <c r="Y9" s="75">
        <f t="shared" si="2"/>
        <v>0</v>
      </c>
    </row>
    <row r="10" spans="1:25" x14ac:dyDescent="0.25">
      <c r="A10" s="6">
        <v>5</v>
      </c>
      <c r="B10" s="6">
        <v>2004</v>
      </c>
      <c r="C10" s="5"/>
      <c r="D10" s="5"/>
      <c r="E10" s="5"/>
      <c r="F10" s="5"/>
      <c r="G10" s="5"/>
      <c r="H10" s="5"/>
      <c r="I10" s="57">
        <f t="shared" si="3"/>
        <v>0</v>
      </c>
      <c r="L10" s="122">
        <v>2004</v>
      </c>
      <c r="M10" s="127"/>
      <c r="N10" s="127"/>
      <c r="O10" s="125">
        <f t="shared" si="4"/>
        <v>0</v>
      </c>
      <c r="P10" s="125">
        <f t="shared" si="4"/>
        <v>0</v>
      </c>
      <c r="Q10" s="123">
        <f t="shared" ref="Q10:Q14" si="7">S10-S9</f>
        <v>0</v>
      </c>
      <c r="R10" s="125">
        <f t="shared" si="5"/>
        <v>0</v>
      </c>
      <c r="S10" s="125">
        <f t="shared" si="5"/>
        <v>0</v>
      </c>
      <c r="T10" s="125">
        <f t="shared" si="5"/>
        <v>0</v>
      </c>
      <c r="U10" s="125">
        <f t="shared" si="0"/>
        <v>0</v>
      </c>
      <c r="V10" s="126" t="e">
        <f t="shared" si="6"/>
        <v>#DIV/0!</v>
      </c>
      <c r="W10" s="73"/>
      <c r="X10" s="74">
        <f t="shared" si="1"/>
        <v>0</v>
      </c>
      <c r="Y10" s="75">
        <f t="shared" si="2"/>
        <v>0</v>
      </c>
    </row>
    <row r="11" spans="1:25" x14ac:dyDescent="0.25">
      <c r="A11" s="6">
        <v>6</v>
      </c>
      <c r="B11" s="6">
        <v>2005</v>
      </c>
      <c r="C11" s="5"/>
      <c r="D11" s="5"/>
      <c r="E11" s="5"/>
      <c r="F11" s="5"/>
      <c r="G11" s="5"/>
      <c r="H11" s="5"/>
      <c r="I11" s="57">
        <f t="shared" si="3"/>
        <v>0</v>
      </c>
      <c r="L11" s="122">
        <v>2005</v>
      </c>
      <c r="M11" s="127"/>
      <c r="N11" s="127"/>
      <c r="O11" s="125">
        <f t="shared" si="4"/>
        <v>0</v>
      </c>
      <c r="P11" s="125">
        <f t="shared" si="4"/>
        <v>0</v>
      </c>
      <c r="Q11" s="123">
        <f t="shared" si="7"/>
        <v>0</v>
      </c>
      <c r="R11" s="125">
        <f t="shared" si="5"/>
        <v>0</v>
      </c>
      <c r="S11" s="125">
        <f t="shared" si="5"/>
        <v>0</v>
      </c>
      <c r="T11" s="125">
        <f t="shared" si="5"/>
        <v>0</v>
      </c>
      <c r="U11" s="125">
        <f t="shared" si="0"/>
        <v>0</v>
      </c>
      <c r="V11" s="126" t="e">
        <f t="shared" si="6"/>
        <v>#DIV/0!</v>
      </c>
      <c r="W11" s="73"/>
      <c r="X11" s="74">
        <f t="shared" si="1"/>
        <v>0</v>
      </c>
      <c r="Y11" s="75">
        <f t="shared" si="2"/>
        <v>0</v>
      </c>
    </row>
    <row r="12" spans="1:25" x14ac:dyDescent="0.25">
      <c r="A12" s="6">
        <v>7</v>
      </c>
      <c r="B12" s="3">
        <v>2006</v>
      </c>
      <c r="C12" s="8"/>
      <c r="D12" s="8"/>
      <c r="E12" s="8"/>
      <c r="F12" s="4">
        <f t="shared" ref="F12:F19" si="8">SUM(C12:E12)</f>
        <v>0</v>
      </c>
      <c r="G12" s="8"/>
      <c r="H12" s="9" t="e">
        <f t="shared" ref="H12:H19" si="9">(G12*1000)/D12</f>
        <v>#DIV/0!</v>
      </c>
      <c r="I12" s="57">
        <f t="shared" si="3"/>
        <v>0</v>
      </c>
      <c r="L12" s="48">
        <v>2006</v>
      </c>
      <c r="M12" s="127"/>
      <c r="N12" s="127"/>
      <c r="O12" s="125">
        <f t="shared" si="4"/>
        <v>0</v>
      </c>
      <c r="P12" s="125">
        <f t="shared" si="4"/>
        <v>0</v>
      </c>
      <c r="Q12" s="123">
        <f t="shared" si="7"/>
        <v>0</v>
      </c>
      <c r="R12" s="125">
        <f t="shared" si="5"/>
        <v>0</v>
      </c>
      <c r="S12" s="125">
        <f t="shared" si="5"/>
        <v>0</v>
      </c>
      <c r="T12" s="125">
        <f t="shared" si="5"/>
        <v>0</v>
      </c>
      <c r="U12" s="125">
        <f t="shared" si="0"/>
        <v>0</v>
      </c>
      <c r="V12" s="126" t="e">
        <f t="shared" si="6"/>
        <v>#DIV/0!</v>
      </c>
      <c r="W12" s="73"/>
      <c r="X12" s="74">
        <f t="shared" si="1"/>
        <v>0</v>
      </c>
      <c r="Y12" s="75">
        <f t="shared" si="2"/>
        <v>0</v>
      </c>
    </row>
    <row r="13" spans="1:25" x14ac:dyDescent="0.25">
      <c r="A13" s="6">
        <v>8</v>
      </c>
      <c r="B13" s="3">
        <v>2007</v>
      </c>
      <c r="C13" s="8"/>
      <c r="D13" s="8"/>
      <c r="E13" s="8"/>
      <c r="F13" s="4">
        <f t="shared" si="8"/>
        <v>0</v>
      </c>
      <c r="G13" s="8"/>
      <c r="H13" s="9" t="e">
        <f t="shared" si="9"/>
        <v>#DIV/0!</v>
      </c>
      <c r="I13" s="57">
        <f t="shared" si="3"/>
        <v>0</v>
      </c>
      <c r="L13" s="48">
        <v>2007</v>
      </c>
      <c r="M13" s="127"/>
      <c r="N13" s="127"/>
      <c r="O13" s="125">
        <f t="shared" si="4"/>
        <v>0</v>
      </c>
      <c r="P13" s="125">
        <f t="shared" si="4"/>
        <v>0</v>
      </c>
      <c r="Q13" s="123">
        <f t="shared" si="7"/>
        <v>0</v>
      </c>
      <c r="R13" s="125">
        <f t="shared" si="5"/>
        <v>0</v>
      </c>
      <c r="S13" s="125">
        <f t="shared" si="5"/>
        <v>0</v>
      </c>
      <c r="T13" s="125">
        <f t="shared" si="5"/>
        <v>0</v>
      </c>
      <c r="U13" s="125">
        <f t="shared" si="0"/>
        <v>0</v>
      </c>
      <c r="V13" s="126" t="e">
        <f t="shared" si="6"/>
        <v>#DIV/0!</v>
      </c>
      <c r="W13" s="73"/>
      <c r="X13" s="74">
        <f t="shared" si="1"/>
        <v>0</v>
      </c>
      <c r="Y13" s="75">
        <f t="shared" si="2"/>
        <v>0</v>
      </c>
    </row>
    <row r="14" spans="1:25" x14ac:dyDescent="0.25">
      <c r="A14" s="6">
        <v>9</v>
      </c>
      <c r="B14" s="3">
        <v>2008</v>
      </c>
      <c r="C14" s="8"/>
      <c r="D14" s="8"/>
      <c r="E14" s="8"/>
      <c r="F14" s="4">
        <f t="shared" si="8"/>
        <v>0</v>
      </c>
      <c r="G14" s="8"/>
      <c r="H14" s="9" t="e">
        <f t="shared" si="9"/>
        <v>#DIV/0!</v>
      </c>
      <c r="I14" s="57">
        <f t="shared" si="3"/>
        <v>0</v>
      </c>
      <c r="L14" s="48">
        <v>2008</v>
      </c>
      <c r="M14" s="127"/>
      <c r="N14" s="127"/>
      <c r="O14" s="125">
        <f t="shared" si="4"/>
        <v>0</v>
      </c>
      <c r="P14" s="125">
        <f t="shared" si="4"/>
        <v>0</v>
      </c>
      <c r="Q14" s="123">
        <f t="shared" si="7"/>
        <v>0</v>
      </c>
      <c r="R14" s="125">
        <f t="shared" si="5"/>
        <v>0</v>
      </c>
      <c r="S14" s="125">
        <f t="shared" si="5"/>
        <v>0</v>
      </c>
      <c r="T14" s="125">
        <f t="shared" si="5"/>
        <v>0</v>
      </c>
      <c r="U14" s="125">
        <f t="shared" si="0"/>
        <v>0</v>
      </c>
      <c r="V14" s="126" t="e">
        <f t="shared" si="6"/>
        <v>#DIV/0!</v>
      </c>
      <c r="W14" s="73"/>
      <c r="X14" s="74">
        <f t="shared" si="1"/>
        <v>0</v>
      </c>
      <c r="Y14" s="75">
        <f t="shared" si="2"/>
        <v>0</v>
      </c>
    </row>
    <row r="15" spans="1:25" x14ac:dyDescent="0.25">
      <c r="A15" s="6">
        <v>10</v>
      </c>
      <c r="B15" s="3">
        <v>2009</v>
      </c>
      <c r="C15" s="8"/>
      <c r="D15" s="8"/>
      <c r="E15" s="8"/>
      <c r="F15" s="4">
        <f t="shared" si="8"/>
        <v>0</v>
      </c>
      <c r="G15" s="8"/>
      <c r="H15" s="9" t="e">
        <f t="shared" si="9"/>
        <v>#DIV/0!</v>
      </c>
      <c r="I15" s="57">
        <f t="shared" si="3"/>
        <v>0</v>
      </c>
      <c r="L15" s="48">
        <v>2009</v>
      </c>
      <c r="M15" s="127"/>
      <c r="N15" s="127"/>
      <c r="O15" s="125">
        <f t="shared" si="4"/>
        <v>0</v>
      </c>
      <c r="P15" s="125">
        <f t="shared" si="4"/>
        <v>0</v>
      </c>
      <c r="Q15" s="123">
        <f>S15-S14</f>
        <v>0</v>
      </c>
      <c r="R15" s="125">
        <f t="shared" si="5"/>
        <v>0</v>
      </c>
      <c r="S15" s="125">
        <f t="shared" si="5"/>
        <v>0</v>
      </c>
      <c r="T15" s="125">
        <f t="shared" si="5"/>
        <v>0</v>
      </c>
      <c r="U15" s="125">
        <f t="shared" si="0"/>
        <v>0</v>
      </c>
      <c r="V15" s="126" t="e">
        <f t="shared" si="6"/>
        <v>#DIV/0!</v>
      </c>
      <c r="W15" s="73"/>
      <c r="X15" s="74">
        <f t="shared" si="1"/>
        <v>0</v>
      </c>
      <c r="Y15" s="75">
        <f t="shared" si="2"/>
        <v>0</v>
      </c>
    </row>
    <row r="16" spans="1:25" x14ac:dyDescent="0.25">
      <c r="A16" s="6">
        <v>11</v>
      </c>
      <c r="B16" s="3">
        <v>2010</v>
      </c>
      <c r="C16" s="8"/>
      <c r="D16" s="8"/>
      <c r="E16" s="8"/>
      <c r="F16" s="4">
        <f t="shared" si="8"/>
        <v>0</v>
      </c>
      <c r="G16" s="8"/>
      <c r="H16" s="9" t="e">
        <f t="shared" si="9"/>
        <v>#DIV/0!</v>
      </c>
      <c r="I16" s="57">
        <f t="shared" si="3"/>
        <v>0</v>
      </c>
      <c r="L16" s="48">
        <v>2010</v>
      </c>
      <c r="M16" s="127"/>
      <c r="N16" s="127"/>
      <c r="O16" s="125">
        <f t="shared" si="4"/>
        <v>0</v>
      </c>
      <c r="P16" s="125">
        <f t="shared" si="4"/>
        <v>0</v>
      </c>
      <c r="Q16" s="123">
        <f t="shared" ref="Q16:Q36" si="10">S16-S15</f>
        <v>0</v>
      </c>
      <c r="R16" s="125">
        <f t="shared" si="5"/>
        <v>0</v>
      </c>
      <c r="S16" s="125">
        <f t="shared" si="5"/>
        <v>0</v>
      </c>
      <c r="T16" s="125">
        <f t="shared" si="5"/>
        <v>0</v>
      </c>
      <c r="U16" s="125">
        <f t="shared" si="0"/>
        <v>0</v>
      </c>
      <c r="V16" s="126" t="e">
        <f t="shared" si="6"/>
        <v>#DIV/0!</v>
      </c>
      <c r="W16" s="73"/>
      <c r="X16" s="74">
        <f t="shared" si="1"/>
        <v>0</v>
      </c>
      <c r="Y16" s="75">
        <f t="shared" si="2"/>
        <v>0</v>
      </c>
    </row>
    <row r="17" spans="1:25" x14ac:dyDescent="0.25">
      <c r="A17" s="6">
        <v>12</v>
      </c>
      <c r="B17" s="3">
        <v>2011</v>
      </c>
      <c r="C17" s="8"/>
      <c r="D17" s="8"/>
      <c r="E17" s="8"/>
      <c r="F17" s="4">
        <f t="shared" si="8"/>
        <v>0</v>
      </c>
      <c r="G17" s="8"/>
      <c r="H17" s="9" t="e">
        <f t="shared" si="9"/>
        <v>#DIV/0!</v>
      </c>
      <c r="I17" s="57">
        <f t="shared" si="3"/>
        <v>0</v>
      </c>
      <c r="L17" s="48">
        <v>2011</v>
      </c>
      <c r="M17" s="127"/>
      <c r="N17" s="127"/>
      <c r="O17" s="125">
        <f t="shared" si="4"/>
        <v>0</v>
      </c>
      <c r="P17" s="125">
        <f t="shared" si="4"/>
        <v>0</v>
      </c>
      <c r="Q17" s="123">
        <f t="shared" si="10"/>
        <v>0</v>
      </c>
      <c r="R17" s="125">
        <f t="shared" si="5"/>
        <v>0</v>
      </c>
      <c r="S17" s="125">
        <f t="shared" si="5"/>
        <v>0</v>
      </c>
      <c r="T17" s="125">
        <f t="shared" si="5"/>
        <v>0</v>
      </c>
      <c r="U17" s="125">
        <f t="shared" si="0"/>
        <v>0</v>
      </c>
      <c r="V17" s="126" t="e">
        <f t="shared" si="6"/>
        <v>#DIV/0!</v>
      </c>
      <c r="W17" s="73"/>
      <c r="X17" s="74">
        <f t="shared" si="1"/>
        <v>0</v>
      </c>
      <c r="Y17" s="75">
        <f t="shared" si="2"/>
        <v>0</v>
      </c>
    </row>
    <row r="18" spans="1:25" x14ac:dyDescent="0.25">
      <c r="A18" s="6">
        <v>13</v>
      </c>
      <c r="B18" s="3">
        <v>2012</v>
      </c>
      <c r="C18" s="8"/>
      <c r="D18" s="8"/>
      <c r="E18" s="8"/>
      <c r="F18" s="4">
        <f t="shared" si="8"/>
        <v>0</v>
      </c>
      <c r="G18" s="8"/>
      <c r="H18" s="9" t="e">
        <f t="shared" si="9"/>
        <v>#DIV/0!</v>
      </c>
      <c r="I18" s="57">
        <f t="shared" si="3"/>
        <v>0</v>
      </c>
      <c r="L18" s="48">
        <v>2012</v>
      </c>
      <c r="M18" s="127"/>
      <c r="N18" s="127"/>
      <c r="O18" s="125">
        <f t="shared" si="4"/>
        <v>0</v>
      </c>
      <c r="P18" s="125">
        <f t="shared" si="4"/>
        <v>0</v>
      </c>
      <c r="Q18" s="123">
        <f t="shared" si="10"/>
        <v>0</v>
      </c>
      <c r="R18" s="125">
        <f t="shared" si="5"/>
        <v>0</v>
      </c>
      <c r="S18" s="125">
        <f t="shared" si="5"/>
        <v>0</v>
      </c>
      <c r="T18" s="125">
        <f t="shared" si="5"/>
        <v>0</v>
      </c>
      <c r="U18" s="125">
        <f t="shared" si="0"/>
        <v>0</v>
      </c>
      <c r="V18" s="126" t="e">
        <f t="shared" si="6"/>
        <v>#DIV/0!</v>
      </c>
      <c r="W18" s="73"/>
      <c r="X18" s="74">
        <f t="shared" si="1"/>
        <v>0</v>
      </c>
      <c r="Y18" s="75">
        <f t="shared" si="2"/>
        <v>0</v>
      </c>
    </row>
    <row r="19" spans="1:25" x14ac:dyDescent="0.25">
      <c r="A19" s="6">
        <v>14</v>
      </c>
      <c r="B19" s="3">
        <v>2013</v>
      </c>
      <c r="C19" s="8"/>
      <c r="D19" s="8"/>
      <c r="E19" s="8"/>
      <c r="F19" s="4">
        <f t="shared" si="8"/>
        <v>0</v>
      </c>
      <c r="G19" s="8"/>
      <c r="H19" s="9" t="e">
        <f t="shared" si="9"/>
        <v>#DIV/0!</v>
      </c>
      <c r="I19" s="57">
        <f t="shared" si="3"/>
        <v>0</v>
      </c>
      <c r="L19" s="48">
        <v>2013</v>
      </c>
      <c r="M19" s="127"/>
      <c r="N19" s="127"/>
      <c r="O19" s="125">
        <f t="shared" si="4"/>
        <v>0</v>
      </c>
      <c r="P19" s="125">
        <f t="shared" si="4"/>
        <v>0</v>
      </c>
      <c r="Q19" s="123">
        <f t="shared" si="10"/>
        <v>0</v>
      </c>
      <c r="R19" s="125">
        <f t="shared" si="5"/>
        <v>0</v>
      </c>
      <c r="S19" s="125">
        <f t="shared" si="5"/>
        <v>0</v>
      </c>
      <c r="T19" s="125">
        <f t="shared" si="5"/>
        <v>0</v>
      </c>
      <c r="U19" s="125">
        <f t="shared" si="0"/>
        <v>0</v>
      </c>
      <c r="V19" s="126" t="e">
        <f t="shared" si="6"/>
        <v>#DIV/0!</v>
      </c>
      <c r="W19" s="73"/>
      <c r="X19" s="74">
        <f t="shared" si="1"/>
        <v>0</v>
      </c>
      <c r="Y19" s="75">
        <f t="shared" si="2"/>
        <v>0</v>
      </c>
    </row>
    <row r="20" spans="1:25" x14ac:dyDescent="0.25">
      <c r="A20" s="6">
        <v>15</v>
      </c>
      <c r="B20" s="3">
        <v>2014</v>
      </c>
      <c r="C20" s="4"/>
      <c r="D20" s="4"/>
      <c r="E20" s="4"/>
      <c r="F20" s="4">
        <f t="shared" ref="F20" si="11">SUM(C20:E20)</f>
        <v>0</v>
      </c>
      <c r="G20" s="7"/>
      <c r="H20" s="9" t="e">
        <f>(G20*1000)/D20</f>
        <v>#DIV/0!</v>
      </c>
      <c r="I20" s="57">
        <f t="shared" si="3"/>
        <v>0</v>
      </c>
      <c r="L20" s="48">
        <v>2014</v>
      </c>
      <c r="M20" s="127"/>
      <c r="N20" s="127"/>
      <c r="O20" s="125">
        <f t="shared" si="4"/>
        <v>0</v>
      </c>
      <c r="P20" s="125">
        <f t="shared" si="4"/>
        <v>0</v>
      </c>
      <c r="Q20" s="123">
        <f t="shared" si="10"/>
        <v>0</v>
      </c>
      <c r="R20" s="125">
        <f t="shared" si="5"/>
        <v>0</v>
      </c>
      <c r="S20" s="125">
        <f t="shared" si="5"/>
        <v>0</v>
      </c>
      <c r="T20" s="125">
        <f t="shared" si="5"/>
        <v>0</v>
      </c>
      <c r="U20" s="125">
        <f t="shared" si="0"/>
        <v>0</v>
      </c>
      <c r="V20" s="126" t="e">
        <f t="shared" si="6"/>
        <v>#DIV/0!</v>
      </c>
      <c r="W20" s="73"/>
      <c r="X20" s="74">
        <f t="shared" si="1"/>
        <v>0</v>
      </c>
      <c r="Y20" s="75">
        <f t="shared" si="2"/>
        <v>0</v>
      </c>
    </row>
    <row r="21" spans="1:25" x14ac:dyDescent="0.25">
      <c r="A21" s="6">
        <v>16</v>
      </c>
      <c r="B21" s="3">
        <v>2015</v>
      </c>
      <c r="C21" s="8"/>
      <c r="D21" s="8"/>
      <c r="E21" s="8"/>
      <c r="F21" s="4">
        <v>12341</v>
      </c>
      <c r="G21" s="8">
        <v>0</v>
      </c>
      <c r="H21" s="9" t="e">
        <f t="shared" ref="H21:H23" si="12">(G21*1000)/D21</f>
        <v>#DIV/0!</v>
      </c>
      <c r="I21" s="57">
        <f t="shared" si="3"/>
        <v>12341</v>
      </c>
      <c r="L21" s="48">
        <v>2015</v>
      </c>
      <c r="M21" s="127"/>
      <c r="N21" s="127"/>
      <c r="O21" s="125">
        <f t="shared" si="4"/>
        <v>0</v>
      </c>
      <c r="P21" s="125">
        <f t="shared" si="4"/>
        <v>0</v>
      </c>
      <c r="Q21" s="123">
        <f t="shared" si="10"/>
        <v>12341</v>
      </c>
      <c r="R21" s="125">
        <f t="shared" si="5"/>
        <v>0</v>
      </c>
      <c r="S21" s="125">
        <f t="shared" si="5"/>
        <v>12341</v>
      </c>
      <c r="T21" s="125">
        <f t="shared" si="5"/>
        <v>0</v>
      </c>
      <c r="U21" s="125">
        <f t="shared" si="0"/>
        <v>0</v>
      </c>
      <c r="V21" s="126" t="e">
        <f t="shared" si="6"/>
        <v>#DIV/0!</v>
      </c>
      <c r="W21" s="73"/>
      <c r="X21" s="74">
        <f t="shared" si="1"/>
        <v>0</v>
      </c>
      <c r="Y21" s="75">
        <f t="shared" si="2"/>
        <v>0</v>
      </c>
    </row>
    <row r="22" spans="1:25" x14ac:dyDescent="0.25">
      <c r="A22" s="6">
        <v>17</v>
      </c>
      <c r="B22" s="3">
        <v>2016</v>
      </c>
      <c r="C22" s="8">
        <v>20165</v>
      </c>
      <c r="D22" s="8">
        <v>0</v>
      </c>
      <c r="E22" s="8">
        <v>0</v>
      </c>
      <c r="F22" s="38">
        <f>SUM(C22:E22)</f>
        <v>20165</v>
      </c>
      <c r="G22" s="8">
        <v>0</v>
      </c>
      <c r="H22" s="9" t="e">
        <f t="shared" si="12"/>
        <v>#DIV/0!</v>
      </c>
      <c r="I22" s="65">
        <f>I21*1.2012</f>
        <v>14824.0092</v>
      </c>
      <c r="L22" s="48">
        <v>2016</v>
      </c>
      <c r="N22" s="124"/>
      <c r="O22" s="125">
        <f t="shared" si="4"/>
        <v>20165</v>
      </c>
      <c r="P22" s="125">
        <f t="shared" si="4"/>
        <v>0</v>
      </c>
      <c r="Q22" s="123">
        <f t="shared" si="10"/>
        <v>7824</v>
      </c>
      <c r="R22" s="125">
        <f t="shared" si="5"/>
        <v>0</v>
      </c>
      <c r="S22" s="125">
        <f t="shared" si="5"/>
        <v>20165</v>
      </c>
      <c r="T22" s="125">
        <f t="shared" si="5"/>
        <v>0</v>
      </c>
      <c r="U22" s="125">
        <f t="shared" si="0"/>
        <v>0</v>
      </c>
      <c r="V22" s="126" t="e">
        <f t="shared" si="6"/>
        <v>#DIV/0!</v>
      </c>
      <c r="W22" s="127"/>
      <c r="X22" s="125">
        <f t="shared" si="1"/>
        <v>0</v>
      </c>
      <c r="Y22" s="123">
        <f>T22*$F$50</f>
        <v>0</v>
      </c>
    </row>
    <row r="23" spans="1:25" x14ac:dyDescent="0.25">
      <c r="A23" s="6">
        <v>18</v>
      </c>
      <c r="B23" s="3">
        <v>2017</v>
      </c>
      <c r="C23" s="8"/>
      <c r="D23" s="8"/>
      <c r="E23" s="8"/>
      <c r="F23" s="38">
        <f>S23</f>
        <v>29554.555555555555</v>
      </c>
      <c r="G23" s="181">
        <f>T23</f>
        <v>94200.797500000001</v>
      </c>
      <c r="H23" s="9" t="e">
        <f t="shared" si="12"/>
        <v>#DIV/0!</v>
      </c>
      <c r="I23" s="65">
        <f t="shared" ref="I23:I35" si="13">I22*1.2012</f>
        <v>17806.599851040002</v>
      </c>
      <c r="L23" s="48">
        <v>2017</v>
      </c>
      <c r="M23" s="123">
        <f>O22-$R$46</f>
        <v>15123.75</v>
      </c>
      <c r="N23" s="129">
        <f>R39</f>
        <v>9389.5555555555547</v>
      </c>
      <c r="O23" s="86">
        <f>M23+N23</f>
        <v>24513.305555555555</v>
      </c>
      <c r="P23" s="86">
        <f>P22+$R$46</f>
        <v>5041.25</v>
      </c>
      <c r="Q23" s="111">
        <f t="shared" si="10"/>
        <v>9389.5555555555547</v>
      </c>
      <c r="R23" s="86">
        <v>0</v>
      </c>
      <c r="S23" s="86">
        <f>O23+P23+R23</f>
        <v>29554.555555555555</v>
      </c>
      <c r="T23" s="86">
        <f>P23*V23</f>
        <v>94200.797500000001</v>
      </c>
      <c r="U23" s="86">
        <f t="shared" si="0"/>
        <v>18840.159500000002</v>
      </c>
      <c r="V23" s="99">
        <v>18.686</v>
      </c>
      <c r="W23" s="85"/>
      <c r="X23" s="86">
        <f t="shared" ref="X23:X34" si="14">T23*($P$52+$P$53+$P$54)</f>
        <v>26847.227287500002</v>
      </c>
      <c r="Y23" s="111">
        <f>T23*$P$51</f>
        <v>63114.534325000001</v>
      </c>
    </row>
    <row r="24" spans="1:25" x14ac:dyDescent="0.25">
      <c r="A24" s="21">
        <v>19</v>
      </c>
      <c r="B24" s="3">
        <v>2018</v>
      </c>
      <c r="C24" s="8"/>
      <c r="D24" s="8"/>
      <c r="E24" s="8"/>
      <c r="F24" s="38">
        <f t="shared" ref="F24:F36" si="15">S24</f>
        <v>38944.111111111109</v>
      </c>
      <c r="G24" s="181">
        <f t="shared" ref="G24:G36" si="16">T24</f>
        <v>192293.44</v>
      </c>
      <c r="H24" s="8"/>
      <c r="I24" s="65">
        <f t="shared" si="13"/>
        <v>21389.287741069253</v>
      </c>
      <c r="L24" s="48">
        <v>2018</v>
      </c>
      <c r="M24" s="123">
        <f>M23-$R$46</f>
        <v>10082.5</v>
      </c>
      <c r="N24" s="129">
        <f t="shared" ref="N24:N31" si="17">N23</f>
        <v>9389.5555555555547</v>
      </c>
      <c r="O24" s="86">
        <f>M24+N24</f>
        <v>19472.055555555555</v>
      </c>
      <c r="P24" s="86">
        <f t="shared" ref="P24:P26" si="18">P23+$R$46</f>
        <v>10082.5</v>
      </c>
      <c r="Q24" s="111">
        <f t="shared" si="10"/>
        <v>9389.5555555555547</v>
      </c>
      <c r="R24" s="86">
        <f t="shared" ref="R24:R36" si="19">R23</f>
        <v>0</v>
      </c>
      <c r="S24" s="86">
        <f>S23+N24</f>
        <v>38944.111111111109</v>
      </c>
      <c r="T24" s="86">
        <f t="shared" ref="T24:T36" si="20">P24*V24</f>
        <v>192293.44</v>
      </c>
      <c r="U24" s="86">
        <f t="shared" si="0"/>
        <v>38458.688000000002</v>
      </c>
      <c r="V24" s="99">
        <v>19.071999999999999</v>
      </c>
      <c r="W24" s="85"/>
      <c r="X24" s="86">
        <f t="shared" si="14"/>
        <v>54803.630400000009</v>
      </c>
      <c r="Y24" s="111">
        <f t="shared" ref="Y24:Y35" si="21">T24*$P$51</f>
        <v>128836.60480000002</v>
      </c>
    </row>
    <row r="25" spans="1:25" x14ac:dyDescent="0.25">
      <c r="A25" s="21">
        <v>20</v>
      </c>
      <c r="B25" s="3">
        <v>2019</v>
      </c>
      <c r="C25" s="8"/>
      <c r="D25" s="8"/>
      <c r="E25" s="8"/>
      <c r="F25" s="38">
        <f t="shared" si="15"/>
        <v>48333.666666666664</v>
      </c>
      <c r="G25" s="181">
        <f t="shared" si="16"/>
        <v>294277.92749999999</v>
      </c>
      <c r="H25" s="8"/>
      <c r="I25" s="65">
        <f t="shared" si="13"/>
        <v>25692.812434572388</v>
      </c>
      <c r="L25" s="48">
        <v>2019</v>
      </c>
      <c r="M25" s="123">
        <f t="shared" ref="M25:M26" si="22">M24-$R$46</f>
        <v>5041.25</v>
      </c>
      <c r="N25" s="129">
        <f t="shared" si="17"/>
        <v>9389.5555555555547</v>
      </c>
      <c r="O25" s="86">
        <f>M25+N25</f>
        <v>14430.805555555555</v>
      </c>
      <c r="P25" s="86">
        <f t="shared" si="18"/>
        <v>15123.75</v>
      </c>
      <c r="Q25" s="111">
        <f t="shared" si="10"/>
        <v>9389.5555555555547</v>
      </c>
      <c r="R25" s="86">
        <f t="shared" si="19"/>
        <v>0</v>
      </c>
      <c r="S25" s="86">
        <f t="shared" ref="S25:S35" si="23">S24+N25</f>
        <v>48333.666666666664</v>
      </c>
      <c r="T25" s="86">
        <f t="shared" si="20"/>
        <v>294277.92749999999</v>
      </c>
      <c r="U25" s="86">
        <f t="shared" si="0"/>
        <v>58855.585500000001</v>
      </c>
      <c r="V25" s="99">
        <v>19.457999999999998</v>
      </c>
      <c r="W25" s="85"/>
      <c r="X25" s="86">
        <f t="shared" si="14"/>
        <v>83869.209337500011</v>
      </c>
      <c r="Y25" s="111">
        <f t="shared" si="21"/>
        <v>197166.21142500002</v>
      </c>
    </row>
    <row r="26" spans="1:25" x14ac:dyDescent="0.25">
      <c r="A26" s="21">
        <v>21</v>
      </c>
      <c r="B26" s="3">
        <v>2020</v>
      </c>
      <c r="C26" s="8"/>
      <c r="D26" s="8"/>
      <c r="E26" s="8"/>
      <c r="F26" s="38">
        <f t="shared" si="15"/>
        <v>57723.222222222219</v>
      </c>
      <c r="G26" s="181">
        <f t="shared" si="16"/>
        <v>400154.25999999995</v>
      </c>
      <c r="H26" s="8"/>
      <c r="I26" s="65">
        <f t="shared" si="13"/>
        <v>30862.206296408353</v>
      </c>
      <c r="L26" s="150">
        <v>2020</v>
      </c>
      <c r="M26" s="123">
        <f t="shared" si="22"/>
        <v>0</v>
      </c>
      <c r="N26" s="132">
        <f t="shared" si="17"/>
        <v>9389.5555555555547</v>
      </c>
      <c r="O26" s="133">
        <f>O25-$R$46+N26</f>
        <v>18779.111111111109</v>
      </c>
      <c r="P26" s="133">
        <f t="shared" si="18"/>
        <v>20165</v>
      </c>
      <c r="Q26" s="131">
        <f t="shared" si="10"/>
        <v>9389.5555555555547</v>
      </c>
      <c r="R26" s="133">
        <f t="shared" si="19"/>
        <v>0</v>
      </c>
      <c r="S26" s="133">
        <f t="shared" si="23"/>
        <v>57723.222222222219</v>
      </c>
      <c r="T26" s="133">
        <f t="shared" si="20"/>
        <v>400154.25999999995</v>
      </c>
      <c r="U26" s="133">
        <f t="shared" si="0"/>
        <v>80030.851999999999</v>
      </c>
      <c r="V26" s="120">
        <v>19.843999999999998</v>
      </c>
      <c r="W26" s="134"/>
      <c r="X26" s="133">
        <f t="shared" si="14"/>
        <v>114043.9641</v>
      </c>
      <c r="Y26" s="131">
        <f t="shared" si="21"/>
        <v>268103.3542</v>
      </c>
    </row>
    <row r="27" spans="1:25" x14ac:dyDescent="0.25">
      <c r="A27" s="21">
        <v>22</v>
      </c>
      <c r="B27" s="3">
        <v>2021</v>
      </c>
      <c r="C27" s="8"/>
      <c r="D27" s="8"/>
      <c r="E27" s="8"/>
      <c r="F27" s="38">
        <f t="shared" si="15"/>
        <v>67112.777777777781</v>
      </c>
      <c r="G27" s="181">
        <f t="shared" si="16"/>
        <v>597888.65888888878</v>
      </c>
      <c r="H27" s="8"/>
      <c r="I27" s="65">
        <f t="shared" si="13"/>
        <v>37071.682203245713</v>
      </c>
      <c r="L27" s="48">
        <v>2021</v>
      </c>
      <c r="M27" s="85"/>
      <c r="N27" s="129">
        <f t="shared" si="17"/>
        <v>9389.5555555555547</v>
      </c>
      <c r="O27" s="86"/>
      <c r="P27" s="86">
        <f>P26+N23</f>
        <v>29554.555555555555</v>
      </c>
      <c r="Q27" s="111">
        <f t="shared" si="10"/>
        <v>9389.555555555562</v>
      </c>
      <c r="R27" s="86">
        <f t="shared" si="19"/>
        <v>0</v>
      </c>
      <c r="S27" s="86">
        <f t="shared" si="23"/>
        <v>67112.777777777781</v>
      </c>
      <c r="T27" s="86">
        <f t="shared" si="20"/>
        <v>597888.65888888878</v>
      </c>
      <c r="U27" s="86">
        <f t="shared" si="0"/>
        <v>119577.73177777776</v>
      </c>
      <c r="V27" s="99">
        <v>20.229999999999997</v>
      </c>
      <c r="W27" s="85"/>
      <c r="X27" s="86">
        <f t="shared" si="14"/>
        <v>170398.26778333331</v>
      </c>
      <c r="Y27" s="111">
        <f t="shared" si="21"/>
        <v>400585.40145555552</v>
      </c>
    </row>
    <row r="28" spans="1:25" x14ac:dyDescent="0.25">
      <c r="A28" s="21">
        <v>23</v>
      </c>
      <c r="B28" s="3">
        <v>2022</v>
      </c>
      <c r="C28" s="8"/>
      <c r="D28" s="8"/>
      <c r="E28" s="8"/>
      <c r="F28" s="38">
        <f t="shared" si="15"/>
        <v>76502.333333333343</v>
      </c>
      <c r="G28" s="181">
        <f t="shared" si="16"/>
        <v>802871.79466666654</v>
      </c>
      <c r="H28" s="8"/>
      <c r="I28" s="65">
        <f t="shared" si="13"/>
        <v>44530.504662538755</v>
      </c>
      <c r="L28" s="48">
        <v>2022</v>
      </c>
      <c r="M28" s="85"/>
      <c r="N28" s="129">
        <f t="shared" si="17"/>
        <v>9389.5555555555547</v>
      </c>
      <c r="O28" s="86"/>
      <c r="P28" s="86">
        <f t="shared" ref="P28:P36" si="24">P27+N24</f>
        <v>38944.111111111109</v>
      </c>
      <c r="Q28" s="111">
        <f t="shared" si="10"/>
        <v>9389.555555555562</v>
      </c>
      <c r="R28" s="86">
        <f t="shared" si="19"/>
        <v>0</v>
      </c>
      <c r="S28" s="86">
        <f t="shared" si="23"/>
        <v>76502.333333333343</v>
      </c>
      <c r="T28" s="86">
        <f t="shared" si="20"/>
        <v>802871.79466666654</v>
      </c>
      <c r="U28" s="86">
        <f t="shared" si="0"/>
        <v>160574.35893333331</v>
      </c>
      <c r="V28" s="99">
        <v>20.615999999999996</v>
      </c>
      <c r="W28" s="85"/>
      <c r="X28" s="86">
        <f t="shared" si="14"/>
        <v>228818.46148</v>
      </c>
      <c r="Y28" s="111">
        <f t="shared" si="21"/>
        <v>537924.10242666665</v>
      </c>
    </row>
    <row r="29" spans="1:25" x14ac:dyDescent="0.25">
      <c r="A29" s="21">
        <v>24</v>
      </c>
      <c r="B29" s="3">
        <v>2023</v>
      </c>
      <c r="C29" s="8"/>
      <c r="D29" s="8"/>
      <c r="E29" s="8"/>
      <c r="F29" s="38">
        <f t="shared" si="15"/>
        <v>85891.888888888905</v>
      </c>
      <c r="G29" s="181">
        <f t="shared" si="16"/>
        <v>1015103.6673333331</v>
      </c>
      <c r="H29" s="8"/>
      <c r="I29" s="65">
        <f t="shared" si="13"/>
        <v>53490.042200641554</v>
      </c>
      <c r="L29" s="48">
        <v>2023</v>
      </c>
      <c r="M29" s="85"/>
      <c r="N29" s="129">
        <f t="shared" si="17"/>
        <v>9389.5555555555547</v>
      </c>
      <c r="O29" s="86"/>
      <c r="P29" s="86">
        <f t="shared" si="24"/>
        <v>48333.666666666664</v>
      </c>
      <c r="Q29" s="111">
        <f t="shared" si="10"/>
        <v>9389.555555555562</v>
      </c>
      <c r="R29" s="86">
        <f t="shared" si="19"/>
        <v>0</v>
      </c>
      <c r="S29" s="86">
        <f t="shared" si="23"/>
        <v>85891.888888888905</v>
      </c>
      <c r="T29" s="86">
        <f t="shared" si="20"/>
        <v>1015103.6673333331</v>
      </c>
      <c r="U29" s="86">
        <f t="shared" si="0"/>
        <v>203020.73346666663</v>
      </c>
      <c r="V29" s="99">
        <v>21.001999999999995</v>
      </c>
      <c r="W29" s="85"/>
      <c r="X29" s="86">
        <f t="shared" si="14"/>
        <v>289304.54518999998</v>
      </c>
      <c r="Y29" s="111">
        <f t="shared" si="21"/>
        <v>680119.45711333316</v>
      </c>
    </row>
    <row r="30" spans="1:25" x14ac:dyDescent="0.25">
      <c r="A30" s="21">
        <v>25</v>
      </c>
      <c r="B30" s="3">
        <v>2024</v>
      </c>
      <c r="C30" s="8"/>
      <c r="D30" s="8"/>
      <c r="E30" s="8"/>
      <c r="F30" s="38">
        <f t="shared" si="15"/>
        <v>95281.444444444467</v>
      </c>
      <c r="G30" s="181">
        <f t="shared" si="16"/>
        <v>1234584.2768888886</v>
      </c>
      <c r="H30" s="8"/>
      <c r="I30" s="65">
        <f t="shared" si="13"/>
        <v>64252.238691410639</v>
      </c>
      <c r="L30" s="48">
        <v>2024</v>
      </c>
      <c r="M30" s="85"/>
      <c r="N30" s="129">
        <f t="shared" si="17"/>
        <v>9389.5555555555547</v>
      </c>
      <c r="O30" s="86"/>
      <c r="P30" s="86">
        <f t="shared" si="24"/>
        <v>57723.222222222219</v>
      </c>
      <c r="Q30" s="111">
        <f t="shared" si="10"/>
        <v>9389.555555555562</v>
      </c>
      <c r="R30" s="86">
        <f t="shared" si="19"/>
        <v>0</v>
      </c>
      <c r="S30" s="86">
        <f t="shared" si="23"/>
        <v>95281.444444444467</v>
      </c>
      <c r="T30" s="86">
        <f t="shared" si="20"/>
        <v>1234584.2768888886</v>
      </c>
      <c r="U30" s="86">
        <f t="shared" si="0"/>
        <v>246916.85537777771</v>
      </c>
      <c r="V30" s="99">
        <v>21.387999999999995</v>
      </c>
      <c r="W30" s="85"/>
      <c r="X30" s="86">
        <f t="shared" si="14"/>
        <v>351856.5189133333</v>
      </c>
      <c r="Y30" s="111">
        <f t="shared" si="21"/>
        <v>827171.46551555535</v>
      </c>
    </row>
    <row r="31" spans="1:25" x14ac:dyDescent="0.25">
      <c r="A31" s="21">
        <v>26</v>
      </c>
      <c r="B31" s="3">
        <v>2025</v>
      </c>
      <c r="C31" s="8"/>
      <c r="D31" s="8"/>
      <c r="E31" s="8"/>
      <c r="F31" s="38">
        <f t="shared" si="15"/>
        <v>104671.00000000003</v>
      </c>
      <c r="G31" s="181">
        <f t="shared" si="16"/>
        <v>1461313.6233333331</v>
      </c>
      <c r="H31" s="8"/>
      <c r="I31" s="65">
        <f t="shared" si="13"/>
        <v>77179.789116122469</v>
      </c>
      <c r="L31" s="48">
        <v>2025</v>
      </c>
      <c r="M31" s="85"/>
      <c r="N31" s="129">
        <f t="shared" si="17"/>
        <v>9389.5555555555547</v>
      </c>
      <c r="O31" s="86"/>
      <c r="P31" s="86">
        <f t="shared" si="24"/>
        <v>67112.777777777781</v>
      </c>
      <c r="Q31" s="111">
        <f t="shared" si="10"/>
        <v>9389.555555555562</v>
      </c>
      <c r="R31" s="86">
        <f t="shared" si="19"/>
        <v>0</v>
      </c>
      <c r="S31" s="86">
        <f t="shared" si="23"/>
        <v>104671.00000000003</v>
      </c>
      <c r="T31" s="86">
        <f t="shared" si="20"/>
        <v>1461313.6233333331</v>
      </c>
      <c r="U31" s="86">
        <f t="shared" si="0"/>
        <v>292262.72466666665</v>
      </c>
      <c r="V31" s="99">
        <v>21.773999999999994</v>
      </c>
      <c r="W31" s="85"/>
      <c r="X31" s="86">
        <f t="shared" si="14"/>
        <v>416474.38264999999</v>
      </c>
      <c r="Y31" s="111">
        <f t="shared" si="21"/>
        <v>979080.12763333321</v>
      </c>
    </row>
    <row r="32" spans="1:25" x14ac:dyDescent="0.25">
      <c r="A32" s="21">
        <v>27</v>
      </c>
      <c r="B32" s="3">
        <v>2026</v>
      </c>
      <c r="C32" s="8"/>
      <c r="D32" s="8"/>
      <c r="E32" s="8"/>
      <c r="F32" s="38">
        <f t="shared" si="15"/>
        <v>104671.00000000003</v>
      </c>
      <c r="G32" s="181">
        <f t="shared" si="16"/>
        <v>1695291.7066666663</v>
      </c>
      <c r="H32" s="8"/>
      <c r="I32" s="65">
        <f t="shared" si="13"/>
        <v>92708.362686286317</v>
      </c>
      <c r="L32" s="48">
        <v>2026</v>
      </c>
      <c r="M32" s="85"/>
      <c r="N32" s="129"/>
      <c r="O32" s="86"/>
      <c r="P32" s="86">
        <f t="shared" si="24"/>
        <v>76502.333333333343</v>
      </c>
      <c r="Q32" s="111">
        <f t="shared" si="10"/>
        <v>0</v>
      </c>
      <c r="R32" s="86">
        <f t="shared" si="19"/>
        <v>0</v>
      </c>
      <c r="S32" s="86">
        <f t="shared" si="23"/>
        <v>104671.00000000003</v>
      </c>
      <c r="T32" s="86">
        <f t="shared" si="20"/>
        <v>1695291.7066666663</v>
      </c>
      <c r="U32" s="86">
        <f t="shared" si="0"/>
        <v>339058.34133333329</v>
      </c>
      <c r="V32" s="99">
        <v>22.159999999999993</v>
      </c>
      <c r="W32" s="85"/>
      <c r="X32" s="86">
        <f t="shared" si="14"/>
        <v>483158.13639999996</v>
      </c>
      <c r="Y32" s="111">
        <f t="shared" si="21"/>
        <v>1135845.4434666664</v>
      </c>
    </row>
    <row r="33" spans="1:25" x14ac:dyDescent="0.25">
      <c r="A33" s="21">
        <v>28</v>
      </c>
      <c r="B33" s="3">
        <v>2027</v>
      </c>
      <c r="C33" s="8"/>
      <c r="D33" s="8"/>
      <c r="E33" s="8"/>
      <c r="F33" s="38">
        <f t="shared" si="15"/>
        <v>104671.00000000003</v>
      </c>
      <c r="G33" s="181">
        <f t="shared" si="16"/>
        <v>1936518.5268888886</v>
      </c>
      <c r="H33" s="8"/>
      <c r="I33" s="65">
        <f t="shared" si="13"/>
        <v>111361.28525876712</v>
      </c>
      <c r="L33" s="48">
        <v>2027</v>
      </c>
      <c r="M33" s="85"/>
      <c r="N33" s="129"/>
      <c r="O33" s="86"/>
      <c r="P33" s="86">
        <f t="shared" si="24"/>
        <v>85891.888888888905</v>
      </c>
      <c r="Q33" s="111">
        <f t="shared" si="10"/>
        <v>0</v>
      </c>
      <c r="R33" s="86">
        <f t="shared" si="19"/>
        <v>0</v>
      </c>
      <c r="S33" s="86">
        <f t="shared" si="23"/>
        <v>104671.00000000003</v>
      </c>
      <c r="T33" s="86">
        <f t="shared" si="20"/>
        <v>1936518.5268888886</v>
      </c>
      <c r="U33" s="86">
        <f t="shared" si="0"/>
        <v>387303.70537777775</v>
      </c>
      <c r="V33" s="99">
        <v>22.545999999999992</v>
      </c>
      <c r="W33" s="85"/>
      <c r="X33" s="86">
        <f t="shared" si="14"/>
        <v>551907.78016333329</v>
      </c>
      <c r="Y33" s="111">
        <f t="shared" si="21"/>
        <v>1297467.4130155554</v>
      </c>
    </row>
    <row r="34" spans="1:25" x14ac:dyDescent="0.25">
      <c r="A34" s="21">
        <v>29</v>
      </c>
      <c r="B34" s="3">
        <v>2028</v>
      </c>
      <c r="C34" s="8"/>
      <c r="D34" s="8"/>
      <c r="E34" s="8"/>
      <c r="F34" s="38">
        <f t="shared" si="15"/>
        <v>104671.00000000003</v>
      </c>
      <c r="G34" s="181">
        <f t="shared" si="16"/>
        <v>2184994.0839999998</v>
      </c>
      <c r="H34" s="8"/>
      <c r="I34" s="65">
        <f t="shared" si="13"/>
        <v>133767.17585283107</v>
      </c>
      <c r="L34" s="48">
        <v>2028</v>
      </c>
      <c r="M34" s="85"/>
      <c r="N34" s="129"/>
      <c r="O34" s="86"/>
      <c r="P34" s="86">
        <f t="shared" si="24"/>
        <v>95281.444444444467</v>
      </c>
      <c r="Q34" s="111">
        <f t="shared" si="10"/>
        <v>0</v>
      </c>
      <c r="R34" s="86">
        <f t="shared" si="19"/>
        <v>0</v>
      </c>
      <c r="S34" s="86">
        <f t="shared" si="23"/>
        <v>104671.00000000003</v>
      </c>
      <c r="T34" s="86">
        <f t="shared" si="20"/>
        <v>2184994.0839999998</v>
      </c>
      <c r="U34" s="86">
        <f t="shared" si="0"/>
        <v>436998.81679999997</v>
      </c>
      <c r="V34" s="99">
        <v>22.931999999999992</v>
      </c>
      <c r="W34" s="85"/>
      <c r="X34" s="86">
        <f t="shared" si="14"/>
        <v>622723.31394000002</v>
      </c>
      <c r="Y34" s="111">
        <f t="shared" si="21"/>
        <v>1463946.0362799999</v>
      </c>
    </row>
    <row r="35" spans="1:25" x14ac:dyDescent="0.25">
      <c r="A35" s="21">
        <v>30</v>
      </c>
      <c r="B35" s="3">
        <v>2029</v>
      </c>
      <c r="C35" s="8"/>
      <c r="D35" s="8"/>
      <c r="E35" s="8"/>
      <c r="F35" s="38">
        <f t="shared" si="15"/>
        <v>104671.00000000003</v>
      </c>
      <c r="G35" s="181">
        <f t="shared" si="16"/>
        <v>2440718.3779999996</v>
      </c>
      <c r="H35" s="8"/>
      <c r="I35" s="65">
        <f t="shared" si="13"/>
        <v>160681.13163442069</v>
      </c>
      <c r="L35" s="48">
        <v>2029</v>
      </c>
      <c r="M35" s="85"/>
      <c r="N35" s="129"/>
      <c r="O35" s="86"/>
      <c r="P35" s="86">
        <f t="shared" si="24"/>
        <v>104671.00000000003</v>
      </c>
      <c r="Q35" s="111">
        <f t="shared" si="10"/>
        <v>0</v>
      </c>
      <c r="R35" s="86">
        <f t="shared" si="19"/>
        <v>0</v>
      </c>
      <c r="S35" s="86">
        <f t="shared" si="23"/>
        <v>104671.00000000003</v>
      </c>
      <c r="T35" s="86">
        <f t="shared" si="20"/>
        <v>2440718.3779999996</v>
      </c>
      <c r="U35" s="86">
        <f t="shared" si="0"/>
        <v>488143.67559999996</v>
      </c>
      <c r="V35" s="99">
        <v>23.317999999999991</v>
      </c>
      <c r="W35" s="130"/>
      <c r="X35" s="86">
        <f>T35*($P$52+$P$53+$P$54)</f>
        <v>695604.73772999994</v>
      </c>
      <c r="Y35" s="111">
        <f t="shared" si="21"/>
        <v>1635281.3132599997</v>
      </c>
    </row>
    <row r="36" spans="1:25" x14ac:dyDescent="0.25">
      <c r="A36" s="21">
        <v>31</v>
      </c>
      <c r="B36" s="3">
        <v>2030</v>
      </c>
      <c r="C36" s="8"/>
      <c r="D36" s="8"/>
      <c r="E36" s="8"/>
      <c r="F36" s="38">
        <f t="shared" si="15"/>
        <v>104671.00000000003</v>
      </c>
      <c r="G36" s="181">
        <f t="shared" si="16"/>
        <v>2481121.3839999996</v>
      </c>
      <c r="H36" s="8"/>
      <c r="I36" s="65">
        <f>F36*70%</f>
        <v>73269.700000000012</v>
      </c>
      <c r="L36" s="150">
        <v>2030</v>
      </c>
      <c r="M36" s="134"/>
      <c r="N36" s="132"/>
      <c r="O36" s="133"/>
      <c r="P36" s="133">
        <f t="shared" si="24"/>
        <v>104671.00000000003</v>
      </c>
      <c r="Q36" s="131">
        <f t="shared" si="10"/>
        <v>0</v>
      </c>
      <c r="R36" s="133">
        <f t="shared" si="19"/>
        <v>0</v>
      </c>
      <c r="S36" s="133">
        <f t="shared" ref="S36" si="25">O36+P36+R36</f>
        <v>104671.00000000003</v>
      </c>
      <c r="T36" s="133">
        <f t="shared" si="20"/>
        <v>2481121.3839999996</v>
      </c>
      <c r="U36" s="133">
        <f t="shared" si="0"/>
        <v>496224.27679999993</v>
      </c>
      <c r="V36" s="120">
        <v>23.70399999999999</v>
      </c>
      <c r="W36" s="135" t="e">
        <f>((V36/V22)^(1/14)-1)</f>
        <v>#DIV/0!</v>
      </c>
      <c r="X36" s="134"/>
      <c r="Y36" s="134"/>
    </row>
    <row r="37" spans="1:25" x14ac:dyDescent="0.25">
      <c r="F37" s="43">
        <f>(F36/F22)^(1/14)-1</f>
        <v>0.12483216012206744</v>
      </c>
      <c r="I37" s="43">
        <f>(I36/I21)^(1/15)-1</f>
        <v>0.12608611643131207</v>
      </c>
      <c r="L37" s="73"/>
      <c r="M37" s="73"/>
      <c r="N37" s="73"/>
      <c r="O37" s="73"/>
      <c r="P37" s="75"/>
      <c r="Q37" s="115" t="s">
        <v>89</v>
      </c>
      <c r="R37" s="115" t="s">
        <v>90</v>
      </c>
      <c r="S37" s="115" t="s">
        <v>91</v>
      </c>
      <c r="T37" s="138">
        <v>0</v>
      </c>
      <c r="U37" s="139">
        <v>12</v>
      </c>
      <c r="V37" s="139">
        <f>T37+U37</f>
        <v>12</v>
      </c>
      <c r="W37" s="73"/>
      <c r="X37" s="73"/>
      <c r="Y37" s="73"/>
    </row>
    <row r="38" spans="1:25" x14ac:dyDescent="0.25">
      <c r="L38" s="73"/>
      <c r="M38" s="73"/>
      <c r="N38" s="73"/>
      <c r="O38" s="73"/>
      <c r="P38" s="73"/>
      <c r="Q38" s="137">
        <v>0</v>
      </c>
      <c r="R38" s="140">
        <f>(P26/6000)-Q38</f>
        <v>3.3608333333333333</v>
      </c>
      <c r="S38" s="137">
        <f>(P36/6000)-(Q38+R38)</f>
        <v>14.084333333333339</v>
      </c>
      <c r="T38" s="138">
        <f>SUM(Q38:S38)</f>
        <v>17.445166666666672</v>
      </c>
      <c r="U38" s="139">
        <f>T38-V37</f>
        <v>5.4451666666666725</v>
      </c>
      <c r="V38" s="139"/>
      <c r="W38" s="73"/>
      <c r="X38" s="73"/>
      <c r="Y38" s="73"/>
    </row>
    <row r="39" spans="1:25" x14ac:dyDescent="0.25">
      <c r="L39" s="73"/>
      <c r="M39" s="90" t="s">
        <v>57</v>
      </c>
      <c r="N39" s="90"/>
      <c r="O39" s="90"/>
      <c r="P39" s="73"/>
      <c r="Q39" s="73"/>
      <c r="R39" s="94">
        <f>R40/9</f>
        <v>9389.5555555555547</v>
      </c>
      <c r="S39" s="88"/>
      <c r="T39" s="73"/>
      <c r="U39" s="73"/>
      <c r="V39" s="73"/>
      <c r="W39" s="73"/>
      <c r="X39" s="73"/>
      <c r="Y39" s="73"/>
    </row>
    <row r="40" spans="1:25" x14ac:dyDescent="0.25">
      <c r="A40" s="1" t="s">
        <v>40</v>
      </c>
      <c r="B40" s="1"/>
      <c r="L40" s="73"/>
      <c r="M40" s="90" t="s">
        <v>65</v>
      </c>
      <c r="N40" s="90"/>
      <c r="O40" s="90"/>
      <c r="P40" s="73"/>
      <c r="Q40" s="73"/>
      <c r="R40" s="94">
        <f>R44-R41</f>
        <v>84506</v>
      </c>
      <c r="S40" s="88" t="s">
        <v>54</v>
      </c>
      <c r="T40" s="73"/>
      <c r="U40" s="73"/>
      <c r="V40" s="73"/>
      <c r="W40" s="73"/>
      <c r="X40" s="73"/>
      <c r="Y40" s="73"/>
    </row>
    <row r="41" spans="1:25" x14ac:dyDescent="0.25">
      <c r="A41" s="32">
        <v>1</v>
      </c>
      <c r="B41" s="1" t="s">
        <v>41</v>
      </c>
      <c r="L41" s="73"/>
      <c r="M41" s="90" t="s">
        <v>56</v>
      </c>
      <c r="N41" s="90"/>
      <c r="O41" s="90"/>
      <c r="P41" s="73"/>
      <c r="Q41" s="73"/>
      <c r="R41" s="152">
        <f>S22</f>
        <v>20165</v>
      </c>
      <c r="S41" s="88"/>
      <c r="T41" s="73"/>
      <c r="U41" s="73"/>
      <c r="V41" s="73"/>
      <c r="W41" s="73"/>
      <c r="X41" s="73"/>
      <c r="Y41" s="73"/>
    </row>
    <row r="42" spans="1:25" x14ac:dyDescent="0.25">
      <c r="A42" s="32">
        <v>2</v>
      </c>
      <c r="B42" s="1" t="s">
        <v>42</v>
      </c>
      <c r="L42" s="73"/>
      <c r="M42" s="91"/>
      <c r="N42" s="92"/>
      <c r="O42" s="92"/>
      <c r="P42" s="73"/>
      <c r="Q42" s="73"/>
      <c r="R42" s="73"/>
      <c r="S42" s="73"/>
      <c r="T42" s="73"/>
      <c r="U42" s="73"/>
      <c r="V42" s="73"/>
      <c r="W42" s="73"/>
      <c r="X42" s="73"/>
      <c r="Y42" s="73"/>
    </row>
    <row r="43" spans="1:25" x14ac:dyDescent="0.25">
      <c r="L43" s="73"/>
      <c r="M43" s="73" t="s">
        <v>66</v>
      </c>
      <c r="N43" s="73"/>
      <c r="O43" s="73"/>
      <c r="P43" s="73"/>
      <c r="Q43" s="73"/>
      <c r="R43" s="7">
        <v>275725</v>
      </c>
      <c r="S43" s="73" t="s">
        <v>58</v>
      </c>
      <c r="T43" s="73"/>
      <c r="U43" s="73"/>
      <c r="V43" s="73"/>
      <c r="W43" s="73"/>
      <c r="X43" s="73"/>
      <c r="Y43" s="73"/>
    </row>
    <row r="44" spans="1:25" x14ac:dyDescent="0.25">
      <c r="L44" s="73"/>
      <c r="M44" s="73" t="s">
        <v>59</v>
      </c>
      <c r="N44" s="73"/>
      <c r="O44" s="73"/>
      <c r="P44" s="73"/>
      <c r="Q44" s="112">
        <f>S36/R43</f>
        <v>0.37962099918396963</v>
      </c>
      <c r="R44" s="180">
        <v>104671</v>
      </c>
      <c r="S44" s="153" t="s">
        <v>64</v>
      </c>
      <c r="T44" s="73"/>
      <c r="U44" s="73"/>
      <c r="V44" s="73"/>
      <c r="W44" s="73"/>
      <c r="X44" s="73"/>
      <c r="Y44" s="73"/>
    </row>
    <row r="45" spans="1:25" x14ac:dyDescent="0.25">
      <c r="L45" s="73"/>
      <c r="M45" s="73" t="s">
        <v>60</v>
      </c>
      <c r="N45" s="73"/>
      <c r="O45" s="73"/>
      <c r="P45" s="73"/>
      <c r="Q45" s="73"/>
      <c r="R45" s="154">
        <f>S22-S21</f>
        <v>7824</v>
      </c>
      <c r="S45" s="73"/>
      <c r="T45" s="73"/>
      <c r="U45" s="73"/>
      <c r="V45" s="73"/>
      <c r="W45" s="73"/>
      <c r="X45" s="73"/>
      <c r="Y45" s="73"/>
    </row>
    <row r="46" spans="1:25" x14ac:dyDescent="0.25">
      <c r="L46" s="73"/>
      <c r="M46" s="90" t="s">
        <v>61</v>
      </c>
      <c r="N46" s="90"/>
      <c r="O46" s="90"/>
      <c r="P46" s="73"/>
      <c r="Q46" s="73"/>
      <c r="R46" s="155">
        <f>O22/4</f>
        <v>5041.25</v>
      </c>
      <c r="S46" s="73"/>
      <c r="T46" s="73"/>
      <c r="U46" s="73"/>
      <c r="V46" s="73"/>
      <c r="W46" s="73"/>
      <c r="X46" s="73"/>
      <c r="Y46" s="73"/>
    </row>
    <row r="47" spans="1:25" x14ac:dyDescent="0.25">
      <c r="L47" s="73"/>
      <c r="M47" s="90" t="s">
        <v>62</v>
      </c>
      <c r="N47" s="90"/>
      <c r="O47" s="90"/>
      <c r="P47" s="73"/>
      <c r="Q47" s="73"/>
      <c r="R47" s="156">
        <f>R39</f>
        <v>9389.5555555555547</v>
      </c>
      <c r="S47" s="73"/>
      <c r="T47" s="73"/>
      <c r="U47" s="73"/>
      <c r="V47" s="73"/>
      <c r="W47" s="73"/>
      <c r="X47" s="73"/>
      <c r="Y47" s="73"/>
    </row>
    <row r="48" spans="1:25" x14ac:dyDescent="0.25"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</row>
    <row r="49" spans="12:25" x14ac:dyDescent="0.25"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</row>
    <row r="50" spans="12:25" x14ac:dyDescent="0.25">
      <c r="L50" s="73"/>
      <c r="M50" s="92" t="s">
        <v>67</v>
      </c>
      <c r="N50" s="73"/>
      <c r="O50" s="73"/>
      <c r="P50" s="72"/>
      <c r="Q50" s="73">
        <v>10</v>
      </c>
      <c r="R50" s="73" t="s">
        <v>68</v>
      </c>
      <c r="S50" s="73"/>
      <c r="T50" s="73"/>
      <c r="U50" s="73"/>
      <c r="V50" s="73"/>
      <c r="W50" s="73"/>
      <c r="X50" s="73"/>
      <c r="Y50" s="73"/>
    </row>
    <row r="51" spans="12:25" x14ac:dyDescent="0.25">
      <c r="L51" s="73"/>
      <c r="M51" s="92" t="s">
        <v>69</v>
      </c>
      <c r="N51" s="73"/>
      <c r="O51" s="73"/>
      <c r="P51" s="107">
        <v>0.67</v>
      </c>
      <c r="Q51" s="73">
        <f>P51*$G$49</f>
        <v>0</v>
      </c>
      <c r="R51" s="73" t="s">
        <v>70</v>
      </c>
      <c r="S51" s="73" t="s">
        <v>71</v>
      </c>
      <c r="T51" s="73"/>
      <c r="U51" s="73"/>
      <c r="V51" s="73"/>
      <c r="W51" s="73"/>
      <c r="X51" s="73"/>
      <c r="Y51" s="73"/>
    </row>
    <row r="52" spans="12:25" x14ac:dyDescent="0.25">
      <c r="L52" s="73"/>
      <c r="M52" s="92" t="s">
        <v>72</v>
      </c>
      <c r="N52" s="73"/>
      <c r="O52" s="73"/>
      <c r="P52" s="107">
        <v>0.22</v>
      </c>
      <c r="Q52" s="73">
        <f t="shared" ref="Q52:Q56" si="26">P52*$G$49</f>
        <v>0</v>
      </c>
      <c r="R52" s="73" t="s">
        <v>68</v>
      </c>
      <c r="S52" s="73"/>
      <c r="T52" s="73"/>
      <c r="U52" s="73"/>
      <c r="V52" s="73"/>
      <c r="W52" s="73"/>
      <c r="X52" s="73"/>
      <c r="Y52" s="73"/>
    </row>
    <row r="53" spans="12:25" x14ac:dyDescent="0.25">
      <c r="L53" s="73"/>
      <c r="M53" s="92" t="s">
        <v>73</v>
      </c>
      <c r="N53" s="73"/>
      <c r="O53" s="73"/>
      <c r="P53" s="108">
        <v>5.0000000000000001E-3</v>
      </c>
      <c r="Q53" s="73">
        <f t="shared" si="26"/>
        <v>0</v>
      </c>
      <c r="R53" s="73" t="s">
        <v>68</v>
      </c>
      <c r="S53" s="73" t="s">
        <v>74</v>
      </c>
      <c r="T53" s="73"/>
      <c r="U53" s="73"/>
      <c r="V53" s="73"/>
      <c r="W53" s="73"/>
      <c r="X53" s="73"/>
      <c r="Y53" s="73"/>
    </row>
    <row r="54" spans="12:25" x14ac:dyDescent="0.25">
      <c r="L54" s="73"/>
      <c r="M54" s="92" t="s">
        <v>75</v>
      </c>
      <c r="N54" s="73"/>
      <c r="O54" s="73"/>
      <c r="P54" s="107">
        <v>0.06</v>
      </c>
      <c r="Q54" s="73">
        <f t="shared" si="26"/>
        <v>0</v>
      </c>
      <c r="R54" s="73" t="s">
        <v>68</v>
      </c>
      <c r="S54" s="73" t="s">
        <v>76</v>
      </c>
      <c r="T54" s="73"/>
      <c r="U54" s="73"/>
      <c r="V54" s="73"/>
      <c r="W54" s="73"/>
      <c r="X54" s="73"/>
      <c r="Y54" s="73"/>
    </row>
    <row r="55" spans="12:25" x14ac:dyDescent="0.25">
      <c r="L55" s="73"/>
      <c r="M55" s="92" t="s">
        <v>77</v>
      </c>
      <c r="N55" s="73"/>
      <c r="O55" s="73"/>
      <c r="P55" s="109">
        <v>0.13500000000000001</v>
      </c>
      <c r="Q55" s="73">
        <f t="shared" si="26"/>
        <v>0</v>
      </c>
      <c r="R55" s="73" t="s">
        <v>68</v>
      </c>
      <c r="S55" s="73" t="s">
        <v>78</v>
      </c>
      <c r="T55" s="73"/>
      <c r="U55" s="73"/>
      <c r="V55" s="73"/>
      <c r="W55" s="73"/>
      <c r="X55" s="73"/>
      <c r="Y55" s="73"/>
    </row>
    <row r="56" spans="12:25" x14ac:dyDescent="0.25">
      <c r="L56" s="73"/>
      <c r="M56" s="92" t="s">
        <v>79</v>
      </c>
      <c r="N56" s="73"/>
      <c r="O56" s="73"/>
      <c r="P56" s="109">
        <v>5.5E-2</v>
      </c>
      <c r="Q56" s="73">
        <f t="shared" si="26"/>
        <v>0</v>
      </c>
      <c r="R56" s="73" t="s">
        <v>68</v>
      </c>
      <c r="S56" s="73" t="s">
        <v>78</v>
      </c>
      <c r="T56" s="73"/>
      <c r="U56" s="73"/>
      <c r="V56" s="73"/>
      <c r="W56" s="73"/>
      <c r="X56" s="73"/>
      <c r="Y56" s="73"/>
    </row>
  </sheetData>
  <mergeCells count="3">
    <mergeCell ref="A4:A5"/>
    <mergeCell ref="B4:B5"/>
    <mergeCell ref="C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M7" sqref="M7"/>
    </sheetView>
  </sheetViews>
  <sheetFormatPr defaultRowHeight="15" x14ac:dyDescent="0.25"/>
  <cols>
    <col min="2" max="2" width="19.42578125" bestFit="1" customWidth="1"/>
    <col min="3" max="4" width="10.85546875" customWidth="1"/>
    <col min="12" max="12" width="13" customWidth="1"/>
    <col min="13" max="13" width="12.85546875" customWidth="1"/>
  </cols>
  <sheetData>
    <row r="1" spans="2:14" x14ac:dyDescent="0.25">
      <c r="E1" s="185" t="s">
        <v>102</v>
      </c>
      <c r="F1" s="185"/>
      <c r="G1" s="185"/>
      <c r="H1" s="165"/>
      <c r="I1" s="165"/>
      <c r="J1" s="165"/>
      <c r="K1" s="165"/>
      <c r="L1" s="186" t="s">
        <v>103</v>
      </c>
      <c r="M1" s="186"/>
    </row>
    <row r="2" spans="2:14" x14ac:dyDescent="0.25">
      <c r="B2" s="8"/>
      <c r="C2" s="158" t="s">
        <v>92</v>
      </c>
      <c r="D2" s="158" t="s">
        <v>69</v>
      </c>
      <c r="E2" s="158">
        <v>2020</v>
      </c>
      <c r="F2" s="158">
        <v>2030</v>
      </c>
      <c r="G2" s="158" t="s">
        <v>100</v>
      </c>
      <c r="H2" s="165">
        <v>2020</v>
      </c>
      <c r="I2" s="165"/>
      <c r="J2" s="165">
        <v>2030</v>
      </c>
      <c r="K2" s="165"/>
      <c r="L2" s="72">
        <v>2020</v>
      </c>
      <c r="M2" s="160">
        <v>2030</v>
      </c>
    </row>
    <row r="3" spans="2:14" x14ac:dyDescent="0.25">
      <c r="B3" s="157" t="s">
        <v>93</v>
      </c>
      <c r="C3" s="158">
        <v>8</v>
      </c>
      <c r="D3" s="158">
        <v>1</v>
      </c>
      <c r="E3" s="161">
        <f>BERAU!R38</f>
        <v>12.088666666666665</v>
      </c>
      <c r="F3" s="161">
        <f>BERAU!S38</f>
        <v>22.235000000000017</v>
      </c>
      <c r="G3" s="161">
        <f>C3+E3+F3</f>
        <v>42.323666666666682</v>
      </c>
      <c r="H3" s="166">
        <f>C3+E3</f>
        <v>20.088666666666665</v>
      </c>
      <c r="I3" s="166">
        <f>H3*10%</f>
        <v>2.0088666666666666</v>
      </c>
      <c r="J3" s="166">
        <f>F3+H3</f>
        <v>42.323666666666682</v>
      </c>
      <c r="K3" s="166">
        <f>J3*10%</f>
        <v>4.2323666666666684</v>
      </c>
      <c r="L3" s="138">
        <f t="shared" ref="L3:L10" si="0">C3+E3-D3</f>
        <v>19.088666666666665</v>
      </c>
      <c r="M3" s="138">
        <f t="shared" ref="M3:M10" si="1">F3+C3+E3-D3</f>
        <v>41.323666666666682</v>
      </c>
      <c r="N3" s="138"/>
    </row>
    <row r="4" spans="2:14" x14ac:dyDescent="0.25">
      <c r="B4" s="157" t="s">
        <v>94</v>
      </c>
      <c r="C4" s="158">
        <v>28</v>
      </c>
      <c r="D4" s="158">
        <v>1</v>
      </c>
      <c r="E4" s="161">
        <f>KUTIM!R38</f>
        <v>47.042666666666662</v>
      </c>
      <c r="F4" s="161">
        <f>KUTIM!S38</f>
        <v>22.812166666666684</v>
      </c>
      <c r="G4" s="161">
        <f>C4+E4+F4</f>
        <v>97.854833333333346</v>
      </c>
      <c r="H4" s="166">
        <f t="shared" ref="H4:H10" si="2">C4+E4</f>
        <v>75.042666666666662</v>
      </c>
      <c r="I4" s="166">
        <f t="shared" ref="I4:I10" si="3">H4*10%</f>
        <v>7.5042666666666662</v>
      </c>
      <c r="J4" s="166">
        <f t="shared" ref="J4:J10" si="4">F4+H4</f>
        <v>97.854833333333346</v>
      </c>
      <c r="K4" s="166">
        <f t="shared" ref="K4:K10" si="5">J4*10%</f>
        <v>9.7854833333333353</v>
      </c>
      <c r="L4" s="138">
        <f>C4+E4-D4</f>
        <v>74.042666666666662</v>
      </c>
      <c r="M4" s="138">
        <f>F4+C4+E4-D4</f>
        <v>96.854833333333346</v>
      </c>
      <c r="N4" s="138"/>
    </row>
    <row r="5" spans="2:14" x14ac:dyDescent="0.25">
      <c r="B5" s="157" t="s">
        <v>95</v>
      </c>
      <c r="C5" s="158">
        <v>13</v>
      </c>
      <c r="D5" s="158">
        <v>3</v>
      </c>
      <c r="E5" s="161">
        <f>KUKAR!R38</f>
        <v>20.54</v>
      </c>
      <c r="F5" s="161">
        <f>KUKAR!S38</f>
        <v>8.3698333333333181</v>
      </c>
      <c r="G5" s="161">
        <f t="shared" ref="G5:G9" si="6">C5+E5+F5</f>
        <v>41.909833333333317</v>
      </c>
      <c r="H5" s="166">
        <f t="shared" si="2"/>
        <v>33.54</v>
      </c>
      <c r="I5" s="166">
        <f t="shared" si="3"/>
        <v>3.3540000000000001</v>
      </c>
      <c r="J5" s="166">
        <f t="shared" si="4"/>
        <v>41.909833333333317</v>
      </c>
      <c r="K5" s="166">
        <f t="shared" si="5"/>
        <v>4.1909833333333317</v>
      </c>
      <c r="L5" s="138">
        <f t="shared" si="0"/>
        <v>30.54</v>
      </c>
      <c r="M5" s="138">
        <f t="shared" si="1"/>
        <v>38.909833333333317</v>
      </c>
      <c r="N5" s="138"/>
    </row>
    <row r="6" spans="2:14" x14ac:dyDescent="0.25">
      <c r="B6" s="157" t="s">
        <v>96</v>
      </c>
      <c r="C6" s="158">
        <v>4</v>
      </c>
      <c r="D6" s="158"/>
      <c r="E6" s="161">
        <f>KUBAR!R38</f>
        <v>17.245666666666665</v>
      </c>
      <c r="F6" s="161">
        <f>KUBAR!S38</f>
        <v>29.184166666666691</v>
      </c>
      <c r="G6" s="161">
        <f t="shared" si="6"/>
        <v>50.429833333333356</v>
      </c>
      <c r="H6" s="166">
        <f t="shared" si="2"/>
        <v>21.245666666666665</v>
      </c>
      <c r="I6" s="166">
        <f t="shared" si="3"/>
        <v>2.1245666666666665</v>
      </c>
      <c r="J6" s="166">
        <f t="shared" si="4"/>
        <v>50.429833333333356</v>
      </c>
      <c r="K6" s="166">
        <f t="shared" si="5"/>
        <v>5.0429833333333356</v>
      </c>
      <c r="L6" s="138">
        <f t="shared" si="0"/>
        <v>21.245666666666665</v>
      </c>
      <c r="M6" s="138">
        <f t="shared" si="1"/>
        <v>50.429833333333356</v>
      </c>
      <c r="N6" s="138"/>
    </row>
    <row r="7" spans="2:14" x14ac:dyDescent="0.25">
      <c r="B7" s="157" t="s">
        <v>97</v>
      </c>
      <c r="C7" s="158">
        <v>6</v>
      </c>
      <c r="D7" s="158"/>
      <c r="E7" s="161">
        <f>PPU!R38</f>
        <v>1.8603333333333332</v>
      </c>
      <c r="F7" s="161">
        <f>PPU!S38</f>
        <v>-1.6064999999999996</v>
      </c>
      <c r="G7" s="161">
        <f t="shared" si="6"/>
        <v>6.2538333333333336</v>
      </c>
      <c r="H7" s="166">
        <f t="shared" si="2"/>
        <v>7.8603333333333332</v>
      </c>
      <c r="I7" s="166">
        <f t="shared" si="3"/>
        <v>0.78603333333333336</v>
      </c>
      <c r="J7" s="166">
        <f t="shared" si="4"/>
        <v>6.2538333333333336</v>
      </c>
      <c r="K7" s="166">
        <f t="shared" si="5"/>
        <v>0.6253833333333334</v>
      </c>
      <c r="L7" s="138">
        <f t="shared" si="0"/>
        <v>7.8603333333333332</v>
      </c>
      <c r="M7" s="138">
        <f t="shared" si="1"/>
        <v>6.2538333333333336</v>
      </c>
      <c r="N7" s="138"/>
    </row>
    <row r="8" spans="2:14" x14ac:dyDescent="0.25">
      <c r="B8" s="157" t="s">
        <v>98</v>
      </c>
      <c r="C8" s="158">
        <v>16</v>
      </c>
      <c r="D8" s="158"/>
      <c r="E8" s="161">
        <f>PASER!R38</f>
        <v>13.952500000000001</v>
      </c>
      <c r="F8" s="161">
        <f>PASER!S38</f>
        <v>7.1128333333333131</v>
      </c>
      <c r="G8" s="161">
        <f t="shared" si="6"/>
        <v>37.065333333333314</v>
      </c>
      <c r="H8" s="166">
        <f t="shared" si="2"/>
        <v>29.952500000000001</v>
      </c>
      <c r="I8" s="166">
        <f t="shared" si="3"/>
        <v>2.9952500000000004</v>
      </c>
      <c r="J8" s="166">
        <f t="shared" si="4"/>
        <v>37.065333333333314</v>
      </c>
      <c r="K8" s="166">
        <f t="shared" si="5"/>
        <v>3.7065333333333315</v>
      </c>
      <c r="L8" s="138">
        <f t="shared" si="0"/>
        <v>29.952500000000001</v>
      </c>
      <c r="M8" s="138">
        <f t="shared" si="1"/>
        <v>37.065333333333314</v>
      </c>
      <c r="N8" s="138"/>
    </row>
    <row r="9" spans="2:14" x14ac:dyDescent="0.25">
      <c r="B9" s="157" t="s">
        <v>99</v>
      </c>
      <c r="C9" s="158">
        <v>0</v>
      </c>
      <c r="D9" s="158"/>
      <c r="E9" s="161">
        <v>1</v>
      </c>
      <c r="F9" s="161">
        <v>0</v>
      </c>
      <c r="G9" s="161">
        <f t="shared" si="6"/>
        <v>1</v>
      </c>
      <c r="H9" s="166">
        <f t="shared" si="2"/>
        <v>1</v>
      </c>
      <c r="I9" s="166">
        <f t="shared" si="3"/>
        <v>0.1</v>
      </c>
      <c r="J9" s="166">
        <f t="shared" si="4"/>
        <v>1</v>
      </c>
      <c r="K9" s="166">
        <f t="shared" si="5"/>
        <v>0.1</v>
      </c>
      <c r="L9" s="138">
        <f t="shared" si="0"/>
        <v>1</v>
      </c>
      <c r="M9" s="138">
        <f t="shared" si="1"/>
        <v>1</v>
      </c>
      <c r="N9" s="138"/>
    </row>
    <row r="10" spans="2:14" x14ac:dyDescent="0.25">
      <c r="B10" s="8" t="s">
        <v>101</v>
      </c>
      <c r="C10" s="159">
        <v>0</v>
      </c>
      <c r="D10" s="159"/>
      <c r="E10" s="162">
        <f>MAHULU!R38</f>
        <v>3.3608333333333333</v>
      </c>
      <c r="F10" s="161">
        <f>MAHULU!S38</f>
        <v>14.084333333333339</v>
      </c>
      <c r="G10" s="161">
        <f>F10+C10+E10</f>
        <v>17.445166666666672</v>
      </c>
      <c r="H10" s="166">
        <f t="shared" si="2"/>
        <v>3.3608333333333333</v>
      </c>
      <c r="I10" s="166">
        <f t="shared" si="3"/>
        <v>0.33608333333333335</v>
      </c>
      <c r="J10" s="166">
        <f t="shared" si="4"/>
        <v>17.445166666666672</v>
      </c>
      <c r="K10" s="166">
        <f t="shared" si="5"/>
        <v>1.7445166666666674</v>
      </c>
      <c r="L10" s="138">
        <f t="shared" si="0"/>
        <v>3.3608333333333333</v>
      </c>
      <c r="M10" s="138">
        <f t="shared" si="1"/>
        <v>17.445166666666672</v>
      </c>
      <c r="N10" s="138"/>
    </row>
    <row r="11" spans="2:14" x14ac:dyDescent="0.25">
      <c r="C11" s="158">
        <f>SUM(C3:C10)</f>
        <v>75</v>
      </c>
      <c r="D11" s="158"/>
      <c r="E11" s="161">
        <f>SUM(E3:E10)</f>
        <v>117.09066666666666</v>
      </c>
      <c r="F11" s="161">
        <f>SUM(F3:F10)</f>
        <v>102.19183333333335</v>
      </c>
      <c r="G11" s="161">
        <f>SUM(C11:F11)</f>
        <v>294.28250000000003</v>
      </c>
      <c r="H11" s="166">
        <f t="shared" ref="H11:M11" si="7">SUM(H3:H10)</f>
        <v>192.09066666666666</v>
      </c>
      <c r="I11" s="166">
        <f t="shared" si="7"/>
        <v>19.209066666666669</v>
      </c>
      <c r="J11" s="166">
        <f t="shared" si="7"/>
        <v>294.28250000000008</v>
      </c>
      <c r="K11" s="166">
        <f t="shared" si="7"/>
        <v>29.428250000000002</v>
      </c>
      <c r="L11" s="138">
        <f t="shared" si="7"/>
        <v>187.09066666666666</v>
      </c>
      <c r="M11" s="138">
        <f t="shared" si="7"/>
        <v>289.28250000000008</v>
      </c>
      <c r="N11" s="138"/>
    </row>
    <row r="12" spans="2:14" x14ac:dyDescent="0.25">
      <c r="E12" s="138"/>
      <c r="F12" s="138"/>
      <c r="G12" s="138"/>
      <c r="H12" s="138"/>
      <c r="I12" s="138"/>
      <c r="J12" s="138"/>
      <c r="K12" s="138"/>
      <c r="L12" s="138"/>
      <c r="M12" s="138">
        <f>M11+6</f>
        <v>295.28250000000008</v>
      </c>
      <c r="N12" s="72"/>
    </row>
    <row r="13" spans="2:14" x14ac:dyDescent="0.25">
      <c r="E13" s="7">
        <f>(C11+E11-5)*10%</f>
        <v>18.709066666666669</v>
      </c>
      <c r="F13" s="7">
        <f>(F11+E11+C11-5)*40%</f>
        <v>115.71300000000002</v>
      </c>
      <c r="G13" s="163"/>
      <c r="H13" s="7">
        <f>H11*10%</f>
        <v>19.209066666666669</v>
      </c>
      <c r="I13" s="7"/>
      <c r="J13" s="7">
        <f>J11*10%</f>
        <v>29.428250000000009</v>
      </c>
      <c r="K13" s="7"/>
      <c r="L13" s="7"/>
      <c r="M13" s="7"/>
    </row>
    <row r="14" spans="2:14" x14ac:dyDescent="0.25">
      <c r="E14" s="164">
        <f>E11+C11+5</f>
        <v>197.09066666666666</v>
      </c>
      <c r="J14" s="164">
        <f>J13-H13</f>
        <v>10.219183333333341</v>
      </c>
      <c r="K14" s="164"/>
    </row>
    <row r="15" spans="2:14" x14ac:dyDescent="0.25">
      <c r="D15" s="167">
        <f>8/75</f>
        <v>0.10666666666666667</v>
      </c>
    </row>
  </sheetData>
  <mergeCells count="2">
    <mergeCell ref="E1:G1"/>
    <mergeCell ref="L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O6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43" sqref="G43"/>
    </sheetView>
  </sheetViews>
  <sheetFormatPr defaultRowHeight="15" x14ac:dyDescent="0.25"/>
  <cols>
    <col min="1" max="1" width="3.7109375" style="73" bestFit="1" customWidth="1"/>
    <col min="2" max="2" width="9.140625" style="73"/>
    <col min="3" max="3" width="13.85546875" style="73" customWidth="1"/>
    <col min="4" max="4" width="19.42578125" style="73" customWidth="1"/>
    <col min="5" max="6" width="13.28515625" style="73" bestFit="1" customWidth="1"/>
    <col min="7" max="7" width="16.5703125" style="73" customWidth="1"/>
    <col min="8" max="8" width="14" style="73" bestFit="1" customWidth="1"/>
    <col min="9" max="9" width="13.28515625" style="73" bestFit="1" customWidth="1"/>
    <col min="10" max="10" width="15.28515625" style="73" bestFit="1" customWidth="1"/>
    <col min="11" max="11" width="14.28515625" style="73" bestFit="1" customWidth="1"/>
    <col min="12" max="12" width="15.7109375" style="73" customWidth="1"/>
    <col min="13" max="13" width="9.7109375" style="73" bestFit="1" customWidth="1"/>
    <col min="14" max="15" width="14.28515625" style="73" bestFit="1" customWidth="1"/>
    <col min="16" max="16384" width="9.140625" style="73"/>
  </cols>
  <sheetData>
    <row r="3" spans="1:15" ht="45" x14ac:dyDescent="0.25">
      <c r="A3" s="70" t="s">
        <v>1</v>
      </c>
      <c r="B3" s="70" t="s">
        <v>2</v>
      </c>
      <c r="C3" s="70" t="s">
        <v>63</v>
      </c>
      <c r="D3" s="70" t="s">
        <v>46</v>
      </c>
      <c r="E3" s="70" t="s">
        <v>7</v>
      </c>
      <c r="F3" s="70" t="s">
        <v>8</v>
      </c>
      <c r="G3" s="70" t="s">
        <v>47</v>
      </c>
      <c r="H3" s="70" t="s">
        <v>9</v>
      </c>
      <c r="I3" s="70" t="s">
        <v>38</v>
      </c>
      <c r="J3" s="71" t="s">
        <v>48</v>
      </c>
      <c r="K3" s="70" t="s">
        <v>49</v>
      </c>
      <c r="L3" s="70" t="s">
        <v>50</v>
      </c>
      <c r="M3" s="70" t="s">
        <v>51</v>
      </c>
      <c r="N3" s="70" t="s">
        <v>52</v>
      </c>
      <c r="O3" s="70" t="s">
        <v>53</v>
      </c>
    </row>
    <row r="4" spans="1:15" x14ac:dyDescent="0.25">
      <c r="B4" s="72">
        <f>'TOTAL KALTIM'!B6</f>
        <v>2000</v>
      </c>
      <c r="E4" s="74">
        <f>'TOTAL KALTIM'!C6</f>
        <v>0</v>
      </c>
      <c r="F4" s="74">
        <f>'TOTAL KALTIM'!D6</f>
        <v>0</v>
      </c>
      <c r="H4" s="74">
        <f>'TOTAL KALTIM'!E6</f>
        <v>0</v>
      </c>
      <c r="I4" s="74">
        <f>'TOTAL KALTIM'!F6</f>
        <v>0</v>
      </c>
      <c r="J4" s="74">
        <f>'TOTAL KALTIM'!G6</f>
        <v>0</v>
      </c>
      <c r="K4" s="74">
        <f>J4*20%</f>
        <v>0</v>
      </c>
      <c r="L4" s="83" t="e">
        <f>J4/F4</f>
        <v>#DIV/0!</v>
      </c>
      <c r="N4" s="74">
        <f>J4*($F$51+$F$54+$F$55)</f>
        <v>0</v>
      </c>
      <c r="O4" s="75">
        <f>J4*$F$50</f>
        <v>0</v>
      </c>
    </row>
    <row r="5" spans="1:15" x14ac:dyDescent="0.25">
      <c r="B5" s="72">
        <f>'TOTAL KALTIM'!B7</f>
        <v>2001</v>
      </c>
      <c r="E5" s="74">
        <f>'TOTAL KALTIM'!C7</f>
        <v>0</v>
      </c>
      <c r="F5" s="74">
        <f>'TOTAL KALTIM'!D7</f>
        <v>0</v>
      </c>
      <c r="H5" s="74">
        <f>'TOTAL KALTIM'!E7</f>
        <v>0</v>
      </c>
      <c r="I5" s="74">
        <f>'TOTAL KALTIM'!F7</f>
        <v>0</v>
      </c>
      <c r="J5" s="74">
        <f>'TOTAL KALTIM'!G7</f>
        <v>0</v>
      </c>
      <c r="K5" s="74">
        <f t="shared" ref="K5:K34" si="0">J5*20%</f>
        <v>0</v>
      </c>
      <c r="L5" s="83" t="e">
        <f t="shared" ref="L5:L19" si="1">J5/F5</f>
        <v>#DIV/0!</v>
      </c>
      <c r="N5" s="74">
        <f t="shared" ref="N5:N34" si="2">J5*($F$51+$F$54+$F$55)</f>
        <v>0</v>
      </c>
      <c r="O5" s="75">
        <f t="shared" ref="O5:O34" si="3">J5*$F$50</f>
        <v>0</v>
      </c>
    </row>
    <row r="6" spans="1:15" x14ac:dyDescent="0.25">
      <c r="B6" s="72">
        <f>'TOTAL KALTIM'!B8</f>
        <v>2002</v>
      </c>
      <c r="E6" s="74">
        <f>'TOTAL KALTIM'!C8</f>
        <v>0</v>
      </c>
      <c r="F6" s="74">
        <f>'TOTAL KALTIM'!D8</f>
        <v>0</v>
      </c>
      <c r="H6" s="74">
        <f>'TOTAL KALTIM'!E8</f>
        <v>0</v>
      </c>
      <c r="I6" s="74">
        <f>'TOTAL KALTIM'!F8</f>
        <v>0</v>
      </c>
      <c r="J6" s="74">
        <f>'TOTAL KALTIM'!G8</f>
        <v>0</v>
      </c>
      <c r="K6" s="74">
        <f t="shared" si="0"/>
        <v>0</v>
      </c>
      <c r="L6" s="83" t="e">
        <f t="shared" si="1"/>
        <v>#DIV/0!</v>
      </c>
      <c r="N6" s="74">
        <f t="shared" si="2"/>
        <v>0</v>
      </c>
      <c r="O6" s="75">
        <f t="shared" si="3"/>
        <v>0</v>
      </c>
    </row>
    <row r="7" spans="1:15" x14ac:dyDescent="0.25">
      <c r="B7" s="72">
        <f>'TOTAL KALTIM'!B9</f>
        <v>2003</v>
      </c>
      <c r="E7" s="74">
        <f>'TOTAL KALTIM'!C9</f>
        <v>0</v>
      </c>
      <c r="F7" s="74">
        <f>'TOTAL KALTIM'!D9</f>
        <v>0</v>
      </c>
      <c r="H7" s="74">
        <f>'TOTAL KALTIM'!E9</f>
        <v>0</v>
      </c>
      <c r="I7" s="12">
        <f>'TOTAL KALTIM'!F9</f>
        <v>127207.5</v>
      </c>
      <c r="J7" s="74">
        <f>'TOTAL KALTIM'!G9</f>
        <v>760293</v>
      </c>
      <c r="K7" s="74">
        <f t="shared" si="0"/>
        <v>152058.6</v>
      </c>
      <c r="L7" s="83" t="e">
        <f t="shared" si="1"/>
        <v>#DIV/0!</v>
      </c>
      <c r="N7" s="74">
        <f t="shared" si="2"/>
        <v>311720.13</v>
      </c>
      <c r="O7" s="75">
        <f t="shared" si="3"/>
        <v>509396.31000000006</v>
      </c>
    </row>
    <row r="8" spans="1:15" x14ac:dyDescent="0.25">
      <c r="B8" s="72">
        <f>'TOTAL KALTIM'!B10</f>
        <v>2004</v>
      </c>
      <c r="E8" s="74">
        <f>'TOTAL KALTIM'!C10</f>
        <v>0</v>
      </c>
      <c r="F8" s="74">
        <f>'TOTAL KALTIM'!D10</f>
        <v>0</v>
      </c>
      <c r="G8" s="111">
        <f>I8-I7</f>
        <v>19301</v>
      </c>
      <c r="H8" s="74">
        <f>'TOTAL KALTIM'!E10</f>
        <v>0</v>
      </c>
      <c r="I8" s="12">
        <f>'TOTAL KALTIM'!F10</f>
        <v>146508.5</v>
      </c>
      <c r="J8" s="74">
        <f>'TOTAL KALTIM'!G10</f>
        <v>957054</v>
      </c>
      <c r="K8" s="74">
        <f t="shared" si="0"/>
        <v>191410.80000000002</v>
      </c>
      <c r="L8" s="83" t="e">
        <f t="shared" si="1"/>
        <v>#DIV/0!</v>
      </c>
      <c r="N8" s="74">
        <f t="shared" si="2"/>
        <v>392392.13999999996</v>
      </c>
      <c r="O8" s="75">
        <f t="shared" si="3"/>
        <v>641226.18000000005</v>
      </c>
    </row>
    <row r="9" spans="1:15" x14ac:dyDescent="0.25">
      <c r="B9" s="72">
        <f>'TOTAL KALTIM'!B11</f>
        <v>2005</v>
      </c>
      <c r="E9" s="74">
        <f>'TOTAL KALTIM'!C11</f>
        <v>0</v>
      </c>
      <c r="F9" s="74">
        <f>'TOTAL KALTIM'!D11</f>
        <v>0</v>
      </c>
      <c r="G9" s="111">
        <f t="shared" ref="G9:G13" si="4">I9-I8</f>
        <v>22544</v>
      </c>
      <c r="H9" s="74">
        <f>'TOTAL KALTIM'!E11</f>
        <v>0</v>
      </c>
      <c r="I9" s="12">
        <f>'TOTAL KALTIM'!F11</f>
        <v>169052.5</v>
      </c>
      <c r="J9" s="74">
        <f>'TOTAL KALTIM'!G11</f>
        <v>997284.5</v>
      </c>
      <c r="K9" s="74">
        <f t="shared" si="0"/>
        <v>199456.90000000002</v>
      </c>
      <c r="L9" s="83" t="e">
        <f t="shared" si="1"/>
        <v>#DIV/0!</v>
      </c>
      <c r="N9" s="74">
        <f t="shared" si="2"/>
        <v>408886.64499999996</v>
      </c>
      <c r="O9" s="75">
        <f t="shared" si="3"/>
        <v>668180.61499999999</v>
      </c>
    </row>
    <row r="10" spans="1:15" x14ac:dyDescent="0.25">
      <c r="B10" s="72">
        <f>'TOTAL KALTIM'!B12</f>
        <v>2006</v>
      </c>
      <c r="E10" s="74">
        <f>'TOTAL KALTIM'!C12</f>
        <v>11479</v>
      </c>
      <c r="F10" s="74">
        <f>'TOTAL KALTIM'!D12</f>
        <v>0</v>
      </c>
      <c r="G10" s="111">
        <f t="shared" si="4"/>
        <v>19867</v>
      </c>
      <c r="H10" s="74">
        <f>'TOTAL KALTIM'!E12</f>
        <v>0</v>
      </c>
      <c r="I10" s="12">
        <f>'TOTAL KALTIM'!F12</f>
        <v>188919.5</v>
      </c>
      <c r="J10" s="74">
        <f>'TOTAL KALTIM'!G12</f>
        <v>1260089.5</v>
      </c>
      <c r="K10" s="74">
        <f t="shared" si="0"/>
        <v>252017.90000000002</v>
      </c>
      <c r="L10" s="83" t="e">
        <f t="shared" si="1"/>
        <v>#DIV/0!</v>
      </c>
      <c r="N10" s="74">
        <f t="shared" si="2"/>
        <v>516636.69499999995</v>
      </c>
      <c r="O10" s="75">
        <f t="shared" si="3"/>
        <v>844259.96500000008</v>
      </c>
    </row>
    <row r="11" spans="1:15" x14ac:dyDescent="0.25">
      <c r="B11" s="72">
        <f>'TOTAL KALTIM'!B13</f>
        <v>2007</v>
      </c>
      <c r="E11" s="74">
        <f>'TOTAL KALTIM'!C13</f>
        <v>24928</v>
      </c>
      <c r="F11" s="74">
        <f>'TOTAL KALTIM'!D13</f>
        <v>3625</v>
      </c>
      <c r="G11" s="111">
        <f t="shared" si="4"/>
        <v>90472</v>
      </c>
      <c r="H11" s="74">
        <f>'TOTAL KALTIM'!E13</f>
        <v>0</v>
      </c>
      <c r="I11" s="12">
        <f>'TOTAL KALTIM'!F13</f>
        <v>279391.5</v>
      </c>
      <c r="J11" s="74">
        <f>'TOTAL KALTIM'!G13</f>
        <v>1403957</v>
      </c>
      <c r="K11" s="74">
        <f t="shared" si="0"/>
        <v>280791.40000000002</v>
      </c>
      <c r="L11" s="83">
        <f t="shared" si="1"/>
        <v>387.29848275862071</v>
      </c>
      <c r="N11" s="74">
        <f t="shared" si="2"/>
        <v>575622.37</v>
      </c>
      <c r="O11" s="75">
        <f t="shared" si="3"/>
        <v>940651.19000000006</v>
      </c>
    </row>
    <row r="12" spans="1:15" x14ac:dyDescent="0.25">
      <c r="B12" s="72">
        <f>'TOTAL KALTIM'!B14</f>
        <v>2008</v>
      </c>
      <c r="E12" s="74">
        <f>'TOTAL KALTIM'!C14</f>
        <v>27469</v>
      </c>
      <c r="F12" s="74">
        <f>'TOTAL KALTIM'!D14</f>
        <v>3634.5</v>
      </c>
      <c r="G12" s="111">
        <f t="shared" si="4"/>
        <v>67563</v>
      </c>
      <c r="H12" s="74">
        <f>'TOTAL KALTIM'!E14</f>
        <v>0</v>
      </c>
      <c r="I12" s="12">
        <f>'TOTAL KALTIM'!F14</f>
        <v>346954.5</v>
      </c>
      <c r="J12" s="74">
        <f>'TOTAL KALTIM'!G14</f>
        <v>1642557</v>
      </c>
      <c r="K12" s="74">
        <f t="shared" si="0"/>
        <v>328511.40000000002</v>
      </c>
      <c r="L12" s="83">
        <f t="shared" si="1"/>
        <v>451.9347915806851</v>
      </c>
      <c r="N12" s="74">
        <f t="shared" si="2"/>
        <v>673448.37</v>
      </c>
      <c r="O12" s="75">
        <f t="shared" si="3"/>
        <v>1100513.1900000002</v>
      </c>
    </row>
    <row r="13" spans="1:15" x14ac:dyDescent="0.25">
      <c r="B13" s="72">
        <f>'TOTAL KALTIM'!B15</f>
        <v>2009</v>
      </c>
      <c r="E13" s="74">
        <f>'TOTAL KALTIM'!C15</f>
        <v>32219.5</v>
      </c>
      <c r="F13" s="74">
        <f>'TOTAL KALTIM'!D15</f>
        <v>6758.5</v>
      </c>
      <c r="G13" s="111">
        <f t="shared" si="4"/>
        <v>115038.5</v>
      </c>
      <c r="H13" s="74">
        <f>'TOTAL KALTIM'!E15</f>
        <v>0</v>
      </c>
      <c r="I13" s="12">
        <f>'TOTAL KALTIM'!F15</f>
        <v>461993</v>
      </c>
      <c r="J13" s="74">
        <f>'TOTAL KALTIM'!G15</f>
        <v>2505734.5</v>
      </c>
      <c r="K13" s="74">
        <f t="shared" si="0"/>
        <v>501146.9</v>
      </c>
      <c r="L13" s="83">
        <f t="shared" si="1"/>
        <v>370.75305171265813</v>
      </c>
      <c r="N13" s="74">
        <f t="shared" si="2"/>
        <v>1027351.1449999999</v>
      </c>
      <c r="O13" s="75">
        <f t="shared" si="3"/>
        <v>1678842.115</v>
      </c>
    </row>
    <row r="14" spans="1:15" x14ac:dyDescent="0.25">
      <c r="B14" s="84">
        <f>'TOTAL KALTIM'!B16</f>
        <v>2010</v>
      </c>
      <c r="C14" s="85"/>
      <c r="D14" s="85"/>
      <c r="E14" s="86">
        <f>'TOTAL KALTIM'!C16</f>
        <v>363192</v>
      </c>
      <c r="F14" s="86">
        <f>'TOTAL KALTIM'!D16</f>
        <v>190509</v>
      </c>
      <c r="G14" s="111">
        <f>I14-I13</f>
        <v>101568</v>
      </c>
      <c r="H14" s="86">
        <f>'TOTAL KALTIM'!E16</f>
        <v>9860</v>
      </c>
      <c r="I14" s="173">
        <f>'TOTAL KALTIM'!F16</f>
        <v>563561</v>
      </c>
      <c r="J14" s="86">
        <f>'TOTAL KALTIM'!G16</f>
        <v>2961069</v>
      </c>
      <c r="K14" s="86">
        <f t="shared" si="0"/>
        <v>592213.80000000005</v>
      </c>
      <c r="L14" s="87">
        <f t="shared" si="1"/>
        <v>15.54293497944979</v>
      </c>
      <c r="N14" s="74">
        <f t="shared" si="2"/>
        <v>1214038.29</v>
      </c>
      <c r="O14" s="75">
        <f t="shared" si="3"/>
        <v>1983916.2300000002</v>
      </c>
    </row>
    <row r="15" spans="1:15" x14ac:dyDescent="0.25">
      <c r="B15" s="84">
        <f>'TOTAL KALTIM'!B17</f>
        <v>2011</v>
      </c>
      <c r="C15" s="85"/>
      <c r="D15" s="85"/>
      <c r="E15" s="86">
        <f>'TOTAL KALTIM'!C17</f>
        <v>425605</v>
      </c>
      <c r="F15" s="86">
        <f>'TOTAL KALTIM'!D17</f>
        <v>279568</v>
      </c>
      <c r="G15" s="111">
        <f t="shared" ref="G15:G19" si="5">I15-I14</f>
        <v>152759</v>
      </c>
      <c r="H15" s="86">
        <f>'TOTAL KALTIM'!E17</f>
        <v>11147</v>
      </c>
      <c r="I15" s="173">
        <f>'TOTAL KALTIM'!F17</f>
        <v>716320</v>
      </c>
      <c r="J15" s="173">
        <f>'TOTAL KALTIM'!G17</f>
        <v>4081782</v>
      </c>
      <c r="K15" s="86">
        <f t="shared" si="0"/>
        <v>816356.4</v>
      </c>
      <c r="L15" s="87">
        <f t="shared" si="1"/>
        <v>14.600319063698278</v>
      </c>
      <c r="N15" s="74">
        <f t="shared" si="2"/>
        <v>1673530.6199999999</v>
      </c>
      <c r="O15" s="75">
        <f t="shared" si="3"/>
        <v>2734793.94</v>
      </c>
    </row>
    <row r="16" spans="1:15" x14ac:dyDescent="0.25">
      <c r="B16" s="84">
        <f>'TOTAL KALTIM'!B18</f>
        <v>2012</v>
      </c>
      <c r="C16" s="85"/>
      <c r="D16" s="85"/>
      <c r="E16" s="86">
        <f>'TOTAL KALTIM'!C18</f>
        <v>485484</v>
      </c>
      <c r="F16" s="86">
        <f>'TOTAL KALTIM'!D18</f>
        <v>335904</v>
      </c>
      <c r="G16" s="111">
        <f t="shared" si="5"/>
        <v>108093</v>
      </c>
      <c r="H16" s="86">
        <f>'TOTAL KALTIM'!E18</f>
        <v>3025</v>
      </c>
      <c r="I16" s="173">
        <f>'TOTAL KALTIM'!F18</f>
        <v>824413</v>
      </c>
      <c r="J16" s="173">
        <f>'TOTAL KALTIM'!G18</f>
        <v>5221016</v>
      </c>
      <c r="K16" s="86">
        <f t="shared" si="0"/>
        <v>1044203.2000000001</v>
      </c>
      <c r="L16" s="87">
        <f t="shared" si="1"/>
        <v>15.543179003524816</v>
      </c>
      <c r="N16" s="74">
        <f t="shared" si="2"/>
        <v>2140616.56</v>
      </c>
      <c r="O16" s="75">
        <f t="shared" si="3"/>
        <v>3498080.72</v>
      </c>
    </row>
    <row r="17" spans="2:15" x14ac:dyDescent="0.25">
      <c r="B17" s="84">
        <f>'TOTAL KALTIM'!B19</f>
        <v>2013</v>
      </c>
      <c r="C17" s="85"/>
      <c r="D17" s="85"/>
      <c r="E17" s="86">
        <f>'TOTAL KALTIM'!C19</f>
        <v>542295</v>
      </c>
      <c r="F17" s="86">
        <f>'TOTAL KALTIM'!D19</f>
        <v>397635</v>
      </c>
      <c r="G17" s="111">
        <f t="shared" si="5"/>
        <v>120413</v>
      </c>
      <c r="H17" s="86">
        <f>'TOTAL KALTIM'!E19</f>
        <v>4896</v>
      </c>
      <c r="I17" s="173">
        <f>'TOTAL KALTIM'!F19</f>
        <v>944826</v>
      </c>
      <c r="J17" s="173">
        <f>'TOTAL KALTIM'!G19</f>
        <v>6901602</v>
      </c>
      <c r="K17" s="86">
        <f t="shared" si="0"/>
        <v>1380320.4000000001</v>
      </c>
      <c r="L17" s="87">
        <f t="shared" si="1"/>
        <v>17.35662605152967</v>
      </c>
      <c r="N17" s="74">
        <f t="shared" si="2"/>
        <v>2829656.82</v>
      </c>
      <c r="O17" s="75">
        <f t="shared" si="3"/>
        <v>4624073.34</v>
      </c>
    </row>
    <row r="18" spans="2:15" x14ac:dyDescent="0.25">
      <c r="B18" s="84">
        <f>'TOTAL KALTIM'!B20</f>
        <v>2014</v>
      </c>
      <c r="C18" s="85"/>
      <c r="D18" s="85"/>
      <c r="E18" s="86">
        <f>'TOTAL KALTIM'!C20</f>
        <v>515917</v>
      </c>
      <c r="F18" s="86">
        <f>'TOTAL KALTIM'!D20</f>
        <v>500512</v>
      </c>
      <c r="G18" s="111">
        <f t="shared" si="5"/>
        <v>75587</v>
      </c>
      <c r="H18" s="86">
        <f>'TOTAL KALTIM'!E20</f>
        <v>3984</v>
      </c>
      <c r="I18" s="173">
        <f>'TOTAL KALTIM'!F20</f>
        <v>1020413</v>
      </c>
      <c r="J18" s="173">
        <f>'TOTAL KALTIM'!G20</f>
        <v>9628072</v>
      </c>
      <c r="K18" s="86">
        <f t="shared" si="0"/>
        <v>1925614.4000000001</v>
      </c>
      <c r="L18" s="87">
        <f t="shared" si="1"/>
        <v>19.236445879419474</v>
      </c>
      <c r="N18" s="74">
        <f t="shared" si="2"/>
        <v>3947509.5199999996</v>
      </c>
      <c r="O18" s="75">
        <f t="shared" si="3"/>
        <v>6450808.2400000002</v>
      </c>
    </row>
    <row r="19" spans="2:15" x14ac:dyDescent="0.25">
      <c r="B19" s="84">
        <f>'TOTAL KALTIM'!B21</f>
        <v>2015</v>
      </c>
      <c r="C19" s="85"/>
      <c r="D19" s="85"/>
      <c r="E19" s="86">
        <f>'TOTAL KALTIM'!C21</f>
        <v>464585</v>
      </c>
      <c r="F19" s="86">
        <f>'TOTAL KALTIM'!D21</f>
        <v>621777</v>
      </c>
      <c r="G19" s="111">
        <f t="shared" si="5"/>
        <v>69693</v>
      </c>
      <c r="H19" s="86">
        <f>'TOTAL KALTIM'!E21</f>
        <v>3744</v>
      </c>
      <c r="I19" s="173">
        <f>'TOTAL KALTIM'!F21</f>
        <v>1090106</v>
      </c>
      <c r="J19" s="173">
        <f>'TOTAL KALTIM'!G21</f>
        <v>10812893</v>
      </c>
      <c r="K19" s="86">
        <f t="shared" si="0"/>
        <v>2162578.6</v>
      </c>
      <c r="L19" s="87">
        <f t="shared" si="1"/>
        <v>17.390307135838089</v>
      </c>
      <c r="N19" s="74">
        <f t="shared" si="2"/>
        <v>4433286.13</v>
      </c>
      <c r="O19" s="75">
        <f t="shared" si="3"/>
        <v>7244638.3100000005</v>
      </c>
    </row>
    <row r="20" spans="2:15" x14ac:dyDescent="0.25">
      <c r="B20" s="84">
        <f>'TOTAL KALTIM'!B22</f>
        <v>2016</v>
      </c>
      <c r="C20" s="85"/>
      <c r="D20" s="85"/>
      <c r="E20" s="86">
        <f>'TOTAL KALTIM'!C22</f>
        <v>384084</v>
      </c>
      <c r="F20" s="86">
        <f>'TOTAL KALTIM'!D22</f>
        <v>763896</v>
      </c>
      <c r="G20" s="111">
        <f t="shared" ref="G20" si="6">I20-I19</f>
        <v>59972</v>
      </c>
      <c r="H20" s="86">
        <f>'TOTAL KALTIM'!E22</f>
        <v>2098</v>
      </c>
      <c r="I20" s="173">
        <f>'TOTAL KALTIM'!F22</f>
        <v>1150078</v>
      </c>
      <c r="J20" s="173">
        <f>'TOTAL KALTIM'!G22</f>
        <v>11418110</v>
      </c>
      <c r="K20" s="86">
        <f t="shared" si="0"/>
        <v>2283622</v>
      </c>
      <c r="L20" s="87">
        <f>J20/F20</f>
        <v>14.947204855111167</v>
      </c>
      <c r="N20" s="74">
        <f>J20*($F$51+$F$54+$F$55)</f>
        <v>4681425.0999999996</v>
      </c>
      <c r="O20" s="75">
        <f t="shared" si="3"/>
        <v>7650133.7000000002</v>
      </c>
    </row>
    <row r="21" spans="2:15" x14ac:dyDescent="0.25">
      <c r="B21" s="95">
        <f>'TOTAL KALTIM'!B23</f>
        <v>2017</v>
      </c>
      <c r="C21" s="96">
        <f>E20-H45</f>
        <v>288063</v>
      </c>
      <c r="D21" s="97">
        <f>H38</f>
        <v>68200</v>
      </c>
      <c r="E21" s="98">
        <f>C21+D21</f>
        <v>356263</v>
      </c>
      <c r="F21" s="98">
        <f>F20+$H$45</f>
        <v>859917</v>
      </c>
      <c r="G21" s="96">
        <f t="shared" ref="G21:G34" si="7">I21-I20</f>
        <v>68200</v>
      </c>
      <c r="H21" s="98">
        <f>H20</f>
        <v>2098</v>
      </c>
      <c r="I21" s="171">
        <f>E21+F21+H21</f>
        <v>1218278</v>
      </c>
      <c r="J21" s="171">
        <f>F21*L21</f>
        <v>16068409.062000001</v>
      </c>
      <c r="K21" s="98">
        <f t="shared" si="0"/>
        <v>3213681.8124000002</v>
      </c>
      <c r="L21" s="99">
        <v>18.686</v>
      </c>
      <c r="M21" s="100"/>
      <c r="N21" s="74">
        <f t="shared" si="2"/>
        <v>6588047.7154200003</v>
      </c>
      <c r="O21" s="75">
        <f t="shared" si="3"/>
        <v>10765834.071540002</v>
      </c>
    </row>
    <row r="22" spans="2:15" x14ac:dyDescent="0.25">
      <c r="B22" s="95">
        <f>'TOTAL KALTIM'!B24</f>
        <v>2018</v>
      </c>
      <c r="C22" s="96">
        <f>C21-H45</f>
        <v>192042</v>
      </c>
      <c r="D22" s="97">
        <f t="shared" ref="D22:D29" si="8">D21</f>
        <v>68200</v>
      </c>
      <c r="E22" s="98">
        <f>C22+D22</f>
        <v>260242</v>
      </c>
      <c r="F22" s="98">
        <f>F21+$H$45</f>
        <v>955938</v>
      </c>
      <c r="G22" s="96">
        <f t="shared" si="7"/>
        <v>68200</v>
      </c>
      <c r="H22" s="98">
        <f t="shared" ref="H22:H34" si="9">H21</f>
        <v>2098</v>
      </c>
      <c r="I22" s="171">
        <f>E22+F22+H22+D22</f>
        <v>1286478</v>
      </c>
      <c r="J22" s="171">
        <f t="shared" ref="J22:J33" si="10">F22*L22</f>
        <v>18231649.535999998</v>
      </c>
      <c r="K22" s="98">
        <f t="shared" si="0"/>
        <v>3646329.9071999998</v>
      </c>
      <c r="L22" s="99">
        <v>19.071999999999999</v>
      </c>
      <c r="M22" s="100"/>
      <c r="N22" s="74">
        <f t="shared" si="2"/>
        <v>7474976.3097599987</v>
      </c>
      <c r="O22" s="75">
        <f t="shared" si="3"/>
        <v>12215205.18912</v>
      </c>
    </row>
    <row r="23" spans="2:15" x14ac:dyDescent="0.25">
      <c r="B23" s="95">
        <f>'TOTAL KALTIM'!B25</f>
        <v>2019</v>
      </c>
      <c r="C23" s="96">
        <f>C22-H45</f>
        <v>96021</v>
      </c>
      <c r="D23" s="97">
        <f t="shared" si="8"/>
        <v>68200</v>
      </c>
      <c r="E23" s="98">
        <f>C23+D23</f>
        <v>164221</v>
      </c>
      <c r="F23" s="98">
        <f>F22+$H$45</f>
        <v>1051959</v>
      </c>
      <c r="G23" s="96">
        <f t="shared" si="7"/>
        <v>68200</v>
      </c>
      <c r="H23" s="98">
        <f t="shared" si="9"/>
        <v>2098</v>
      </c>
      <c r="I23" s="171">
        <f t="shared" ref="I23:I29" si="11">I22+D23</f>
        <v>1354678</v>
      </c>
      <c r="J23" s="171">
        <f t="shared" si="10"/>
        <v>20469018.221999999</v>
      </c>
      <c r="K23" s="98">
        <f t="shared" si="0"/>
        <v>4093803.6444000001</v>
      </c>
      <c r="L23" s="99">
        <v>19.457999999999998</v>
      </c>
      <c r="M23" s="100"/>
      <c r="N23" s="74">
        <f t="shared" si="2"/>
        <v>8392297.4710200001</v>
      </c>
      <c r="O23" s="75">
        <f t="shared" si="3"/>
        <v>13714242.20874</v>
      </c>
    </row>
    <row r="24" spans="2:15" x14ac:dyDescent="0.25">
      <c r="B24" s="115">
        <f>'TOTAL KALTIM'!B26</f>
        <v>2020</v>
      </c>
      <c r="C24" s="96">
        <f>C23-H45</f>
        <v>0</v>
      </c>
      <c r="D24" s="117">
        <f t="shared" si="8"/>
        <v>68200</v>
      </c>
      <c r="E24" s="118">
        <f>E23-$H$45+D24</f>
        <v>136400</v>
      </c>
      <c r="F24" s="118">
        <f>F23+$H$45</f>
        <v>1147980</v>
      </c>
      <c r="G24" s="119">
        <f t="shared" si="7"/>
        <v>68200</v>
      </c>
      <c r="H24" s="118">
        <f t="shared" si="9"/>
        <v>2098</v>
      </c>
      <c r="I24" s="171">
        <f t="shared" si="11"/>
        <v>1422878</v>
      </c>
      <c r="J24" s="172">
        <f t="shared" si="10"/>
        <v>22780515.119999997</v>
      </c>
      <c r="K24" s="118">
        <f t="shared" si="0"/>
        <v>4556103.0239999993</v>
      </c>
      <c r="L24" s="120">
        <v>19.843999999999998</v>
      </c>
      <c r="M24" s="116"/>
      <c r="N24" s="118">
        <f>J24*($F$51+$F$54+$F$55)</f>
        <v>9340011.1991999988</v>
      </c>
      <c r="O24" s="119">
        <f t="shared" si="3"/>
        <v>15262945.130399998</v>
      </c>
    </row>
    <row r="25" spans="2:15" x14ac:dyDescent="0.25">
      <c r="B25" s="95">
        <f>'TOTAL KALTIM'!B27</f>
        <v>2021</v>
      </c>
      <c r="C25" s="100"/>
      <c r="D25" s="97">
        <f t="shared" si="8"/>
        <v>68200</v>
      </c>
      <c r="E25" s="98">
        <f>E24-$H$45+D25</f>
        <v>108579</v>
      </c>
      <c r="F25" s="98">
        <f>F24+D21</f>
        <v>1216180</v>
      </c>
      <c r="G25" s="96">
        <f t="shared" si="7"/>
        <v>68200</v>
      </c>
      <c r="H25" s="98">
        <f t="shared" si="9"/>
        <v>2098</v>
      </c>
      <c r="I25" s="171">
        <f t="shared" si="11"/>
        <v>1491078</v>
      </c>
      <c r="J25" s="171">
        <f t="shared" si="10"/>
        <v>24603321.399999995</v>
      </c>
      <c r="K25" s="98">
        <f t="shared" si="0"/>
        <v>4920664.2799999993</v>
      </c>
      <c r="L25" s="99">
        <v>20.229999999999997</v>
      </c>
      <c r="M25" s="100"/>
      <c r="N25" s="74">
        <f t="shared" si="2"/>
        <v>10087361.773999996</v>
      </c>
      <c r="O25" s="75">
        <f t="shared" si="3"/>
        <v>16484225.337999998</v>
      </c>
    </row>
    <row r="26" spans="2:15" x14ac:dyDescent="0.25">
      <c r="B26" s="95">
        <f>'TOTAL KALTIM'!B28</f>
        <v>2022</v>
      </c>
      <c r="C26" s="100"/>
      <c r="D26" s="97">
        <f t="shared" si="8"/>
        <v>68200</v>
      </c>
      <c r="E26" s="98">
        <f>E25-$H$45+D26</f>
        <v>80758</v>
      </c>
      <c r="F26" s="98">
        <f t="shared" ref="F26:F34" si="12">F25+D22</f>
        <v>1284380</v>
      </c>
      <c r="G26" s="96">
        <f t="shared" si="7"/>
        <v>68200</v>
      </c>
      <c r="H26" s="98">
        <f t="shared" si="9"/>
        <v>2098</v>
      </c>
      <c r="I26" s="171">
        <f t="shared" si="11"/>
        <v>1559278</v>
      </c>
      <c r="J26" s="171">
        <f t="shared" si="10"/>
        <v>26478778.079999994</v>
      </c>
      <c r="K26" s="98">
        <f t="shared" si="0"/>
        <v>5295755.6159999995</v>
      </c>
      <c r="L26" s="99">
        <v>20.615999999999996</v>
      </c>
      <c r="M26" s="100"/>
      <c r="N26" s="74">
        <f t="shared" si="2"/>
        <v>10856299.012799997</v>
      </c>
      <c r="O26" s="75">
        <f t="shared" si="3"/>
        <v>17740781.313599996</v>
      </c>
    </row>
    <row r="27" spans="2:15" x14ac:dyDescent="0.25">
      <c r="B27" s="95">
        <f>'TOTAL KALTIM'!B29</f>
        <v>2023</v>
      </c>
      <c r="C27" s="100"/>
      <c r="D27" s="97">
        <f t="shared" si="8"/>
        <v>68200</v>
      </c>
      <c r="E27" s="98">
        <f>E26-$H$45+D27</f>
        <v>52937</v>
      </c>
      <c r="F27" s="98">
        <f t="shared" si="12"/>
        <v>1352580</v>
      </c>
      <c r="G27" s="96">
        <f t="shared" si="7"/>
        <v>68200</v>
      </c>
      <c r="H27" s="98">
        <f t="shared" si="9"/>
        <v>2098</v>
      </c>
      <c r="I27" s="171">
        <f t="shared" si="11"/>
        <v>1627478</v>
      </c>
      <c r="J27" s="171">
        <f t="shared" si="10"/>
        <v>28406885.159999993</v>
      </c>
      <c r="K27" s="98">
        <f t="shared" si="0"/>
        <v>5681377.0319999987</v>
      </c>
      <c r="L27" s="99">
        <v>21.001999999999995</v>
      </c>
      <c r="M27" s="100"/>
      <c r="N27" s="74">
        <f t="shared" si="2"/>
        <v>11646822.915599996</v>
      </c>
      <c r="O27" s="75">
        <f t="shared" si="3"/>
        <v>19032613.057199996</v>
      </c>
    </row>
    <row r="28" spans="2:15" x14ac:dyDescent="0.25">
      <c r="B28" s="95">
        <f>'TOTAL KALTIM'!B30</f>
        <v>2024</v>
      </c>
      <c r="C28" s="100"/>
      <c r="D28" s="97">
        <f t="shared" si="8"/>
        <v>68200</v>
      </c>
      <c r="E28" s="98">
        <f>E27-$H$45+D28</f>
        <v>25116</v>
      </c>
      <c r="F28" s="98">
        <f t="shared" si="12"/>
        <v>1420780</v>
      </c>
      <c r="G28" s="96">
        <f t="shared" si="7"/>
        <v>68200</v>
      </c>
      <c r="H28" s="98">
        <f t="shared" si="9"/>
        <v>2098</v>
      </c>
      <c r="I28" s="171">
        <f t="shared" si="11"/>
        <v>1695678</v>
      </c>
      <c r="J28" s="171">
        <f t="shared" si="10"/>
        <v>30387642.639999993</v>
      </c>
      <c r="K28" s="98">
        <f t="shared" si="0"/>
        <v>6077528.527999999</v>
      </c>
      <c r="L28" s="99">
        <v>21.387999999999995</v>
      </c>
      <c r="M28" s="100"/>
      <c r="N28" s="74">
        <f t="shared" si="2"/>
        <v>12458933.482399996</v>
      </c>
      <c r="O28" s="75">
        <f t="shared" si="3"/>
        <v>20359720.568799995</v>
      </c>
    </row>
    <row r="29" spans="2:15" x14ac:dyDescent="0.25">
      <c r="B29" s="95">
        <f>'TOTAL KALTIM'!B31</f>
        <v>2025</v>
      </c>
      <c r="C29" s="100"/>
      <c r="D29" s="97">
        <f t="shared" si="8"/>
        <v>68200</v>
      </c>
      <c r="E29" s="98"/>
      <c r="F29" s="98">
        <f t="shared" si="12"/>
        <v>1488980</v>
      </c>
      <c r="G29" s="96">
        <f t="shared" si="7"/>
        <v>68200</v>
      </c>
      <c r="H29" s="98">
        <f t="shared" si="9"/>
        <v>2098</v>
      </c>
      <c r="I29" s="171">
        <f t="shared" si="11"/>
        <v>1763878</v>
      </c>
      <c r="J29" s="171">
        <f t="shared" si="10"/>
        <v>32421050.519999992</v>
      </c>
      <c r="K29" s="98">
        <f t="shared" si="0"/>
        <v>6484210.1039999984</v>
      </c>
      <c r="L29" s="99">
        <v>21.773999999999994</v>
      </c>
      <c r="M29" s="100"/>
      <c r="N29" s="74">
        <f t="shared" si="2"/>
        <v>13292630.713199995</v>
      </c>
      <c r="O29" s="75">
        <f t="shared" si="3"/>
        <v>21722103.848399997</v>
      </c>
    </row>
    <row r="30" spans="2:15" x14ac:dyDescent="0.25">
      <c r="B30" s="95">
        <f>'TOTAL KALTIM'!B32</f>
        <v>2026</v>
      </c>
      <c r="C30" s="100"/>
      <c r="D30" s="97"/>
      <c r="E30" s="98"/>
      <c r="F30" s="98">
        <f t="shared" si="12"/>
        <v>1557180</v>
      </c>
      <c r="G30" s="96">
        <f t="shared" si="7"/>
        <v>0</v>
      </c>
      <c r="H30" s="98">
        <f t="shared" si="9"/>
        <v>2098</v>
      </c>
      <c r="I30" s="171">
        <f t="shared" ref="I30:I33" si="13">I29+D30</f>
        <v>1763878</v>
      </c>
      <c r="J30" s="171">
        <f t="shared" si="10"/>
        <v>34507108.79999999</v>
      </c>
      <c r="K30" s="98">
        <f t="shared" si="0"/>
        <v>6901421.7599999979</v>
      </c>
      <c r="L30" s="99">
        <v>22.159999999999993</v>
      </c>
      <c r="M30" s="100"/>
      <c r="N30" s="74">
        <f t="shared" si="2"/>
        <v>14147914.607999995</v>
      </c>
      <c r="O30" s="75">
        <f t="shared" si="3"/>
        <v>23119762.895999994</v>
      </c>
    </row>
    <row r="31" spans="2:15" x14ac:dyDescent="0.25">
      <c r="B31" s="95">
        <f>'TOTAL KALTIM'!B33</f>
        <v>2027</v>
      </c>
      <c r="C31" s="100"/>
      <c r="D31" s="97"/>
      <c r="E31" s="98"/>
      <c r="F31" s="98">
        <f t="shared" si="12"/>
        <v>1625380</v>
      </c>
      <c r="G31" s="96">
        <f t="shared" si="7"/>
        <v>0</v>
      </c>
      <c r="H31" s="98">
        <f t="shared" si="9"/>
        <v>2098</v>
      </c>
      <c r="I31" s="171">
        <f t="shared" si="13"/>
        <v>1763878</v>
      </c>
      <c r="J31" s="171">
        <f t="shared" si="10"/>
        <v>36645817.479999989</v>
      </c>
      <c r="K31" s="98">
        <f t="shared" si="0"/>
        <v>7329163.4959999984</v>
      </c>
      <c r="L31" s="99">
        <v>22.545999999999992</v>
      </c>
      <c r="M31" s="100"/>
      <c r="N31" s="74">
        <f t="shared" si="2"/>
        <v>15024785.166799994</v>
      </c>
      <c r="O31" s="75">
        <f t="shared" si="3"/>
        <v>24552697.711599994</v>
      </c>
    </row>
    <row r="32" spans="2:15" x14ac:dyDescent="0.25">
      <c r="B32" s="95">
        <f>'TOTAL KALTIM'!B34</f>
        <v>2028</v>
      </c>
      <c r="C32" s="100"/>
      <c r="D32" s="97"/>
      <c r="E32" s="98"/>
      <c r="F32" s="98">
        <f t="shared" si="12"/>
        <v>1693580</v>
      </c>
      <c r="G32" s="96">
        <f t="shared" si="7"/>
        <v>0</v>
      </c>
      <c r="H32" s="98">
        <f t="shared" si="9"/>
        <v>2098</v>
      </c>
      <c r="I32" s="171">
        <f t="shared" si="13"/>
        <v>1763878</v>
      </c>
      <c r="J32" s="171">
        <f t="shared" si="10"/>
        <v>38837176.559999987</v>
      </c>
      <c r="K32" s="98">
        <f t="shared" si="0"/>
        <v>7767435.3119999981</v>
      </c>
      <c r="L32" s="99">
        <v>22.931999999999992</v>
      </c>
      <c r="M32" s="100"/>
      <c r="N32" s="74">
        <f t="shared" si="2"/>
        <v>15923242.389599994</v>
      </c>
      <c r="O32" s="75">
        <f t="shared" si="3"/>
        <v>26020908.295199994</v>
      </c>
    </row>
    <row r="33" spans="2:15" x14ac:dyDescent="0.25">
      <c r="B33" s="95">
        <f>'TOTAL KALTIM'!B35</f>
        <v>2029</v>
      </c>
      <c r="C33" s="100"/>
      <c r="D33" s="97"/>
      <c r="E33" s="98"/>
      <c r="F33" s="98">
        <f t="shared" si="12"/>
        <v>1761780</v>
      </c>
      <c r="G33" s="96">
        <f t="shared" si="7"/>
        <v>0</v>
      </c>
      <c r="H33" s="98">
        <f t="shared" si="9"/>
        <v>2098</v>
      </c>
      <c r="I33" s="171">
        <f t="shared" si="13"/>
        <v>1763878</v>
      </c>
      <c r="J33" s="171">
        <f t="shared" si="10"/>
        <v>41081186.039999984</v>
      </c>
      <c r="K33" s="98">
        <f t="shared" si="0"/>
        <v>8216237.2079999968</v>
      </c>
      <c r="L33" s="99">
        <v>23.317999999999991</v>
      </c>
      <c r="M33" s="100"/>
      <c r="N33" s="74">
        <f t="shared" si="2"/>
        <v>16843286.276399992</v>
      </c>
      <c r="O33" s="75">
        <f t="shared" si="3"/>
        <v>27524394.646799993</v>
      </c>
    </row>
    <row r="34" spans="2:15" x14ac:dyDescent="0.25">
      <c r="B34" s="115">
        <f>'TOTAL KALTIM'!B36</f>
        <v>2030</v>
      </c>
      <c r="C34" s="116"/>
      <c r="D34" s="117"/>
      <c r="E34" s="118"/>
      <c r="F34" s="86">
        <f t="shared" si="12"/>
        <v>1761780</v>
      </c>
      <c r="G34" s="119">
        <f t="shared" si="7"/>
        <v>0</v>
      </c>
      <c r="H34" s="118">
        <f t="shared" si="9"/>
        <v>2098</v>
      </c>
      <c r="I34" s="173">
        <f>E34+F34+H34</f>
        <v>1763878</v>
      </c>
      <c r="J34" s="172">
        <f>F34*L34</f>
        <v>41761233.119999982</v>
      </c>
      <c r="K34" s="118">
        <f t="shared" si="0"/>
        <v>8352246.623999997</v>
      </c>
      <c r="L34" s="120">
        <v>23.70399999999999</v>
      </c>
      <c r="M34" s="121">
        <f>((L34/L20)^(1/14)-1)</f>
        <v>3.3485537905502349E-2</v>
      </c>
      <c r="N34" s="118">
        <f t="shared" si="2"/>
        <v>17122105.579199992</v>
      </c>
      <c r="O34" s="119">
        <f t="shared" si="3"/>
        <v>27980026.190399989</v>
      </c>
    </row>
    <row r="35" spans="2:15" x14ac:dyDescent="0.25">
      <c r="J35" s="73">
        <v>75</v>
      </c>
    </row>
    <row r="36" spans="2:15" x14ac:dyDescent="0.25">
      <c r="J36" s="12">
        <f>'Estimasi Kebutuhan Pabrik'!E11+'Estimasi Kebutuhan Pabrik'!F11</f>
        <v>219.28250000000003</v>
      </c>
      <c r="K36" s="12">
        <f>J36+J35</f>
        <v>294.28250000000003</v>
      </c>
    </row>
    <row r="37" spans="2:15" x14ac:dyDescent="0.25">
      <c r="G37" s="110">
        <v>75</v>
      </c>
      <c r="H37" s="110">
        <f>(F24/6000)-75</f>
        <v>116.33000000000001</v>
      </c>
      <c r="I37" s="75">
        <f>(F34/6000)-(75+H37)</f>
        <v>102.29999999999998</v>
      </c>
      <c r="J37" s="110">
        <f>SUM(G37:I37)</f>
        <v>293.63</v>
      </c>
      <c r="K37" s="110">
        <f>J37-K36</f>
        <v>-0.65250000000003183</v>
      </c>
      <c r="L37" s="110"/>
    </row>
    <row r="38" spans="2:15" ht="15" customHeight="1" x14ac:dyDescent="0.25">
      <c r="C38" s="90" t="s">
        <v>57</v>
      </c>
      <c r="D38" s="90"/>
      <c r="E38" s="90"/>
      <c r="H38" s="77">
        <f>H39/9</f>
        <v>68200</v>
      </c>
      <c r="I38" s="76"/>
      <c r="J38"/>
      <c r="K38" s="110"/>
      <c r="L38" s="110"/>
    </row>
    <row r="39" spans="2:15" x14ac:dyDescent="0.25">
      <c r="C39" s="90" t="s">
        <v>65</v>
      </c>
      <c r="D39" s="90"/>
      <c r="E39" s="90"/>
      <c r="H39" s="94">
        <f>H43-H40</f>
        <v>613800</v>
      </c>
      <c r="I39" s="88" t="s">
        <v>54</v>
      </c>
    </row>
    <row r="40" spans="2:15" ht="15" customHeight="1" x14ac:dyDescent="0.25">
      <c r="C40" s="90" t="s">
        <v>56</v>
      </c>
      <c r="D40" s="90"/>
      <c r="E40" s="90"/>
      <c r="H40" s="78">
        <f>I20</f>
        <v>1150078</v>
      </c>
      <c r="I40" s="76"/>
      <c r="J40"/>
    </row>
    <row r="41" spans="2:15" x14ac:dyDescent="0.25">
      <c r="C41" s="91"/>
      <c r="D41" s="92"/>
      <c r="E41" s="92"/>
      <c r="H41"/>
      <c r="I41"/>
      <c r="J41"/>
    </row>
    <row r="42" spans="2:15" ht="15" customHeight="1" x14ac:dyDescent="0.25">
      <c r="C42" s="73" t="s">
        <v>66</v>
      </c>
      <c r="G42" s="112">
        <f>2000000/H42</f>
        <v>0.61178207395798134</v>
      </c>
      <c r="H42" s="89">
        <v>3269137.9580000001</v>
      </c>
      <c r="I42" t="s">
        <v>58</v>
      </c>
      <c r="J42"/>
    </row>
    <row r="43" spans="2:15" ht="15" customHeight="1" x14ac:dyDescent="0.25">
      <c r="C43" s="73" t="s">
        <v>59</v>
      </c>
      <c r="G43" s="112">
        <f>I34/H42</f>
        <v>0.53955447052442806</v>
      </c>
      <c r="H43" s="176">
        <v>1763878</v>
      </c>
      <c r="I43" s="93" t="s">
        <v>104</v>
      </c>
      <c r="J43"/>
    </row>
    <row r="44" spans="2:15" ht="15" customHeight="1" x14ac:dyDescent="0.25">
      <c r="C44" s="73" t="s">
        <v>60</v>
      </c>
      <c r="H44" s="80">
        <f>I20-I19</f>
        <v>59972</v>
      </c>
      <c r="I44"/>
      <c r="J44"/>
    </row>
    <row r="45" spans="2:15" x14ac:dyDescent="0.25">
      <c r="C45" s="90" t="s">
        <v>61</v>
      </c>
      <c r="D45" s="90"/>
      <c r="E45" s="90"/>
      <c r="H45" s="81">
        <f>E20/4</f>
        <v>96021</v>
      </c>
      <c r="I45"/>
      <c r="J45"/>
    </row>
    <row r="46" spans="2:15" x14ac:dyDescent="0.25">
      <c r="C46" s="90" t="s">
        <v>62</v>
      </c>
      <c r="D46" s="90"/>
      <c r="E46" s="90"/>
      <c r="H46" s="82">
        <f>H38</f>
        <v>68200</v>
      </c>
      <c r="I46"/>
      <c r="J46"/>
    </row>
    <row r="49" spans="3:9" x14ac:dyDescent="0.25">
      <c r="C49" s="101" t="s">
        <v>67</v>
      </c>
      <c r="F49" s="72"/>
      <c r="G49">
        <v>10</v>
      </c>
      <c r="H49" t="s">
        <v>68</v>
      </c>
      <c r="I49"/>
    </row>
    <row r="50" spans="3:9" x14ac:dyDescent="0.25">
      <c r="C50" s="101" t="s">
        <v>69</v>
      </c>
      <c r="F50" s="107">
        <v>0.67</v>
      </c>
      <c r="G50">
        <f>F50*$G$49</f>
        <v>6.7</v>
      </c>
      <c r="H50" t="s">
        <v>70</v>
      </c>
      <c r="I50" t="s">
        <v>71</v>
      </c>
    </row>
    <row r="51" spans="3:9" x14ac:dyDescent="0.25">
      <c r="C51" s="101" t="s">
        <v>72</v>
      </c>
      <c r="F51" s="107">
        <v>0.22</v>
      </c>
      <c r="G51">
        <f t="shared" ref="G51:G55" si="14">F51*$G$49</f>
        <v>2.2000000000000002</v>
      </c>
      <c r="H51" t="s">
        <v>68</v>
      </c>
      <c r="I51"/>
    </row>
    <row r="52" spans="3:9" x14ac:dyDescent="0.25">
      <c r="C52" s="101" t="s">
        <v>73</v>
      </c>
      <c r="F52" s="108">
        <v>5.0000000000000001E-3</v>
      </c>
      <c r="G52">
        <f t="shared" si="14"/>
        <v>0.05</v>
      </c>
      <c r="H52" t="s">
        <v>68</v>
      </c>
      <c r="I52" t="s">
        <v>74</v>
      </c>
    </row>
    <row r="53" spans="3:9" x14ac:dyDescent="0.25">
      <c r="C53" s="101" t="s">
        <v>75</v>
      </c>
      <c r="F53" s="107">
        <v>0.06</v>
      </c>
      <c r="G53">
        <f t="shared" si="14"/>
        <v>0.6</v>
      </c>
      <c r="H53" t="s">
        <v>68</v>
      </c>
      <c r="I53" t="s">
        <v>76</v>
      </c>
    </row>
    <row r="54" spans="3:9" x14ac:dyDescent="0.25">
      <c r="C54" s="101" t="s">
        <v>77</v>
      </c>
      <c r="F54" s="109">
        <v>0.13500000000000001</v>
      </c>
      <c r="G54">
        <f t="shared" si="14"/>
        <v>1.35</v>
      </c>
      <c r="H54" t="s">
        <v>68</v>
      </c>
      <c r="I54" t="s">
        <v>78</v>
      </c>
    </row>
    <row r="55" spans="3:9" x14ac:dyDescent="0.25">
      <c r="C55" s="101" t="s">
        <v>79</v>
      </c>
      <c r="F55" s="109">
        <v>5.5E-2</v>
      </c>
      <c r="G55">
        <f t="shared" si="14"/>
        <v>0.55000000000000004</v>
      </c>
      <c r="H55" t="s">
        <v>68</v>
      </c>
      <c r="I55" t="s">
        <v>78</v>
      </c>
    </row>
    <row r="56" spans="3:9" x14ac:dyDescent="0.25">
      <c r="C56" s="101"/>
      <c r="F56" s="72"/>
      <c r="G56"/>
      <c r="H56"/>
      <c r="I56"/>
    </row>
    <row r="57" spans="3:9" x14ac:dyDescent="0.25">
      <c r="C57" s="101"/>
      <c r="F57" s="107">
        <f>SUM(F50:F55)</f>
        <v>1.145</v>
      </c>
      <c r="G57" s="102">
        <f>SUM(G50:G55)</f>
        <v>11.450000000000001</v>
      </c>
      <c r="H57"/>
      <c r="I57"/>
    </row>
    <row r="58" spans="3:9" x14ac:dyDescent="0.25">
      <c r="C58" s="101"/>
      <c r="F58" s="101"/>
      <c r="G58"/>
      <c r="H58"/>
      <c r="I58"/>
    </row>
    <row r="59" spans="3:9" x14ac:dyDescent="0.25">
      <c r="C59" s="1" t="s">
        <v>80</v>
      </c>
      <c r="F59" s="103">
        <f>J34</f>
        <v>41761233.119999982</v>
      </c>
      <c r="G59" s="1" t="s">
        <v>81</v>
      </c>
      <c r="H59"/>
      <c r="I59"/>
    </row>
    <row r="60" spans="3:9" x14ac:dyDescent="0.25">
      <c r="C60" s="1" t="s">
        <v>82</v>
      </c>
      <c r="F60" s="1">
        <v>0.67</v>
      </c>
      <c r="G60" s="1" t="s">
        <v>83</v>
      </c>
      <c r="H60"/>
      <c r="I60"/>
    </row>
    <row r="61" spans="3:9" x14ac:dyDescent="0.25">
      <c r="C61" s="1" t="s">
        <v>84</v>
      </c>
      <c r="F61" s="104">
        <f>F59*F60</f>
        <v>27980026.190399989</v>
      </c>
      <c r="G61" s="1" t="s">
        <v>85</v>
      </c>
      <c r="H61"/>
      <c r="I61"/>
    </row>
    <row r="62" spans="3:9" x14ac:dyDescent="0.25">
      <c r="C62" s="1" t="s">
        <v>86</v>
      </c>
      <c r="F62" s="105">
        <v>28</v>
      </c>
      <c r="G62" s="1" t="s">
        <v>87</v>
      </c>
      <c r="H62"/>
      <c r="I62"/>
    </row>
    <row r="63" spans="3:9" x14ac:dyDescent="0.25">
      <c r="C63" s="45" t="s">
        <v>88</v>
      </c>
      <c r="F63" s="106">
        <f>F62*F61</f>
        <v>783440733.33119965</v>
      </c>
      <c r="G63" s="45" t="s">
        <v>70</v>
      </c>
      <c r="H63"/>
      <c r="I6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opLeftCell="A4" zoomScale="85" zoomScaleNormal="85" workbookViewId="0">
      <pane xSplit="2" ySplit="2" topLeftCell="C15" activePane="bottomRight" state="frozen"/>
      <selection activeCell="A4" sqref="A4"/>
      <selection pane="topRight" activeCell="C4" sqref="C4"/>
      <selection pane="bottomLeft" activeCell="A6" sqref="A6"/>
      <selection pane="bottomRight" activeCell="J23" sqref="J23"/>
    </sheetView>
  </sheetViews>
  <sheetFormatPr defaultRowHeight="15" x14ac:dyDescent="0.25"/>
  <cols>
    <col min="1" max="1" width="5" style="1" customWidth="1"/>
    <col min="2" max="2" width="9.140625" style="1"/>
    <col min="3" max="4" width="10.5703125" style="1" bestFit="1" customWidth="1"/>
    <col min="5" max="5" width="8.42578125" style="1" customWidth="1"/>
    <col min="6" max="6" width="11.5703125" style="1" bestFit="1" customWidth="1"/>
    <col min="7" max="7" width="13.28515625" style="1" bestFit="1" customWidth="1"/>
    <col min="8" max="8" width="16.42578125" style="1" customWidth="1"/>
    <col min="9" max="9" width="14.5703125" style="1" customWidth="1"/>
    <col min="10" max="12" width="9.140625" style="1"/>
    <col min="13" max="13" width="13.28515625" style="1" customWidth="1"/>
    <col min="14" max="14" width="10.5703125" style="1" bestFit="1" customWidth="1"/>
    <col min="15" max="15" width="12.28515625" style="1" customWidth="1"/>
    <col min="16" max="16" width="15.7109375" style="1" bestFit="1" customWidth="1"/>
    <col min="17" max="17" width="17.85546875" style="1" customWidth="1"/>
    <col min="18" max="18" width="14.85546875" style="1" customWidth="1"/>
    <col min="19" max="19" width="14.140625" style="1" customWidth="1"/>
    <col min="20" max="20" width="15.140625" style="1" customWidth="1"/>
    <col min="21" max="21" width="14" style="1" customWidth="1"/>
    <col min="22" max="22" width="15" style="1" customWidth="1"/>
    <col min="23" max="23" width="12.5703125" style="1" customWidth="1"/>
    <col min="24" max="25" width="13.28515625" style="1" bestFit="1" customWidth="1"/>
    <col min="26" max="16384" width="9.140625" style="1"/>
  </cols>
  <sheetData>
    <row r="1" spans="1:25" x14ac:dyDescent="0.25">
      <c r="A1" s="1" t="s">
        <v>13</v>
      </c>
      <c r="K1" s="70"/>
    </row>
    <row r="2" spans="1:25" x14ac:dyDescent="0.25">
      <c r="A2" s="1" t="s">
        <v>0</v>
      </c>
      <c r="K2" s="73"/>
    </row>
    <row r="3" spans="1:25" x14ac:dyDescent="0.25">
      <c r="F3" s="34" t="s">
        <v>43</v>
      </c>
      <c r="I3" s="34" t="s">
        <v>44</v>
      </c>
      <c r="K3" s="73"/>
    </row>
    <row r="4" spans="1:25" s="45" customFormat="1" ht="45" x14ac:dyDescent="0.25">
      <c r="A4" s="183" t="s">
        <v>1</v>
      </c>
      <c r="B4" s="183" t="s">
        <v>2</v>
      </c>
      <c r="C4" s="187" t="s">
        <v>3</v>
      </c>
      <c r="D4" s="187"/>
      <c r="E4" s="187"/>
      <c r="F4" s="52" t="s">
        <v>4</v>
      </c>
      <c r="G4" s="114" t="s">
        <v>5</v>
      </c>
      <c r="H4" s="114" t="s">
        <v>6</v>
      </c>
      <c r="I4" s="54" t="s">
        <v>4</v>
      </c>
      <c r="K4" s="73"/>
      <c r="L4" s="70" t="s">
        <v>2</v>
      </c>
      <c r="M4" s="70" t="s">
        <v>63</v>
      </c>
      <c r="N4" s="70" t="s">
        <v>46</v>
      </c>
      <c r="O4" s="70" t="s">
        <v>7</v>
      </c>
      <c r="P4" s="70" t="s">
        <v>8</v>
      </c>
      <c r="Q4" s="70" t="s">
        <v>47</v>
      </c>
      <c r="R4" s="70" t="s">
        <v>9</v>
      </c>
      <c r="S4" s="70" t="s">
        <v>38</v>
      </c>
      <c r="T4" s="71" t="s">
        <v>48</v>
      </c>
      <c r="U4" s="70" t="s">
        <v>49</v>
      </c>
      <c r="V4" s="70" t="s">
        <v>50</v>
      </c>
      <c r="W4" s="70" t="s">
        <v>51</v>
      </c>
      <c r="X4" s="70" t="s">
        <v>52</v>
      </c>
      <c r="Y4" s="70" t="s">
        <v>53</v>
      </c>
    </row>
    <row r="5" spans="1:25" x14ac:dyDescent="0.25">
      <c r="A5" s="183"/>
      <c r="B5" s="183"/>
      <c r="C5" s="13" t="s">
        <v>7</v>
      </c>
      <c r="D5" s="13" t="s">
        <v>8</v>
      </c>
      <c r="E5" s="13" t="s">
        <v>9</v>
      </c>
      <c r="F5" s="35" t="s">
        <v>10</v>
      </c>
      <c r="G5" s="13" t="s">
        <v>11</v>
      </c>
      <c r="H5" s="13" t="s">
        <v>12</v>
      </c>
      <c r="I5" s="39" t="s">
        <v>10</v>
      </c>
      <c r="K5" s="73"/>
      <c r="L5" s="72"/>
      <c r="M5" s="73"/>
      <c r="N5" s="73"/>
      <c r="O5" s="74"/>
      <c r="P5" s="74"/>
      <c r="Q5" s="73"/>
      <c r="R5" s="74"/>
      <c r="S5" s="74"/>
      <c r="T5" s="74"/>
      <c r="U5" s="74"/>
      <c r="V5" s="83"/>
      <c r="W5" s="73"/>
      <c r="X5" s="74"/>
      <c r="Y5" s="75"/>
    </row>
    <row r="6" spans="1:25" x14ac:dyDescent="0.25">
      <c r="A6" s="6">
        <v>1</v>
      </c>
      <c r="B6" s="6">
        <v>2000</v>
      </c>
      <c r="C6" s="13"/>
      <c r="D6" s="13"/>
      <c r="E6" s="13"/>
      <c r="F6" s="35"/>
      <c r="G6" s="13"/>
      <c r="H6" s="13"/>
      <c r="I6" s="40">
        <f>F6</f>
        <v>0</v>
      </c>
      <c r="K6" s="73"/>
      <c r="L6" s="113">
        <v>2000</v>
      </c>
      <c r="M6" s="73"/>
      <c r="N6" s="73"/>
      <c r="O6" s="74">
        <f>C6</f>
        <v>0</v>
      </c>
      <c r="P6" s="74">
        <f>D6</f>
        <v>0</v>
      </c>
      <c r="Q6" s="73"/>
      <c r="R6" s="74">
        <f>E6</f>
        <v>0</v>
      </c>
      <c r="S6" s="74">
        <f>F6</f>
        <v>0</v>
      </c>
      <c r="T6" s="74">
        <f>G6</f>
        <v>0</v>
      </c>
      <c r="U6" s="74">
        <f t="shared" ref="U6:U36" si="0">T6*20%</f>
        <v>0</v>
      </c>
      <c r="V6" s="83" t="e">
        <f>T6/P6</f>
        <v>#DIV/0!</v>
      </c>
      <c r="W6" s="73"/>
      <c r="X6" s="74">
        <f t="shared" ref="X6:X22" si="1">T6*($F$51+$F$54+$F$55)</f>
        <v>0</v>
      </c>
      <c r="Y6" s="75">
        <f t="shared" ref="Y6:Y21" si="2">T6*$F$50</f>
        <v>0</v>
      </c>
    </row>
    <row r="7" spans="1:25" x14ac:dyDescent="0.25">
      <c r="A7" s="6">
        <v>2</v>
      </c>
      <c r="B7" s="6">
        <v>2001</v>
      </c>
      <c r="C7" s="13"/>
      <c r="D7" s="13"/>
      <c r="E7" s="13"/>
      <c r="F7" s="35"/>
      <c r="G7" s="13"/>
      <c r="H7" s="13"/>
      <c r="I7" s="40">
        <f t="shared" ref="I7:I21" si="3">F7</f>
        <v>0</v>
      </c>
      <c r="K7" s="73"/>
      <c r="L7" s="113">
        <v>2001</v>
      </c>
      <c r="M7" s="73"/>
      <c r="N7" s="73"/>
      <c r="O7" s="74">
        <f t="shared" ref="O7:O12" si="4">C7</f>
        <v>0</v>
      </c>
      <c r="P7" s="74">
        <f t="shared" ref="P7:P22" si="5">D7</f>
        <v>0</v>
      </c>
      <c r="Q7" s="73"/>
      <c r="R7" s="74">
        <f t="shared" ref="R7:R21" si="6">E7</f>
        <v>0</v>
      </c>
      <c r="S7" s="74">
        <f t="shared" ref="S7:S22" si="7">F7</f>
        <v>0</v>
      </c>
      <c r="T7" s="74">
        <f t="shared" ref="T7:T22" si="8">G7</f>
        <v>0</v>
      </c>
      <c r="U7" s="74">
        <f t="shared" si="0"/>
        <v>0</v>
      </c>
      <c r="V7" s="83" t="e">
        <f t="shared" ref="V7:V21" si="9">T7/P7</f>
        <v>#DIV/0!</v>
      </c>
      <c r="W7" s="73"/>
      <c r="X7" s="74">
        <f t="shared" si="1"/>
        <v>0</v>
      </c>
      <c r="Y7" s="75">
        <f t="shared" si="2"/>
        <v>0</v>
      </c>
    </row>
    <row r="8" spans="1:25" x14ac:dyDescent="0.25">
      <c r="A8" s="6">
        <v>3</v>
      </c>
      <c r="B8" s="6">
        <v>2002</v>
      </c>
      <c r="C8" s="13"/>
      <c r="D8" s="13"/>
      <c r="E8" s="13"/>
      <c r="F8" s="35"/>
      <c r="G8" s="13"/>
      <c r="H8" s="13"/>
      <c r="I8" s="40">
        <f t="shared" si="3"/>
        <v>0</v>
      </c>
      <c r="K8" s="73"/>
      <c r="L8" s="113">
        <v>2002</v>
      </c>
      <c r="M8" s="73"/>
      <c r="N8" s="73"/>
      <c r="O8" s="74">
        <f t="shared" si="4"/>
        <v>0</v>
      </c>
      <c r="P8" s="74">
        <f t="shared" si="5"/>
        <v>0</v>
      </c>
      <c r="Q8" s="73"/>
      <c r="R8" s="74">
        <f t="shared" si="6"/>
        <v>0</v>
      </c>
      <c r="S8" s="74">
        <f t="shared" si="7"/>
        <v>0</v>
      </c>
      <c r="T8" s="74">
        <f t="shared" si="8"/>
        <v>0</v>
      </c>
      <c r="U8" s="74">
        <f t="shared" si="0"/>
        <v>0</v>
      </c>
      <c r="V8" s="83" t="e">
        <f t="shared" si="9"/>
        <v>#DIV/0!</v>
      </c>
      <c r="W8" s="73"/>
      <c r="X8" s="74">
        <f t="shared" si="1"/>
        <v>0</v>
      </c>
      <c r="Y8" s="75">
        <f t="shared" si="2"/>
        <v>0</v>
      </c>
    </row>
    <row r="9" spans="1:25" x14ac:dyDescent="0.25">
      <c r="A9" s="6">
        <v>4</v>
      </c>
      <c r="B9" s="6">
        <v>2003</v>
      </c>
      <c r="C9" s="13"/>
      <c r="D9" s="13"/>
      <c r="E9" s="13"/>
      <c r="F9" s="35">
        <v>6542</v>
      </c>
      <c r="G9" s="13">
        <v>0</v>
      </c>
      <c r="H9" s="13"/>
      <c r="I9" s="40">
        <f t="shared" si="3"/>
        <v>6542</v>
      </c>
      <c r="K9" s="73"/>
      <c r="L9" s="113">
        <v>2003</v>
      </c>
      <c r="M9" s="127"/>
      <c r="N9" s="127"/>
      <c r="O9" s="125">
        <f t="shared" si="4"/>
        <v>0</v>
      </c>
      <c r="P9" s="125">
        <f t="shared" si="5"/>
        <v>0</v>
      </c>
      <c r="Q9" s="123">
        <f>S9-S8</f>
        <v>6542</v>
      </c>
      <c r="R9" s="125">
        <f t="shared" si="6"/>
        <v>0</v>
      </c>
      <c r="S9" s="178">
        <f t="shared" si="7"/>
        <v>6542</v>
      </c>
      <c r="T9" s="125">
        <f t="shared" si="8"/>
        <v>0</v>
      </c>
      <c r="U9" s="125">
        <f t="shared" si="0"/>
        <v>0</v>
      </c>
      <c r="V9" s="126" t="e">
        <f t="shared" si="9"/>
        <v>#DIV/0!</v>
      </c>
      <c r="W9" s="73"/>
      <c r="X9" s="74">
        <f t="shared" si="1"/>
        <v>0</v>
      </c>
      <c r="Y9" s="75">
        <f t="shared" si="2"/>
        <v>0</v>
      </c>
    </row>
    <row r="10" spans="1:25" x14ac:dyDescent="0.25">
      <c r="A10" s="6">
        <v>5</v>
      </c>
      <c r="B10" s="6">
        <v>2004</v>
      </c>
      <c r="C10" s="13"/>
      <c r="D10" s="13"/>
      <c r="E10" s="13"/>
      <c r="F10" s="35">
        <v>8226</v>
      </c>
      <c r="G10" s="29">
        <v>2100</v>
      </c>
      <c r="H10" s="13"/>
      <c r="I10" s="40">
        <f t="shared" si="3"/>
        <v>8226</v>
      </c>
      <c r="K10" s="73"/>
      <c r="L10" s="113">
        <v>2004</v>
      </c>
      <c r="M10" s="127"/>
      <c r="N10" s="127"/>
      <c r="O10" s="125">
        <f t="shared" si="4"/>
        <v>0</v>
      </c>
      <c r="P10" s="125">
        <f t="shared" si="5"/>
        <v>0</v>
      </c>
      <c r="Q10" s="123">
        <f t="shared" ref="Q10:Q14" si="10">S10-S9</f>
        <v>1684</v>
      </c>
      <c r="R10" s="125">
        <f t="shared" si="6"/>
        <v>0</v>
      </c>
      <c r="S10" s="178">
        <f t="shared" si="7"/>
        <v>8226</v>
      </c>
      <c r="T10" s="125">
        <f t="shared" si="8"/>
        <v>2100</v>
      </c>
      <c r="U10" s="125">
        <f t="shared" si="0"/>
        <v>420</v>
      </c>
      <c r="V10" s="126" t="e">
        <f t="shared" si="9"/>
        <v>#DIV/0!</v>
      </c>
      <c r="W10" s="73"/>
      <c r="X10" s="74">
        <f t="shared" si="1"/>
        <v>0</v>
      </c>
      <c r="Y10" s="75">
        <f t="shared" si="2"/>
        <v>0</v>
      </c>
    </row>
    <row r="11" spans="1:25" x14ac:dyDescent="0.25">
      <c r="A11" s="6">
        <v>6</v>
      </c>
      <c r="B11" s="6">
        <v>2005</v>
      </c>
      <c r="C11" s="13"/>
      <c r="D11" s="13"/>
      <c r="E11" s="13"/>
      <c r="F11" s="35">
        <v>7672</v>
      </c>
      <c r="G11" s="13">
        <v>0</v>
      </c>
      <c r="H11" s="13"/>
      <c r="I11" s="40">
        <f t="shared" si="3"/>
        <v>7672</v>
      </c>
      <c r="K11" s="73"/>
      <c r="L11" s="113">
        <v>2005</v>
      </c>
      <c r="M11" s="127"/>
      <c r="N11" s="127"/>
      <c r="O11" s="125">
        <f t="shared" si="4"/>
        <v>0</v>
      </c>
      <c r="P11" s="125">
        <f t="shared" si="5"/>
        <v>0</v>
      </c>
      <c r="Q11" s="123">
        <f t="shared" si="10"/>
        <v>-554</v>
      </c>
      <c r="R11" s="125">
        <f t="shared" si="6"/>
        <v>0</v>
      </c>
      <c r="S11" s="178">
        <f t="shared" si="7"/>
        <v>7672</v>
      </c>
      <c r="T11" s="125">
        <f t="shared" si="8"/>
        <v>0</v>
      </c>
      <c r="U11" s="125">
        <f t="shared" si="0"/>
        <v>0</v>
      </c>
      <c r="V11" s="126" t="e">
        <f t="shared" si="9"/>
        <v>#DIV/0!</v>
      </c>
      <c r="W11" s="73"/>
      <c r="X11" s="74">
        <f t="shared" si="1"/>
        <v>0</v>
      </c>
      <c r="Y11" s="75">
        <f t="shared" si="2"/>
        <v>0</v>
      </c>
    </row>
    <row r="12" spans="1:25" x14ac:dyDescent="0.25">
      <c r="A12" s="6">
        <v>7</v>
      </c>
      <c r="B12" s="3">
        <v>2006</v>
      </c>
      <c r="C12" s="23">
        <v>11479</v>
      </c>
      <c r="D12" s="23">
        <v>0</v>
      </c>
      <c r="E12" s="23">
        <v>0</v>
      </c>
      <c r="F12" s="36">
        <f t="shared" ref="F12:F19" si="11">SUM(C12:E12)</f>
        <v>11479</v>
      </c>
      <c r="G12" s="14">
        <v>0</v>
      </c>
      <c r="H12" s="14">
        <v>0</v>
      </c>
      <c r="I12" s="40">
        <f t="shared" si="3"/>
        <v>11479</v>
      </c>
      <c r="K12" s="73"/>
      <c r="L12" s="3">
        <v>2006</v>
      </c>
      <c r="M12" s="127"/>
      <c r="N12" s="127"/>
      <c r="O12" s="125">
        <f t="shared" si="4"/>
        <v>11479</v>
      </c>
      <c r="P12" s="125">
        <f t="shared" si="5"/>
        <v>0</v>
      </c>
      <c r="Q12" s="123">
        <f t="shared" si="10"/>
        <v>3807</v>
      </c>
      <c r="R12" s="125">
        <f t="shared" si="6"/>
        <v>0</v>
      </c>
      <c r="S12" s="178">
        <f t="shared" si="7"/>
        <v>11479</v>
      </c>
      <c r="T12" s="125">
        <f t="shared" si="8"/>
        <v>0</v>
      </c>
      <c r="U12" s="125">
        <f t="shared" si="0"/>
        <v>0</v>
      </c>
      <c r="V12" s="126" t="e">
        <f t="shared" si="9"/>
        <v>#DIV/0!</v>
      </c>
      <c r="W12" s="73"/>
      <c r="X12" s="74">
        <f t="shared" si="1"/>
        <v>0</v>
      </c>
      <c r="Y12" s="75">
        <f t="shared" si="2"/>
        <v>0</v>
      </c>
    </row>
    <row r="13" spans="1:25" x14ac:dyDescent="0.25">
      <c r="A13" s="6">
        <v>8</v>
      </c>
      <c r="B13" s="3">
        <v>2007</v>
      </c>
      <c r="C13" s="23">
        <v>24928</v>
      </c>
      <c r="D13" s="23">
        <v>3625</v>
      </c>
      <c r="E13" s="23">
        <v>0</v>
      </c>
      <c r="F13" s="36">
        <f t="shared" si="11"/>
        <v>28553</v>
      </c>
      <c r="G13" s="14">
        <v>663</v>
      </c>
      <c r="H13" s="15">
        <f t="shared" ref="H13:H19" si="12">SUM(G13/D13*1000)</f>
        <v>182.89655172413794</v>
      </c>
      <c r="I13" s="40">
        <f t="shared" si="3"/>
        <v>28553</v>
      </c>
      <c r="K13" s="73"/>
      <c r="L13" s="3">
        <v>2007</v>
      </c>
      <c r="M13" s="127"/>
      <c r="N13" s="127"/>
      <c r="O13" s="125">
        <f t="shared" ref="O13:O22" si="13">C13</f>
        <v>24928</v>
      </c>
      <c r="P13" s="125">
        <f t="shared" si="5"/>
        <v>3625</v>
      </c>
      <c r="Q13" s="123">
        <f t="shared" si="10"/>
        <v>17074</v>
      </c>
      <c r="R13" s="125">
        <f t="shared" si="6"/>
        <v>0</v>
      </c>
      <c r="S13" s="178">
        <f t="shared" si="7"/>
        <v>28553</v>
      </c>
      <c r="T13" s="125">
        <f t="shared" si="8"/>
        <v>663</v>
      </c>
      <c r="U13" s="125">
        <f t="shared" si="0"/>
        <v>132.6</v>
      </c>
      <c r="V13" s="126">
        <f t="shared" si="9"/>
        <v>0.18289655172413793</v>
      </c>
      <c r="W13" s="73"/>
      <c r="X13" s="74">
        <f t="shared" si="1"/>
        <v>0</v>
      </c>
      <c r="Y13" s="75">
        <f t="shared" si="2"/>
        <v>0</v>
      </c>
    </row>
    <row r="14" spans="1:25" x14ac:dyDescent="0.25">
      <c r="A14" s="6">
        <v>9</v>
      </c>
      <c r="B14" s="3">
        <v>2008</v>
      </c>
      <c r="C14" s="23">
        <v>27469</v>
      </c>
      <c r="D14" s="23">
        <v>3634.5</v>
      </c>
      <c r="E14" s="23">
        <v>0</v>
      </c>
      <c r="F14" s="36">
        <f t="shared" si="11"/>
        <v>31103.5</v>
      </c>
      <c r="G14" s="14">
        <v>663</v>
      </c>
      <c r="H14" s="15">
        <f t="shared" si="12"/>
        <v>182.41848947585638</v>
      </c>
      <c r="I14" s="40">
        <f t="shared" si="3"/>
        <v>31103.5</v>
      </c>
      <c r="K14" s="73"/>
      <c r="L14" s="3">
        <v>2008</v>
      </c>
      <c r="M14" s="127"/>
      <c r="N14" s="127"/>
      <c r="O14" s="125">
        <f t="shared" si="13"/>
        <v>27469</v>
      </c>
      <c r="P14" s="125">
        <f t="shared" si="5"/>
        <v>3634.5</v>
      </c>
      <c r="Q14" s="123">
        <f t="shared" si="10"/>
        <v>2550.5</v>
      </c>
      <c r="R14" s="125">
        <f t="shared" si="6"/>
        <v>0</v>
      </c>
      <c r="S14" s="178">
        <f t="shared" si="7"/>
        <v>31103.5</v>
      </c>
      <c r="T14" s="125">
        <f t="shared" si="8"/>
        <v>663</v>
      </c>
      <c r="U14" s="125">
        <f t="shared" si="0"/>
        <v>132.6</v>
      </c>
      <c r="V14" s="126">
        <f t="shared" si="9"/>
        <v>0.18241848947585637</v>
      </c>
      <c r="W14" s="73"/>
      <c r="X14" s="74">
        <f t="shared" si="1"/>
        <v>0</v>
      </c>
      <c r="Y14" s="75">
        <f t="shared" si="2"/>
        <v>0</v>
      </c>
    </row>
    <row r="15" spans="1:25" x14ac:dyDescent="0.25">
      <c r="A15" s="6">
        <v>10</v>
      </c>
      <c r="B15" s="3">
        <v>2009</v>
      </c>
      <c r="C15" s="23">
        <v>32219.5</v>
      </c>
      <c r="D15" s="23">
        <v>6758.5</v>
      </c>
      <c r="E15" s="23">
        <v>0</v>
      </c>
      <c r="F15" s="36">
        <f t="shared" si="11"/>
        <v>38978</v>
      </c>
      <c r="G15" s="14">
        <v>3</v>
      </c>
      <c r="H15" s="15">
        <f t="shared" si="12"/>
        <v>0.44388547754679297</v>
      </c>
      <c r="I15" s="40">
        <f t="shared" si="3"/>
        <v>38978</v>
      </c>
      <c r="K15" s="73"/>
      <c r="L15" s="3">
        <v>2009</v>
      </c>
      <c r="M15" s="127"/>
      <c r="N15" s="127"/>
      <c r="O15" s="125">
        <f t="shared" si="13"/>
        <v>32219.5</v>
      </c>
      <c r="P15" s="125">
        <f t="shared" si="5"/>
        <v>6758.5</v>
      </c>
      <c r="Q15" s="123">
        <f>S15-S14</f>
        <v>7874.5</v>
      </c>
      <c r="R15" s="125">
        <f t="shared" si="6"/>
        <v>0</v>
      </c>
      <c r="S15" s="178">
        <f t="shared" si="7"/>
        <v>38978</v>
      </c>
      <c r="T15" s="125">
        <f t="shared" si="8"/>
        <v>3</v>
      </c>
      <c r="U15" s="125">
        <f t="shared" si="0"/>
        <v>0.60000000000000009</v>
      </c>
      <c r="V15" s="126">
        <f t="shared" si="9"/>
        <v>4.4388547754679295E-4</v>
      </c>
      <c r="W15" s="73"/>
      <c r="X15" s="74">
        <f t="shared" si="1"/>
        <v>0</v>
      </c>
      <c r="Y15" s="75">
        <f t="shared" si="2"/>
        <v>0</v>
      </c>
    </row>
    <row r="16" spans="1:25" x14ac:dyDescent="0.25">
      <c r="A16" s="6">
        <v>11</v>
      </c>
      <c r="B16" s="3">
        <v>2010</v>
      </c>
      <c r="C16" s="16">
        <f>562+23306</f>
        <v>23868</v>
      </c>
      <c r="D16" s="16">
        <f>18374+77</f>
        <v>18451</v>
      </c>
      <c r="E16" s="16">
        <v>0</v>
      </c>
      <c r="F16" s="36">
        <f t="shared" si="11"/>
        <v>42319</v>
      </c>
      <c r="G16" s="16">
        <f>231+258173</f>
        <v>258404</v>
      </c>
      <c r="H16" s="17">
        <f>SUM(G16/D16*1000)</f>
        <v>14004.87778440193</v>
      </c>
      <c r="I16" s="40">
        <f t="shared" si="3"/>
        <v>42319</v>
      </c>
      <c r="K16" s="73"/>
      <c r="L16" s="3">
        <v>2010</v>
      </c>
      <c r="M16" s="127"/>
      <c r="N16" s="127"/>
      <c r="O16" s="125">
        <f t="shared" si="13"/>
        <v>23868</v>
      </c>
      <c r="P16" s="125">
        <f t="shared" si="5"/>
        <v>18451</v>
      </c>
      <c r="Q16" s="123">
        <f t="shared" ref="Q16:Q21" si="14">S16-S15</f>
        <v>3341</v>
      </c>
      <c r="R16" s="125">
        <f t="shared" si="6"/>
        <v>0</v>
      </c>
      <c r="S16" s="178">
        <f t="shared" si="7"/>
        <v>42319</v>
      </c>
      <c r="T16" s="125">
        <f t="shared" si="8"/>
        <v>258404</v>
      </c>
      <c r="U16" s="125">
        <f t="shared" si="0"/>
        <v>51680.800000000003</v>
      </c>
      <c r="V16" s="126">
        <f t="shared" si="9"/>
        <v>14.004877784401929</v>
      </c>
      <c r="W16" s="73"/>
      <c r="X16" s="74">
        <f t="shared" si="1"/>
        <v>0</v>
      </c>
      <c r="Y16" s="75">
        <f t="shared" si="2"/>
        <v>0</v>
      </c>
    </row>
    <row r="17" spans="1:25" x14ac:dyDescent="0.25">
      <c r="A17" s="6">
        <v>12</v>
      </c>
      <c r="B17" s="3">
        <v>2011</v>
      </c>
      <c r="C17" s="16">
        <f>1605+31401</f>
        <v>33006</v>
      </c>
      <c r="D17" s="16">
        <v>18735</v>
      </c>
      <c r="E17" s="16">
        <v>0</v>
      </c>
      <c r="F17" s="36">
        <f t="shared" si="11"/>
        <v>51741</v>
      </c>
      <c r="G17" s="16">
        <v>275951</v>
      </c>
      <c r="H17" s="17">
        <f t="shared" si="12"/>
        <v>14729.170002668801</v>
      </c>
      <c r="I17" s="40">
        <f t="shared" si="3"/>
        <v>51741</v>
      </c>
      <c r="K17" s="73"/>
      <c r="L17" s="3">
        <v>2011</v>
      </c>
      <c r="M17" s="127"/>
      <c r="N17" s="127"/>
      <c r="O17" s="125">
        <f t="shared" si="13"/>
        <v>33006</v>
      </c>
      <c r="P17" s="125">
        <f t="shared" si="5"/>
        <v>18735</v>
      </c>
      <c r="Q17" s="123">
        <f t="shared" si="14"/>
        <v>9422</v>
      </c>
      <c r="R17" s="125">
        <f t="shared" si="6"/>
        <v>0</v>
      </c>
      <c r="S17" s="178">
        <f t="shared" si="7"/>
        <v>51741</v>
      </c>
      <c r="T17" s="125">
        <f t="shared" si="8"/>
        <v>275951</v>
      </c>
      <c r="U17" s="125">
        <f t="shared" si="0"/>
        <v>55190.200000000004</v>
      </c>
      <c r="V17" s="126">
        <f t="shared" si="9"/>
        <v>14.729170002668802</v>
      </c>
      <c r="W17" s="73"/>
      <c r="X17" s="74">
        <f t="shared" si="1"/>
        <v>0</v>
      </c>
      <c r="Y17" s="75">
        <f t="shared" si="2"/>
        <v>0</v>
      </c>
    </row>
    <row r="18" spans="1:25" x14ac:dyDescent="0.25">
      <c r="A18" s="6">
        <v>13</v>
      </c>
      <c r="B18" s="3">
        <v>2012</v>
      </c>
      <c r="C18" s="16">
        <f>34630+9053</f>
        <v>43683</v>
      </c>
      <c r="D18" s="16">
        <v>36500</v>
      </c>
      <c r="E18" s="16">
        <v>0</v>
      </c>
      <c r="F18" s="36">
        <f t="shared" si="11"/>
        <v>80183</v>
      </c>
      <c r="G18" s="16">
        <v>615862</v>
      </c>
      <c r="H18" s="17">
        <f t="shared" si="12"/>
        <v>16872.931506849316</v>
      </c>
      <c r="I18" s="40">
        <f t="shared" si="3"/>
        <v>80183</v>
      </c>
      <c r="K18" s="73"/>
      <c r="L18" s="3">
        <v>2012</v>
      </c>
      <c r="M18" s="127"/>
      <c r="N18" s="127"/>
      <c r="O18" s="125">
        <f t="shared" si="13"/>
        <v>43683</v>
      </c>
      <c r="P18" s="125">
        <f t="shared" si="5"/>
        <v>36500</v>
      </c>
      <c r="Q18" s="123">
        <f t="shared" si="14"/>
        <v>28442</v>
      </c>
      <c r="R18" s="125">
        <f t="shared" si="6"/>
        <v>0</v>
      </c>
      <c r="S18" s="178">
        <f t="shared" si="7"/>
        <v>80183</v>
      </c>
      <c r="T18" s="125">
        <f t="shared" si="8"/>
        <v>615862</v>
      </c>
      <c r="U18" s="125">
        <f t="shared" si="0"/>
        <v>123172.40000000001</v>
      </c>
      <c r="V18" s="126">
        <f t="shared" si="9"/>
        <v>16.872931506849316</v>
      </c>
      <c r="W18" s="73"/>
      <c r="X18" s="74">
        <f t="shared" si="1"/>
        <v>0</v>
      </c>
      <c r="Y18" s="75">
        <f t="shared" si="2"/>
        <v>0</v>
      </c>
    </row>
    <row r="19" spans="1:25" x14ac:dyDescent="0.25">
      <c r="A19" s="6">
        <v>14</v>
      </c>
      <c r="B19" s="3">
        <v>2013</v>
      </c>
      <c r="C19" s="4">
        <v>47018</v>
      </c>
      <c r="D19" s="4">
        <v>44573</v>
      </c>
      <c r="E19" s="4">
        <v>0</v>
      </c>
      <c r="F19" s="36">
        <f t="shared" si="11"/>
        <v>91591</v>
      </c>
      <c r="G19" s="16">
        <v>766487</v>
      </c>
      <c r="H19" s="4">
        <f t="shared" si="12"/>
        <v>17196.217441051758</v>
      </c>
      <c r="I19" s="40">
        <f t="shared" si="3"/>
        <v>91591</v>
      </c>
      <c r="K19" s="73"/>
      <c r="L19" s="3">
        <v>2013</v>
      </c>
      <c r="M19" s="127"/>
      <c r="N19" s="127"/>
      <c r="O19" s="125">
        <f t="shared" si="13"/>
        <v>47018</v>
      </c>
      <c r="P19" s="125">
        <f t="shared" si="5"/>
        <v>44573</v>
      </c>
      <c r="Q19" s="123">
        <f t="shared" si="14"/>
        <v>11408</v>
      </c>
      <c r="R19" s="125">
        <f t="shared" si="6"/>
        <v>0</v>
      </c>
      <c r="S19" s="178">
        <f t="shared" si="7"/>
        <v>91591</v>
      </c>
      <c r="T19" s="125">
        <f t="shared" si="8"/>
        <v>766487</v>
      </c>
      <c r="U19" s="125">
        <f t="shared" si="0"/>
        <v>153297.4</v>
      </c>
      <c r="V19" s="126">
        <f t="shared" si="9"/>
        <v>17.196217441051758</v>
      </c>
      <c r="W19" s="73"/>
      <c r="X19" s="74">
        <f t="shared" si="1"/>
        <v>0</v>
      </c>
      <c r="Y19" s="75">
        <f t="shared" si="2"/>
        <v>0</v>
      </c>
    </row>
    <row r="20" spans="1:25" x14ac:dyDescent="0.25">
      <c r="A20" s="6">
        <v>15</v>
      </c>
      <c r="B20" s="3">
        <v>2014</v>
      </c>
      <c r="C20" s="4">
        <v>60992</v>
      </c>
      <c r="D20" s="4">
        <v>46923</v>
      </c>
      <c r="E20" s="4">
        <v>5</v>
      </c>
      <c r="F20" s="37">
        <f>SUM(C20:E20)</f>
        <v>107920</v>
      </c>
      <c r="G20" s="24">
        <v>919522</v>
      </c>
      <c r="H20" s="24">
        <f>(G20*1000)/D20</f>
        <v>19596.402617053471</v>
      </c>
      <c r="I20" s="40">
        <f t="shared" si="3"/>
        <v>107920</v>
      </c>
      <c r="K20" s="73"/>
      <c r="L20" s="3">
        <v>2014</v>
      </c>
      <c r="M20" s="127"/>
      <c r="N20" s="127"/>
      <c r="O20" s="125">
        <f t="shared" si="13"/>
        <v>60992</v>
      </c>
      <c r="P20" s="125">
        <f t="shared" si="5"/>
        <v>46923</v>
      </c>
      <c r="Q20" s="123">
        <f t="shared" si="14"/>
        <v>16329</v>
      </c>
      <c r="R20" s="125">
        <f t="shared" si="6"/>
        <v>5</v>
      </c>
      <c r="S20" s="178">
        <f t="shared" si="7"/>
        <v>107920</v>
      </c>
      <c r="T20" s="125">
        <f t="shared" si="8"/>
        <v>919522</v>
      </c>
      <c r="U20" s="125">
        <f t="shared" si="0"/>
        <v>183904.40000000002</v>
      </c>
      <c r="V20" s="126">
        <f t="shared" si="9"/>
        <v>19.596402617053471</v>
      </c>
      <c r="W20" s="73"/>
      <c r="X20" s="74">
        <f t="shared" si="1"/>
        <v>0</v>
      </c>
      <c r="Y20" s="75">
        <f t="shared" si="2"/>
        <v>0</v>
      </c>
    </row>
    <row r="21" spans="1:25" x14ac:dyDescent="0.25">
      <c r="A21" s="6">
        <v>16</v>
      </c>
      <c r="B21" s="3">
        <v>2015</v>
      </c>
      <c r="C21" s="4"/>
      <c r="D21" s="4"/>
      <c r="E21" s="4"/>
      <c r="F21" s="37">
        <v>115195</v>
      </c>
      <c r="G21" s="25">
        <v>1253891</v>
      </c>
      <c r="H21" s="24"/>
      <c r="I21" s="40">
        <f t="shared" si="3"/>
        <v>115195</v>
      </c>
      <c r="K21" s="73"/>
      <c r="L21" s="3">
        <v>2015</v>
      </c>
      <c r="M21" s="127"/>
      <c r="N21" s="127"/>
      <c r="O21" s="125">
        <f t="shared" si="13"/>
        <v>0</v>
      </c>
      <c r="P21" s="125">
        <f t="shared" si="5"/>
        <v>0</v>
      </c>
      <c r="Q21" s="123">
        <f t="shared" si="14"/>
        <v>7275</v>
      </c>
      <c r="R21" s="125">
        <f t="shared" si="6"/>
        <v>0</v>
      </c>
      <c r="S21" s="178">
        <f t="shared" si="7"/>
        <v>115195</v>
      </c>
      <c r="T21" s="125">
        <f t="shared" si="8"/>
        <v>1253891</v>
      </c>
      <c r="U21" s="125">
        <f t="shared" si="0"/>
        <v>250778.2</v>
      </c>
      <c r="V21" s="126" t="e">
        <f t="shared" si="9"/>
        <v>#DIV/0!</v>
      </c>
      <c r="W21" s="73"/>
      <c r="X21" s="74">
        <f t="shared" si="1"/>
        <v>0</v>
      </c>
      <c r="Y21" s="75">
        <f t="shared" si="2"/>
        <v>0</v>
      </c>
    </row>
    <row r="22" spans="1:25" x14ac:dyDescent="0.25">
      <c r="A22" s="6">
        <v>17</v>
      </c>
      <c r="B22" s="3">
        <v>2016</v>
      </c>
      <c r="C22" s="4">
        <v>40417</v>
      </c>
      <c r="D22" s="4">
        <v>80115</v>
      </c>
      <c r="E22" s="4">
        <v>3</v>
      </c>
      <c r="F22" s="37">
        <f>SUM(C22:E22)</f>
        <v>120535</v>
      </c>
      <c r="G22" s="24">
        <v>1221143</v>
      </c>
      <c r="H22" s="24">
        <f>(G22*1000)/D22</f>
        <v>15242.376583660987</v>
      </c>
      <c r="I22" s="41">
        <f>I21*1.062</f>
        <v>122337.09000000001</v>
      </c>
      <c r="K22" s="73"/>
      <c r="L22" s="3">
        <v>2016</v>
      </c>
      <c r="N22" s="124"/>
      <c r="O22" s="125">
        <f t="shared" si="13"/>
        <v>40417</v>
      </c>
      <c r="P22" s="125">
        <f t="shared" si="5"/>
        <v>80115</v>
      </c>
      <c r="Q22" s="123">
        <f t="shared" ref="Q22:Q36" si="15">S22-S21</f>
        <v>5340</v>
      </c>
      <c r="R22" s="125">
        <f>E22</f>
        <v>3</v>
      </c>
      <c r="S22" s="178">
        <f t="shared" si="7"/>
        <v>120535</v>
      </c>
      <c r="T22" s="125">
        <f>G22</f>
        <v>1221143</v>
      </c>
      <c r="U22" s="125">
        <f t="shared" si="0"/>
        <v>244228.6</v>
      </c>
      <c r="V22" s="126">
        <f>T22/P22</f>
        <v>15.242376583660988</v>
      </c>
      <c r="W22" s="127"/>
      <c r="X22" s="125">
        <f t="shared" si="1"/>
        <v>0</v>
      </c>
      <c r="Y22" s="123">
        <f>T22*$F$50</f>
        <v>0</v>
      </c>
    </row>
    <row r="23" spans="1:25" x14ac:dyDescent="0.25">
      <c r="A23" s="6">
        <v>18</v>
      </c>
      <c r="B23" s="3">
        <v>2017</v>
      </c>
      <c r="C23" s="31"/>
      <c r="D23" s="31"/>
      <c r="E23" s="31"/>
      <c r="F23" s="37">
        <f>S23</f>
        <v>135358.33333333334</v>
      </c>
      <c r="G23" s="174">
        <f>T23</f>
        <v>1685836.9055000001</v>
      </c>
      <c r="H23" s="31"/>
      <c r="I23" s="41">
        <f t="shared" ref="I23:I35" si="16">I22*1.062</f>
        <v>129921.98958000002</v>
      </c>
      <c r="K23" s="73"/>
      <c r="L23" s="3">
        <v>2017</v>
      </c>
      <c r="M23" s="123">
        <f>O22-$R$46</f>
        <v>30312.75</v>
      </c>
      <c r="N23" s="129">
        <f>R39</f>
        <v>14823.333333333334</v>
      </c>
      <c r="O23" s="86">
        <f>M23+N23</f>
        <v>45136.083333333336</v>
      </c>
      <c r="P23" s="86">
        <f>P22+$R$46</f>
        <v>90219.25</v>
      </c>
      <c r="Q23" s="111">
        <f t="shared" si="15"/>
        <v>14823.333333333343</v>
      </c>
      <c r="R23" s="86">
        <f>R22</f>
        <v>3</v>
      </c>
      <c r="S23" s="173">
        <f>O23+P23+R23</f>
        <v>135358.33333333334</v>
      </c>
      <c r="T23" s="86">
        <f>P23*V23</f>
        <v>1685836.9055000001</v>
      </c>
      <c r="U23" s="86">
        <f t="shared" si="0"/>
        <v>337167.38110000006</v>
      </c>
      <c r="V23" s="99">
        <v>18.686</v>
      </c>
      <c r="W23" s="85"/>
      <c r="X23" s="86">
        <f t="shared" ref="X23:X34" si="17">T23*($P$52+$P$53+$P$54)</f>
        <v>480463.51806750009</v>
      </c>
      <c r="Y23" s="111">
        <f>T23*$P$51</f>
        <v>1129510.7266850001</v>
      </c>
    </row>
    <row r="24" spans="1:25" x14ac:dyDescent="0.25">
      <c r="A24" s="21">
        <v>19</v>
      </c>
      <c r="B24" s="3">
        <v>2018</v>
      </c>
      <c r="C24" s="4"/>
      <c r="D24" s="4"/>
      <c r="E24" s="4"/>
      <c r="F24" s="37">
        <f t="shared" ref="F24:F36" si="18">S24</f>
        <v>150181.66666666669</v>
      </c>
      <c r="G24" s="174">
        <f t="shared" ref="G24:G36" si="19">T24</f>
        <v>1913369.7919999999</v>
      </c>
      <c r="H24" s="4"/>
      <c r="I24" s="41">
        <f t="shared" si="16"/>
        <v>137977.15293396002</v>
      </c>
      <c r="K24" s="73"/>
      <c r="L24" s="3">
        <v>2018</v>
      </c>
      <c r="M24" s="123">
        <f>M23-$R$46</f>
        <v>20208.5</v>
      </c>
      <c r="N24" s="129">
        <f t="shared" ref="N24:N31" si="20">N23</f>
        <v>14823.333333333334</v>
      </c>
      <c r="O24" s="86">
        <f>M24+N24</f>
        <v>35031.833333333336</v>
      </c>
      <c r="P24" s="86">
        <f t="shared" ref="P24:P25" si="21">P23+$R$46</f>
        <v>100323.5</v>
      </c>
      <c r="Q24" s="111">
        <f t="shared" si="15"/>
        <v>14823.333333333343</v>
      </c>
      <c r="R24" s="86">
        <f t="shared" ref="R24:R35" si="22">R23</f>
        <v>3</v>
      </c>
      <c r="S24" s="173">
        <f>S23+N24</f>
        <v>150181.66666666669</v>
      </c>
      <c r="T24" s="86">
        <f t="shared" ref="T24:T35" si="23">P24*V24</f>
        <v>1913369.7919999999</v>
      </c>
      <c r="U24" s="86">
        <f t="shared" si="0"/>
        <v>382673.9584</v>
      </c>
      <c r="V24" s="99">
        <v>19.071999999999999</v>
      </c>
      <c r="W24" s="85"/>
      <c r="X24" s="86">
        <f t="shared" si="17"/>
        <v>545310.39072000002</v>
      </c>
      <c r="Y24" s="111">
        <f t="shared" ref="Y24:Y35" si="24">T24*$P$51</f>
        <v>1281957.76064</v>
      </c>
    </row>
    <row r="25" spans="1:25" x14ac:dyDescent="0.25">
      <c r="A25" s="21">
        <v>20</v>
      </c>
      <c r="B25" s="3">
        <v>2019</v>
      </c>
      <c r="C25" s="4"/>
      <c r="D25" s="4"/>
      <c r="E25" s="4"/>
      <c r="F25" s="37">
        <f t="shared" si="18"/>
        <v>165005.00000000003</v>
      </c>
      <c r="G25" s="174">
        <f t="shared" si="19"/>
        <v>2148703.1594999996</v>
      </c>
      <c r="H25" s="4"/>
      <c r="I25" s="41">
        <f t="shared" si="16"/>
        <v>146531.73641586554</v>
      </c>
      <c r="K25" s="73"/>
      <c r="L25" s="3">
        <v>2019</v>
      </c>
      <c r="M25" s="123">
        <f>M24-$R$46</f>
        <v>10104.25</v>
      </c>
      <c r="N25" s="129">
        <f t="shared" si="20"/>
        <v>14823.333333333334</v>
      </c>
      <c r="O25" s="86">
        <f>M25+N25</f>
        <v>24927.583333333336</v>
      </c>
      <c r="P25" s="86">
        <f t="shared" si="21"/>
        <v>110427.75</v>
      </c>
      <c r="Q25" s="111">
        <f t="shared" si="15"/>
        <v>14823.333333333343</v>
      </c>
      <c r="R25" s="86">
        <f t="shared" si="22"/>
        <v>3</v>
      </c>
      <c r="S25" s="173">
        <f t="shared" ref="S25:S35" si="25">S24+N25</f>
        <v>165005.00000000003</v>
      </c>
      <c r="T25" s="86">
        <f t="shared" si="23"/>
        <v>2148703.1594999996</v>
      </c>
      <c r="U25" s="86">
        <f t="shared" si="0"/>
        <v>429740.63189999992</v>
      </c>
      <c r="V25" s="99">
        <v>19.457999999999998</v>
      </c>
      <c r="W25" s="85"/>
      <c r="X25" s="86">
        <f t="shared" si="17"/>
        <v>612380.4004574999</v>
      </c>
      <c r="Y25" s="111">
        <f t="shared" si="24"/>
        <v>1439631.1168649998</v>
      </c>
    </row>
    <row r="26" spans="1:25" x14ac:dyDescent="0.25">
      <c r="A26" s="21">
        <v>21</v>
      </c>
      <c r="B26" s="3">
        <v>2020</v>
      </c>
      <c r="C26" s="4"/>
      <c r="D26" s="4"/>
      <c r="E26" s="4"/>
      <c r="F26" s="37">
        <f t="shared" si="18"/>
        <v>179828.33333333337</v>
      </c>
      <c r="G26" s="174">
        <f t="shared" si="19"/>
        <v>2391837.0079999999</v>
      </c>
      <c r="H26" s="4"/>
      <c r="I26" s="41">
        <f t="shared" si="16"/>
        <v>155616.70407364922</v>
      </c>
      <c r="K26" s="73"/>
      <c r="L26" s="136">
        <v>2020</v>
      </c>
      <c r="M26" s="96">
        <f>M25-R46</f>
        <v>0</v>
      </c>
      <c r="N26" s="132">
        <f t="shared" si="20"/>
        <v>14823.333333333334</v>
      </c>
      <c r="O26" s="133">
        <f>O25-$R$46+N26</f>
        <v>29646.666666666672</v>
      </c>
      <c r="P26" s="133">
        <f>P25+$R$46</f>
        <v>120532</v>
      </c>
      <c r="Q26" s="131">
        <f>S26-S25</f>
        <v>14823.333333333343</v>
      </c>
      <c r="R26" s="133">
        <f t="shared" si="22"/>
        <v>3</v>
      </c>
      <c r="S26" s="179">
        <f>S25+N26</f>
        <v>179828.33333333337</v>
      </c>
      <c r="T26" s="133">
        <f t="shared" si="23"/>
        <v>2391837.0079999999</v>
      </c>
      <c r="U26" s="133">
        <f t="shared" si="0"/>
        <v>478367.40159999998</v>
      </c>
      <c r="V26" s="120">
        <v>19.843999999999998</v>
      </c>
      <c r="W26" s="134"/>
      <c r="X26" s="133">
        <f t="shared" si="17"/>
        <v>681673.54728000006</v>
      </c>
      <c r="Y26" s="131">
        <f t="shared" si="24"/>
        <v>1602530.7953600001</v>
      </c>
    </row>
    <row r="27" spans="1:25" x14ac:dyDescent="0.25">
      <c r="A27" s="21">
        <v>22</v>
      </c>
      <c r="B27" s="3">
        <v>2021</v>
      </c>
      <c r="C27" s="4"/>
      <c r="D27" s="4"/>
      <c r="E27" s="4"/>
      <c r="F27" s="37">
        <f t="shared" si="18"/>
        <v>194651.66666666672</v>
      </c>
      <c r="G27" s="174">
        <f t="shared" si="19"/>
        <v>2738238.3933333331</v>
      </c>
      <c r="H27" s="4"/>
      <c r="I27" s="41">
        <f t="shared" si="16"/>
        <v>165264.93972621547</v>
      </c>
      <c r="K27" s="73"/>
      <c r="L27" s="3">
        <v>2021</v>
      </c>
      <c r="M27" s="85"/>
      <c r="N27" s="129">
        <f t="shared" si="20"/>
        <v>14823.333333333334</v>
      </c>
      <c r="O27" s="86">
        <f t="shared" ref="O27:O31" si="26">O26-$R$46+N27</f>
        <v>34365.750000000007</v>
      </c>
      <c r="P27" s="86">
        <f>P26+N23</f>
        <v>135355.33333333334</v>
      </c>
      <c r="Q27" s="111">
        <f t="shared" si="15"/>
        <v>14823.333333333343</v>
      </c>
      <c r="R27" s="86">
        <f t="shared" si="22"/>
        <v>3</v>
      </c>
      <c r="S27" s="173">
        <f>S26+N27</f>
        <v>194651.66666666672</v>
      </c>
      <c r="T27" s="86">
        <f t="shared" si="23"/>
        <v>2738238.3933333331</v>
      </c>
      <c r="U27" s="86">
        <f t="shared" si="0"/>
        <v>547647.67866666662</v>
      </c>
      <c r="V27" s="99">
        <v>20.229999999999997</v>
      </c>
      <c r="W27" s="85"/>
      <c r="X27" s="86">
        <f t="shared" si="17"/>
        <v>780397.94209999999</v>
      </c>
      <c r="Y27" s="111">
        <f t="shared" si="24"/>
        <v>1834619.7235333333</v>
      </c>
    </row>
    <row r="28" spans="1:25" x14ac:dyDescent="0.25">
      <c r="A28" s="21">
        <v>23</v>
      </c>
      <c r="B28" s="3">
        <v>2022</v>
      </c>
      <c r="C28" s="4"/>
      <c r="D28" s="4"/>
      <c r="E28" s="4"/>
      <c r="F28" s="37">
        <f t="shared" si="18"/>
        <v>209475.00000000006</v>
      </c>
      <c r="G28" s="174">
        <f t="shared" si="19"/>
        <v>3096083.392</v>
      </c>
      <c r="H28" s="4"/>
      <c r="I28" s="41">
        <f t="shared" si="16"/>
        <v>175511.36598924085</v>
      </c>
      <c r="K28" s="73"/>
      <c r="L28" s="3">
        <v>2022</v>
      </c>
      <c r="M28" s="85"/>
      <c r="N28" s="129">
        <f t="shared" si="20"/>
        <v>14823.333333333334</v>
      </c>
      <c r="O28" s="86">
        <f t="shared" si="26"/>
        <v>39084.833333333343</v>
      </c>
      <c r="P28" s="86">
        <f t="shared" ref="P28:P33" si="27">P27+N24</f>
        <v>150178.66666666669</v>
      </c>
      <c r="Q28" s="111">
        <f t="shared" si="15"/>
        <v>14823.333333333343</v>
      </c>
      <c r="R28" s="86">
        <f t="shared" si="22"/>
        <v>3</v>
      </c>
      <c r="S28" s="173">
        <f>S27+N28</f>
        <v>209475.00000000006</v>
      </c>
      <c r="T28" s="86">
        <f t="shared" si="23"/>
        <v>3096083.392</v>
      </c>
      <c r="U28" s="86">
        <f t="shared" si="0"/>
        <v>619216.67839999998</v>
      </c>
      <c r="V28" s="99">
        <v>20.615999999999996</v>
      </c>
      <c r="W28" s="85"/>
      <c r="X28" s="86">
        <f t="shared" si="17"/>
        <v>882383.76672000007</v>
      </c>
      <c r="Y28" s="111">
        <f t="shared" si="24"/>
        <v>2074375.8726400002</v>
      </c>
    </row>
    <row r="29" spans="1:25" x14ac:dyDescent="0.25">
      <c r="A29" s="21">
        <v>24</v>
      </c>
      <c r="B29" s="3">
        <v>2023</v>
      </c>
      <c r="C29" s="4"/>
      <c r="D29" s="4"/>
      <c r="E29" s="4"/>
      <c r="F29" s="37">
        <f t="shared" si="18"/>
        <v>224298.3333333334</v>
      </c>
      <c r="G29" s="174">
        <f t="shared" si="19"/>
        <v>3465372.0039999997</v>
      </c>
      <c r="H29" s="4"/>
      <c r="I29" s="41">
        <f t="shared" si="16"/>
        <v>186393.07068057379</v>
      </c>
      <c r="K29" s="73"/>
      <c r="L29" s="3">
        <v>2023</v>
      </c>
      <c r="M29" s="85"/>
      <c r="N29" s="129">
        <f t="shared" si="20"/>
        <v>14823.333333333334</v>
      </c>
      <c r="O29" s="86">
        <f t="shared" si="26"/>
        <v>43803.916666666679</v>
      </c>
      <c r="P29" s="86">
        <f t="shared" si="27"/>
        <v>165002.00000000003</v>
      </c>
      <c r="Q29" s="111">
        <f t="shared" si="15"/>
        <v>14823.333333333343</v>
      </c>
      <c r="R29" s="86">
        <f t="shared" si="22"/>
        <v>3</v>
      </c>
      <c r="S29" s="173">
        <f t="shared" si="25"/>
        <v>224298.3333333334</v>
      </c>
      <c r="T29" s="86">
        <f t="shared" si="23"/>
        <v>3465372.0039999997</v>
      </c>
      <c r="U29" s="86">
        <f t="shared" si="0"/>
        <v>693074.40079999994</v>
      </c>
      <c r="V29" s="99">
        <v>21.001999999999995</v>
      </c>
      <c r="W29" s="85"/>
      <c r="X29" s="86">
        <f t="shared" si="17"/>
        <v>987631.02114000008</v>
      </c>
      <c r="Y29" s="111">
        <f t="shared" si="24"/>
        <v>2321799.2426800001</v>
      </c>
    </row>
    <row r="30" spans="1:25" x14ac:dyDescent="0.25">
      <c r="A30" s="21">
        <v>25</v>
      </c>
      <c r="B30" s="3">
        <v>2024</v>
      </c>
      <c r="C30" s="4"/>
      <c r="D30" s="4"/>
      <c r="E30" s="4"/>
      <c r="F30" s="37">
        <f t="shared" si="18"/>
        <v>239121.66666666674</v>
      </c>
      <c r="G30" s="174">
        <f t="shared" si="19"/>
        <v>3846104.2293333332</v>
      </c>
      <c r="H30" s="4"/>
      <c r="I30" s="41">
        <f t="shared" si="16"/>
        <v>197949.44106276936</v>
      </c>
      <c r="K30" s="73"/>
      <c r="L30" s="3">
        <v>2024</v>
      </c>
      <c r="M30" s="85"/>
      <c r="N30" s="129">
        <f t="shared" si="20"/>
        <v>14823.333333333334</v>
      </c>
      <c r="O30" s="86">
        <f t="shared" si="26"/>
        <v>48523.000000000015</v>
      </c>
      <c r="P30" s="86">
        <f t="shared" si="27"/>
        <v>179825.33333333337</v>
      </c>
      <c r="Q30" s="111">
        <f t="shared" si="15"/>
        <v>14823.333333333343</v>
      </c>
      <c r="R30" s="86">
        <f t="shared" si="22"/>
        <v>3</v>
      </c>
      <c r="S30" s="173">
        <f t="shared" si="25"/>
        <v>239121.66666666674</v>
      </c>
      <c r="T30" s="86">
        <f t="shared" si="23"/>
        <v>3846104.2293333332</v>
      </c>
      <c r="U30" s="86">
        <f t="shared" si="0"/>
        <v>769220.84586666664</v>
      </c>
      <c r="V30" s="99">
        <v>21.387999999999995</v>
      </c>
      <c r="W30" s="85"/>
      <c r="X30" s="86">
        <f t="shared" si="17"/>
        <v>1096139.70536</v>
      </c>
      <c r="Y30" s="111">
        <f t="shared" si="24"/>
        <v>2576889.8336533336</v>
      </c>
    </row>
    <row r="31" spans="1:25" x14ac:dyDescent="0.25">
      <c r="A31" s="21">
        <v>26</v>
      </c>
      <c r="B31" s="3">
        <v>2025</v>
      </c>
      <c r="C31" s="4"/>
      <c r="D31" s="4"/>
      <c r="E31" s="4"/>
      <c r="F31" s="37">
        <f t="shared" si="18"/>
        <v>253945.00000000009</v>
      </c>
      <c r="G31" s="174">
        <f t="shared" si="19"/>
        <v>4238280.068</v>
      </c>
      <c r="H31" s="4"/>
      <c r="I31" s="41">
        <f t="shared" si="16"/>
        <v>210222.30640866107</v>
      </c>
      <c r="K31" s="73"/>
      <c r="L31" s="3">
        <v>2025</v>
      </c>
      <c r="M31" s="85"/>
      <c r="N31" s="129">
        <f t="shared" si="20"/>
        <v>14823.333333333334</v>
      </c>
      <c r="O31" s="86">
        <f t="shared" si="26"/>
        <v>53242.08333333335</v>
      </c>
      <c r="P31" s="86">
        <f t="shared" si="27"/>
        <v>194648.66666666672</v>
      </c>
      <c r="Q31" s="111">
        <f t="shared" si="15"/>
        <v>14823.333333333343</v>
      </c>
      <c r="R31" s="86">
        <f t="shared" si="22"/>
        <v>3</v>
      </c>
      <c r="S31" s="173">
        <f>S30+N31</f>
        <v>253945.00000000009</v>
      </c>
      <c r="T31" s="86">
        <f t="shared" si="23"/>
        <v>4238280.068</v>
      </c>
      <c r="U31" s="86">
        <f t="shared" si="0"/>
        <v>847656.01360000006</v>
      </c>
      <c r="V31" s="99">
        <v>21.773999999999994</v>
      </c>
      <c r="W31" s="85"/>
      <c r="X31" s="86">
        <f t="shared" si="17"/>
        <v>1207909.8193800002</v>
      </c>
      <c r="Y31" s="111">
        <f t="shared" si="24"/>
        <v>2839647.6455600001</v>
      </c>
    </row>
    <row r="32" spans="1:25" x14ac:dyDescent="0.25">
      <c r="A32" s="21">
        <v>27</v>
      </c>
      <c r="B32" s="3">
        <v>2026</v>
      </c>
      <c r="C32" s="4"/>
      <c r="D32" s="4"/>
      <c r="E32" s="4"/>
      <c r="F32" s="37">
        <f t="shared" si="18"/>
        <v>253945.00000000009</v>
      </c>
      <c r="G32" s="174">
        <f t="shared" si="19"/>
        <v>4641899.5199999996</v>
      </c>
      <c r="H32" s="4"/>
      <c r="I32" s="41">
        <f t="shared" si="16"/>
        <v>223256.08940599806</v>
      </c>
      <c r="K32" s="73"/>
      <c r="L32" s="3">
        <v>2026</v>
      </c>
      <c r="M32" s="85"/>
      <c r="N32" s="129"/>
      <c r="O32" s="86"/>
      <c r="P32" s="86">
        <f t="shared" si="27"/>
        <v>209472.00000000006</v>
      </c>
      <c r="Q32" s="111">
        <f t="shared" si="15"/>
        <v>0</v>
      </c>
      <c r="R32" s="86">
        <v>3</v>
      </c>
      <c r="S32" s="173">
        <f t="shared" si="25"/>
        <v>253945.00000000009</v>
      </c>
      <c r="T32" s="86">
        <f t="shared" si="23"/>
        <v>4641899.5199999996</v>
      </c>
      <c r="U32" s="86">
        <f t="shared" si="0"/>
        <v>928379.90399999998</v>
      </c>
      <c r="V32" s="99">
        <v>22.159999999999993</v>
      </c>
      <c r="W32" s="85"/>
      <c r="X32" s="86">
        <f t="shared" si="17"/>
        <v>1322941.3632</v>
      </c>
      <c r="Y32" s="111">
        <f t="shared" si="24"/>
        <v>3110072.6784000001</v>
      </c>
    </row>
    <row r="33" spans="1:25" x14ac:dyDescent="0.25">
      <c r="A33" s="21">
        <v>28</v>
      </c>
      <c r="B33" s="3">
        <v>2027</v>
      </c>
      <c r="C33" s="4"/>
      <c r="D33" s="4"/>
      <c r="E33" s="4"/>
      <c r="F33" s="37">
        <f t="shared" si="18"/>
        <v>253945.00000000009</v>
      </c>
      <c r="G33" s="174">
        <f t="shared" si="19"/>
        <v>5056962.5853333334</v>
      </c>
      <c r="H33" s="4"/>
      <c r="I33" s="41">
        <f t="shared" si="16"/>
        <v>237097.96694916996</v>
      </c>
      <c r="K33" s="73"/>
      <c r="L33" s="3">
        <v>2027</v>
      </c>
      <c r="M33" s="85"/>
      <c r="N33" s="129"/>
      <c r="O33" s="86"/>
      <c r="P33" s="86">
        <f t="shared" si="27"/>
        <v>224295.3333333334</v>
      </c>
      <c r="Q33" s="111">
        <f t="shared" si="15"/>
        <v>0</v>
      </c>
      <c r="R33" s="86">
        <v>3</v>
      </c>
      <c r="S33" s="173">
        <f t="shared" si="25"/>
        <v>253945.00000000009</v>
      </c>
      <c r="T33" s="86">
        <f t="shared" si="23"/>
        <v>5056962.5853333334</v>
      </c>
      <c r="U33" s="86">
        <f t="shared" si="0"/>
        <v>1011392.5170666667</v>
      </c>
      <c r="V33" s="99">
        <v>22.545999999999992</v>
      </c>
      <c r="W33" s="85"/>
      <c r="X33" s="86">
        <f t="shared" si="17"/>
        <v>1441234.3368200001</v>
      </c>
      <c r="Y33" s="111">
        <f t="shared" si="24"/>
        <v>3388164.9321733336</v>
      </c>
    </row>
    <row r="34" spans="1:25" x14ac:dyDescent="0.25">
      <c r="A34" s="21">
        <v>29</v>
      </c>
      <c r="B34" s="3">
        <v>2028</v>
      </c>
      <c r="C34" s="4"/>
      <c r="D34" s="4"/>
      <c r="E34" s="4"/>
      <c r="F34" s="37">
        <f t="shared" si="18"/>
        <v>253945.00000000009</v>
      </c>
      <c r="G34" s="174">
        <f t="shared" si="19"/>
        <v>5483469.2639999995</v>
      </c>
      <c r="H34" s="4"/>
      <c r="I34" s="41">
        <f t="shared" si="16"/>
        <v>251798.0409000185</v>
      </c>
      <c r="K34" s="73"/>
      <c r="L34" s="3">
        <v>2028</v>
      </c>
      <c r="M34" s="85"/>
      <c r="N34" s="129"/>
      <c r="O34" s="86"/>
      <c r="P34" s="86">
        <f>P33+N30</f>
        <v>239118.66666666674</v>
      </c>
      <c r="Q34" s="111">
        <f t="shared" si="15"/>
        <v>0</v>
      </c>
      <c r="R34" s="86">
        <v>3</v>
      </c>
      <c r="S34" s="173">
        <f t="shared" si="25"/>
        <v>253945.00000000009</v>
      </c>
      <c r="T34" s="86">
        <f t="shared" si="23"/>
        <v>5483469.2639999995</v>
      </c>
      <c r="U34" s="86">
        <f t="shared" si="0"/>
        <v>1096693.8528</v>
      </c>
      <c r="V34" s="99">
        <v>22.931999999999992</v>
      </c>
      <c r="W34" s="85"/>
      <c r="X34" s="86">
        <f t="shared" si="17"/>
        <v>1562788.74024</v>
      </c>
      <c r="Y34" s="111">
        <f t="shared" si="24"/>
        <v>3673924.4068799997</v>
      </c>
    </row>
    <row r="35" spans="1:25" x14ac:dyDescent="0.25">
      <c r="A35" s="21">
        <v>30</v>
      </c>
      <c r="B35" s="3">
        <v>2029</v>
      </c>
      <c r="C35" s="4"/>
      <c r="D35" s="4"/>
      <c r="E35" s="4"/>
      <c r="F35" s="37">
        <f t="shared" si="18"/>
        <v>253945.00000000009</v>
      </c>
      <c r="G35" s="174">
        <f t="shared" si="19"/>
        <v>5921419.5559999999</v>
      </c>
      <c r="H35" s="4"/>
      <c r="I35" s="41">
        <f t="shared" si="16"/>
        <v>267409.51943581965</v>
      </c>
      <c r="K35" s="73"/>
      <c r="L35" s="3">
        <v>2029</v>
      </c>
      <c r="M35" s="85"/>
      <c r="N35" s="129"/>
      <c r="O35" s="86"/>
      <c r="P35" s="86">
        <f>P34+N31</f>
        <v>253942.00000000009</v>
      </c>
      <c r="Q35" s="111">
        <f t="shared" si="15"/>
        <v>0</v>
      </c>
      <c r="R35" s="86">
        <f t="shared" si="22"/>
        <v>3</v>
      </c>
      <c r="S35" s="173">
        <f t="shared" si="25"/>
        <v>253945.00000000009</v>
      </c>
      <c r="T35" s="86">
        <f t="shared" si="23"/>
        <v>5921419.5559999999</v>
      </c>
      <c r="U35" s="86">
        <f t="shared" si="0"/>
        <v>1184283.9112</v>
      </c>
      <c r="V35" s="99">
        <v>23.317999999999991</v>
      </c>
      <c r="W35" s="130"/>
      <c r="X35" s="86">
        <f>T35*($P$52+$P$53+$P$54)</f>
        <v>1687604.5734600001</v>
      </c>
      <c r="Y35" s="111">
        <f t="shared" si="24"/>
        <v>3967351.1025200002</v>
      </c>
    </row>
    <row r="36" spans="1:25" x14ac:dyDescent="0.25">
      <c r="A36" s="21">
        <v>31</v>
      </c>
      <c r="B36" s="3">
        <v>2030</v>
      </c>
      <c r="C36" s="4"/>
      <c r="D36" s="4"/>
      <c r="E36" s="4"/>
      <c r="F36" s="37">
        <f t="shared" si="18"/>
        <v>253945.00000000009</v>
      </c>
      <c r="G36" s="174">
        <f t="shared" si="19"/>
        <v>6019441.1680000024</v>
      </c>
      <c r="H36" s="4"/>
      <c r="I36" s="41">
        <f>F36*70%</f>
        <v>177761.50000000006</v>
      </c>
      <c r="K36" s="73"/>
      <c r="L36" s="136">
        <v>2030</v>
      </c>
      <c r="M36" s="134"/>
      <c r="N36" s="132"/>
      <c r="O36" s="133"/>
      <c r="P36" s="86">
        <f>P35+N32</f>
        <v>253942.00000000009</v>
      </c>
      <c r="Q36" s="131">
        <f t="shared" si="15"/>
        <v>0</v>
      </c>
      <c r="R36" s="133">
        <v>3</v>
      </c>
      <c r="S36" s="179">
        <f>S35+N36</f>
        <v>253945.00000000009</v>
      </c>
      <c r="T36" s="133">
        <f>P36*V36</f>
        <v>6019441.1680000024</v>
      </c>
      <c r="U36" s="133">
        <f t="shared" si="0"/>
        <v>1203888.2336000006</v>
      </c>
      <c r="V36" s="120">
        <v>23.704000000000001</v>
      </c>
      <c r="W36" s="135">
        <f>((V36/V22)^(1/14)-1)</f>
        <v>3.2042975551555664E-2</v>
      </c>
      <c r="X36" s="134"/>
      <c r="Y36" s="134"/>
    </row>
    <row r="37" spans="1:25" x14ac:dyDescent="0.25">
      <c r="F37" s="33">
        <f>(F36/F22)^(1/14)-1</f>
        <v>5.4668993235888586E-2</v>
      </c>
      <c r="I37" s="33">
        <f>(I36/I21)^(1/15)-1</f>
        <v>2.9343370565397597E-2</v>
      </c>
      <c r="K37" s="73"/>
      <c r="L37" s="73"/>
      <c r="M37" s="73"/>
      <c r="N37" s="73"/>
      <c r="O37" s="73"/>
      <c r="P37" s="75"/>
      <c r="Q37" s="115" t="s">
        <v>89</v>
      </c>
      <c r="R37" s="115" t="s">
        <v>90</v>
      </c>
      <c r="S37" s="115" t="s">
        <v>91</v>
      </c>
      <c r="T37" s="138">
        <v>8</v>
      </c>
      <c r="U37" s="139">
        <v>29</v>
      </c>
      <c r="V37" s="139">
        <f>T37+U37</f>
        <v>37</v>
      </c>
      <c r="W37" s="73"/>
      <c r="X37" s="73"/>
      <c r="Y37" s="73"/>
    </row>
    <row r="38" spans="1:25" x14ac:dyDescent="0.25">
      <c r="K38" s="73"/>
      <c r="L38" s="73"/>
      <c r="M38" s="73"/>
      <c r="N38" s="73"/>
      <c r="O38" s="73"/>
      <c r="P38" s="73"/>
      <c r="Q38" s="137">
        <v>8</v>
      </c>
      <c r="R38" s="140">
        <f>(P26/6000)-Q38</f>
        <v>12.088666666666665</v>
      </c>
      <c r="S38" s="137">
        <f>(P36/6000)-(Q38+R38)</f>
        <v>22.235000000000017</v>
      </c>
      <c r="T38" s="138">
        <f>SUM(Q38:S38)</f>
        <v>42.323666666666682</v>
      </c>
      <c r="U38" s="139">
        <f>T38-V37</f>
        <v>5.3236666666666821</v>
      </c>
      <c r="V38" s="139"/>
      <c r="W38" s="73"/>
      <c r="X38" s="73"/>
      <c r="Y38" s="73"/>
    </row>
    <row r="39" spans="1:25" x14ac:dyDescent="0.25">
      <c r="A39" s="1" t="s">
        <v>40</v>
      </c>
      <c r="K39" s="73"/>
      <c r="L39" s="73"/>
      <c r="M39" s="90" t="s">
        <v>57</v>
      </c>
      <c r="N39" s="90"/>
      <c r="O39" s="90"/>
      <c r="P39" s="73"/>
      <c r="Q39" s="73"/>
      <c r="R39" s="77">
        <f>R40/9</f>
        <v>14823.333333333334</v>
      </c>
      <c r="S39" s="76"/>
      <c r="T39"/>
      <c r="U39" s="73"/>
      <c r="V39" s="73"/>
      <c r="W39" s="73"/>
      <c r="X39" s="73"/>
      <c r="Y39" s="73"/>
    </row>
    <row r="40" spans="1:25" x14ac:dyDescent="0.25">
      <c r="A40" s="32">
        <v>1</v>
      </c>
      <c r="B40" s="1" t="s">
        <v>41</v>
      </c>
      <c r="K40" s="73"/>
      <c r="L40" s="73"/>
      <c r="M40" s="90" t="s">
        <v>65</v>
      </c>
      <c r="N40" s="90"/>
      <c r="O40" s="90"/>
      <c r="P40" s="73"/>
      <c r="Q40" s="73"/>
      <c r="R40" s="94">
        <f>R44-R41</f>
        <v>133410</v>
      </c>
      <c r="S40" s="88" t="s">
        <v>54</v>
      </c>
      <c r="T40" s="73"/>
      <c r="U40" s="73"/>
      <c r="V40" s="73"/>
      <c r="W40" s="73"/>
      <c r="X40" s="73"/>
      <c r="Y40" s="73"/>
    </row>
    <row r="41" spans="1:25" x14ac:dyDescent="0.25">
      <c r="A41" s="32">
        <v>2</v>
      </c>
      <c r="B41" s="1" t="s">
        <v>42</v>
      </c>
      <c r="K41" s="73"/>
      <c r="L41" s="73"/>
      <c r="M41" s="90" t="s">
        <v>56</v>
      </c>
      <c r="N41" s="90"/>
      <c r="O41" s="90"/>
      <c r="P41" s="73"/>
      <c r="Q41" s="73"/>
      <c r="R41" s="78">
        <f>S22</f>
        <v>120535</v>
      </c>
      <c r="S41" s="76"/>
      <c r="T41"/>
      <c r="U41" s="73"/>
      <c r="V41" s="73"/>
      <c r="W41" s="73"/>
      <c r="X41" s="73"/>
      <c r="Y41" s="73"/>
    </row>
    <row r="42" spans="1:25" x14ac:dyDescent="0.25">
      <c r="K42" s="73"/>
      <c r="L42" s="73"/>
      <c r="M42" s="91"/>
      <c r="N42" s="92"/>
      <c r="O42" s="92"/>
      <c r="P42" s="73"/>
      <c r="Q42" s="73"/>
      <c r="R42"/>
      <c r="S42"/>
      <c r="T42"/>
      <c r="U42" s="73"/>
      <c r="V42" s="73"/>
      <c r="W42" s="73"/>
      <c r="X42" s="73"/>
      <c r="Y42" s="73"/>
    </row>
    <row r="43" spans="1:25" x14ac:dyDescent="0.25">
      <c r="K43" s="73"/>
      <c r="L43" s="73"/>
      <c r="M43" s="73" t="s">
        <v>66</v>
      </c>
      <c r="N43" s="73"/>
      <c r="O43" s="73"/>
      <c r="P43" s="73"/>
      <c r="Q43" s="73"/>
      <c r="R43" s="7">
        <v>405645</v>
      </c>
      <c r="S43" t="s">
        <v>58</v>
      </c>
      <c r="T43"/>
      <c r="U43" s="73"/>
      <c r="V43" s="73"/>
      <c r="W43" s="73"/>
      <c r="X43" s="73"/>
      <c r="Y43" s="73"/>
    </row>
    <row r="44" spans="1:25" x14ac:dyDescent="0.25">
      <c r="K44" s="73"/>
      <c r="L44" s="73"/>
      <c r="M44" s="73" t="s">
        <v>59</v>
      </c>
      <c r="N44" s="73"/>
      <c r="O44" s="73"/>
      <c r="P44" s="73"/>
      <c r="Q44" s="112">
        <f>S36/R43</f>
        <v>0.62602768430524247</v>
      </c>
      <c r="R44" s="177">
        <v>253945</v>
      </c>
      <c r="S44" s="93" t="s">
        <v>104</v>
      </c>
      <c r="T44"/>
      <c r="U44" s="73"/>
      <c r="V44" s="73"/>
      <c r="W44" s="73"/>
      <c r="X44" s="73"/>
      <c r="Y44" s="73"/>
    </row>
    <row r="45" spans="1:25" x14ac:dyDescent="0.25">
      <c r="K45" s="73"/>
      <c r="L45" s="73"/>
      <c r="M45" s="73" t="s">
        <v>60</v>
      </c>
      <c r="N45" s="73"/>
      <c r="O45" s="73"/>
      <c r="P45" s="73"/>
      <c r="Q45" s="73"/>
      <c r="R45" s="80">
        <f>S22-S21</f>
        <v>5340</v>
      </c>
      <c r="S45"/>
      <c r="T45"/>
      <c r="U45" s="73"/>
      <c r="V45" s="73"/>
      <c r="W45" s="73"/>
      <c r="X45" s="73"/>
      <c r="Y45" s="73"/>
    </row>
    <row r="46" spans="1:25" x14ac:dyDescent="0.25">
      <c r="K46" s="73"/>
      <c r="L46" s="73"/>
      <c r="M46" s="90" t="s">
        <v>61</v>
      </c>
      <c r="N46" s="90"/>
      <c r="O46" s="90"/>
      <c r="P46" s="73"/>
      <c r="Q46" s="73"/>
      <c r="R46" s="81">
        <f>O22/4</f>
        <v>10104.25</v>
      </c>
      <c r="S46"/>
      <c r="T46"/>
      <c r="U46" s="73"/>
      <c r="V46" s="73"/>
      <c r="W46" s="73"/>
      <c r="X46" s="73"/>
      <c r="Y46" s="73"/>
    </row>
    <row r="47" spans="1:25" x14ac:dyDescent="0.25">
      <c r="K47" s="73"/>
      <c r="L47" s="73"/>
      <c r="M47" s="90" t="s">
        <v>62</v>
      </c>
      <c r="N47" s="90"/>
      <c r="O47" s="90"/>
      <c r="P47" s="73"/>
      <c r="Q47" s="73"/>
      <c r="R47" s="82">
        <f>R39</f>
        <v>14823.333333333334</v>
      </c>
      <c r="S47"/>
      <c r="T47"/>
      <c r="U47" s="73"/>
      <c r="V47" s="73"/>
      <c r="W47" s="73"/>
      <c r="X47" s="73"/>
      <c r="Y47" s="73"/>
    </row>
    <row r="48" spans="1:25" x14ac:dyDescent="0.25"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</row>
    <row r="49" spans="11:25" x14ac:dyDescent="0.25"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</row>
    <row r="50" spans="11:25" x14ac:dyDescent="0.25">
      <c r="K50" s="73"/>
      <c r="L50" s="73"/>
      <c r="M50" s="101" t="s">
        <v>67</v>
      </c>
      <c r="N50" s="73"/>
      <c r="O50" s="73"/>
      <c r="P50" s="72"/>
      <c r="Q50">
        <v>10</v>
      </c>
      <c r="R50" t="s">
        <v>68</v>
      </c>
      <c r="S50"/>
      <c r="T50" s="73"/>
      <c r="U50" s="73"/>
      <c r="V50" s="73"/>
      <c r="W50" s="73"/>
      <c r="X50" s="73"/>
      <c r="Y50" s="73"/>
    </row>
    <row r="51" spans="11:25" x14ac:dyDescent="0.25">
      <c r="K51" s="73"/>
      <c r="L51" s="73"/>
      <c r="M51" s="101" t="s">
        <v>69</v>
      </c>
      <c r="N51" s="73"/>
      <c r="O51" s="73"/>
      <c r="P51" s="107">
        <v>0.67</v>
      </c>
      <c r="Q51">
        <f>P51*$G$49</f>
        <v>0</v>
      </c>
      <c r="R51" t="s">
        <v>70</v>
      </c>
      <c r="S51" t="s">
        <v>71</v>
      </c>
      <c r="T51" s="73"/>
      <c r="U51" s="73"/>
      <c r="V51" s="73"/>
      <c r="W51" s="73"/>
      <c r="X51" s="73"/>
      <c r="Y51" s="73"/>
    </row>
    <row r="52" spans="11:25" x14ac:dyDescent="0.25">
      <c r="K52" s="73"/>
      <c r="L52" s="73"/>
      <c r="M52" s="101" t="s">
        <v>72</v>
      </c>
      <c r="N52" s="73"/>
      <c r="O52" s="73"/>
      <c r="P52" s="107">
        <v>0.22</v>
      </c>
      <c r="Q52">
        <f t="shared" ref="Q52:Q56" si="28">P52*$G$49</f>
        <v>0</v>
      </c>
      <c r="R52" t="s">
        <v>68</v>
      </c>
      <c r="S52"/>
      <c r="T52" s="73"/>
      <c r="U52" s="73"/>
      <c r="V52" s="73"/>
      <c r="W52" s="73"/>
      <c r="X52" s="73"/>
      <c r="Y52" s="73"/>
    </row>
    <row r="53" spans="11:25" x14ac:dyDescent="0.25">
      <c r="K53" s="73"/>
      <c r="L53" s="73"/>
      <c r="M53" s="101" t="s">
        <v>73</v>
      </c>
      <c r="N53" s="73"/>
      <c r="O53" s="73"/>
      <c r="P53" s="108">
        <v>5.0000000000000001E-3</v>
      </c>
      <c r="Q53">
        <f t="shared" si="28"/>
        <v>0</v>
      </c>
      <c r="R53" t="s">
        <v>68</v>
      </c>
      <c r="S53" t="s">
        <v>74</v>
      </c>
      <c r="T53" s="73"/>
      <c r="U53" s="73"/>
      <c r="V53" s="73"/>
      <c r="W53" s="73"/>
      <c r="X53" s="73"/>
      <c r="Y53" s="73"/>
    </row>
    <row r="54" spans="11:25" x14ac:dyDescent="0.25">
      <c r="L54" s="73"/>
      <c r="M54" s="101" t="s">
        <v>75</v>
      </c>
      <c r="N54" s="73"/>
      <c r="O54" s="73"/>
      <c r="P54" s="107">
        <v>0.06</v>
      </c>
      <c r="Q54">
        <f t="shared" si="28"/>
        <v>0</v>
      </c>
      <c r="R54" t="s">
        <v>68</v>
      </c>
      <c r="S54" t="s">
        <v>76</v>
      </c>
      <c r="T54" s="73"/>
      <c r="U54" s="73"/>
      <c r="V54" s="73"/>
      <c r="W54" s="73"/>
      <c r="X54" s="73"/>
      <c r="Y54" s="73"/>
    </row>
    <row r="55" spans="11:25" x14ac:dyDescent="0.25">
      <c r="L55" s="73"/>
      <c r="M55" s="101" t="s">
        <v>77</v>
      </c>
      <c r="N55" s="73"/>
      <c r="O55" s="73"/>
      <c r="P55" s="109">
        <v>0.13500000000000001</v>
      </c>
      <c r="Q55">
        <f t="shared" si="28"/>
        <v>0</v>
      </c>
      <c r="R55" t="s">
        <v>68</v>
      </c>
      <c r="S55" t="s">
        <v>78</v>
      </c>
      <c r="T55" s="73"/>
      <c r="U55" s="73"/>
      <c r="V55" s="73"/>
      <c r="W55" s="73"/>
      <c r="X55" s="73"/>
      <c r="Y55" s="73"/>
    </row>
    <row r="56" spans="11:25" x14ac:dyDescent="0.25">
      <c r="L56" s="73"/>
      <c r="M56" s="101" t="s">
        <v>79</v>
      </c>
      <c r="N56" s="73"/>
      <c r="O56" s="73"/>
      <c r="P56" s="109">
        <v>5.5E-2</v>
      </c>
      <c r="Q56">
        <f t="shared" si="28"/>
        <v>0</v>
      </c>
      <c r="R56" t="s">
        <v>68</v>
      </c>
      <c r="S56" t="s">
        <v>78</v>
      </c>
      <c r="T56" s="73"/>
      <c r="U56" s="73"/>
      <c r="V56" s="73"/>
      <c r="W56" s="73"/>
      <c r="X56" s="73"/>
      <c r="Y56" s="73"/>
    </row>
  </sheetData>
  <mergeCells count="3">
    <mergeCell ref="C4:E4"/>
    <mergeCell ref="A4:A5"/>
    <mergeCell ref="B4:B5"/>
  </mergeCells>
  <pageMargins left="0.7" right="0.7" top="0.75" bottom="0.75" header="0.3" footer="0.3"/>
  <pageSetup paperSize="9" orientation="portrait" horizontalDpi="4294967293" r:id="rId1"/>
  <ignoredErrors>
    <ignoredError sqref="F12:F14 F15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zoomScale="85" zoomScaleNormal="85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S36" sqref="S36"/>
    </sheetView>
  </sheetViews>
  <sheetFormatPr defaultRowHeight="15" x14ac:dyDescent="0.25"/>
  <cols>
    <col min="1" max="1" width="5.85546875" style="46" customWidth="1"/>
    <col min="2" max="2" width="9.140625" style="46"/>
    <col min="3" max="3" width="11.7109375" style="46" bestFit="1" customWidth="1"/>
    <col min="4" max="4" width="9" style="46" customWidth="1"/>
    <col min="5" max="5" width="9.7109375" style="46" bestFit="1" customWidth="1"/>
    <col min="6" max="6" width="11.5703125" style="46" bestFit="1" customWidth="1"/>
    <col min="7" max="7" width="13.42578125" style="46" bestFit="1" customWidth="1"/>
    <col min="8" max="8" width="15.42578125" style="46" bestFit="1" customWidth="1"/>
    <col min="9" max="9" width="11.5703125" style="46" bestFit="1" customWidth="1"/>
    <col min="10" max="11" width="9.140625" style="46"/>
    <col min="12" max="12" width="9.140625" style="1"/>
    <col min="13" max="13" width="13.28515625" style="1" customWidth="1"/>
    <col min="14" max="14" width="10.5703125" style="1" bestFit="1" customWidth="1"/>
    <col min="15" max="15" width="12.28515625" style="1" customWidth="1"/>
    <col min="16" max="16" width="15.7109375" style="1" bestFit="1" customWidth="1"/>
    <col min="17" max="17" width="17.85546875" style="1" customWidth="1"/>
    <col min="18" max="18" width="14.85546875" style="1" customWidth="1"/>
    <col min="19" max="19" width="14.140625" style="1" customWidth="1"/>
    <col min="20" max="20" width="15.140625" style="1" customWidth="1"/>
    <col min="21" max="21" width="14" style="1" customWidth="1"/>
    <col min="22" max="22" width="15" style="1" customWidth="1"/>
    <col min="23" max="23" width="12.5703125" style="1" customWidth="1"/>
    <col min="24" max="25" width="13.28515625" style="1" bestFit="1" customWidth="1"/>
    <col min="26" max="16384" width="9.140625" style="46"/>
  </cols>
  <sheetData>
    <row r="1" spans="1:25" x14ac:dyDescent="0.25">
      <c r="A1" s="45" t="s">
        <v>13</v>
      </c>
      <c r="B1" s="45"/>
      <c r="C1" s="45"/>
      <c r="D1" s="45"/>
      <c r="E1" s="45"/>
      <c r="F1" s="45"/>
      <c r="G1" s="45"/>
      <c r="H1" s="45"/>
    </row>
    <row r="2" spans="1:25" x14ac:dyDescent="0.25">
      <c r="A2" s="45" t="s">
        <v>14</v>
      </c>
      <c r="B2" s="45"/>
      <c r="C2" s="45"/>
      <c r="D2" s="45"/>
      <c r="E2" s="45"/>
      <c r="F2" s="45"/>
      <c r="G2" s="45"/>
      <c r="H2" s="45"/>
    </row>
    <row r="3" spans="1:25" x14ac:dyDescent="0.25">
      <c r="A3" s="45"/>
      <c r="B3" s="45"/>
      <c r="C3" s="45"/>
      <c r="D3" s="45"/>
      <c r="E3" s="45"/>
      <c r="F3" s="34" t="s">
        <v>43</v>
      </c>
      <c r="G3" s="45"/>
      <c r="H3" s="45"/>
      <c r="I3" s="51" t="s">
        <v>44</v>
      </c>
    </row>
    <row r="4" spans="1:25" ht="45" x14ac:dyDescent="0.25">
      <c r="A4" s="183" t="s">
        <v>1</v>
      </c>
      <c r="B4" s="183" t="s">
        <v>2</v>
      </c>
      <c r="C4" s="187" t="s">
        <v>3</v>
      </c>
      <c r="D4" s="187"/>
      <c r="E4" s="187"/>
      <c r="F4" s="52" t="s">
        <v>4</v>
      </c>
      <c r="G4" s="47" t="s">
        <v>5</v>
      </c>
      <c r="H4" s="47" t="s">
        <v>6</v>
      </c>
      <c r="I4" s="54" t="s">
        <v>4</v>
      </c>
      <c r="L4" s="70" t="s">
        <v>2</v>
      </c>
      <c r="M4" s="70" t="s">
        <v>63</v>
      </c>
      <c r="N4" s="70" t="s">
        <v>46</v>
      </c>
      <c r="O4" s="70" t="s">
        <v>7</v>
      </c>
      <c r="P4" s="70" t="s">
        <v>8</v>
      </c>
      <c r="Q4" s="70" t="s">
        <v>47</v>
      </c>
      <c r="R4" s="70" t="s">
        <v>9</v>
      </c>
      <c r="S4" s="70" t="s">
        <v>38</v>
      </c>
      <c r="T4" s="71" t="s">
        <v>48</v>
      </c>
      <c r="U4" s="70" t="s">
        <v>49</v>
      </c>
      <c r="V4" s="70" t="s">
        <v>50</v>
      </c>
      <c r="W4" s="70" t="s">
        <v>51</v>
      </c>
      <c r="X4" s="70" t="s">
        <v>52</v>
      </c>
      <c r="Y4" s="70" t="s">
        <v>53</v>
      </c>
    </row>
    <row r="5" spans="1:25" x14ac:dyDescent="0.25">
      <c r="A5" s="183"/>
      <c r="B5" s="183"/>
      <c r="C5" s="47" t="s">
        <v>7</v>
      </c>
      <c r="D5" s="47" t="s">
        <v>8</v>
      </c>
      <c r="E5" s="47" t="s">
        <v>9</v>
      </c>
      <c r="F5" s="52" t="s">
        <v>10</v>
      </c>
      <c r="G5" s="47" t="s">
        <v>11</v>
      </c>
      <c r="H5" s="47" t="s">
        <v>12</v>
      </c>
      <c r="I5" s="54" t="s">
        <v>10</v>
      </c>
      <c r="L5" s="72"/>
      <c r="M5" s="73"/>
      <c r="N5" s="73"/>
      <c r="O5" s="74"/>
      <c r="P5" s="74"/>
      <c r="Q5" s="73"/>
      <c r="R5" s="74"/>
      <c r="S5" s="74"/>
      <c r="T5" s="74"/>
      <c r="U5" s="74"/>
      <c r="V5" s="83"/>
      <c r="W5" s="73"/>
      <c r="X5" s="74"/>
      <c r="Y5" s="75"/>
    </row>
    <row r="6" spans="1:25" x14ac:dyDescent="0.25">
      <c r="A6" s="21">
        <v>1</v>
      </c>
      <c r="B6" s="21">
        <v>2000</v>
      </c>
      <c r="C6" s="47"/>
      <c r="D6" s="47"/>
      <c r="E6" s="47"/>
      <c r="F6" s="52"/>
      <c r="G6" s="47"/>
      <c r="H6" s="47"/>
      <c r="I6" s="55">
        <f>F6</f>
        <v>0</v>
      </c>
      <c r="L6" s="113">
        <v>2000</v>
      </c>
      <c r="M6" s="73"/>
      <c r="N6" s="73"/>
      <c r="O6" s="74">
        <f>C6</f>
        <v>0</v>
      </c>
      <c r="P6" s="74">
        <f>D6</f>
        <v>0</v>
      </c>
      <c r="Q6" s="73"/>
      <c r="R6" s="74">
        <f>E6</f>
        <v>0</v>
      </c>
      <c r="S6" s="74">
        <f>F6</f>
        <v>0</v>
      </c>
      <c r="T6" s="74">
        <f>G6</f>
        <v>0</v>
      </c>
      <c r="U6" s="74">
        <f t="shared" ref="U6:U36" si="0">T6*20%</f>
        <v>0</v>
      </c>
      <c r="V6" s="83" t="e">
        <f>T6/P6</f>
        <v>#DIV/0!</v>
      </c>
      <c r="W6" s="73"/>
      <c r="X6" s="74">
        <f t="shared" ref="X6:X22" si="1">T6*($F$51+$F$54+$F$55)</f>
        <v>0</v>
      </c>
      <c r="Y6" s="75">
        <f t="shared" ref="Y6:Y21" si="2">T6*$F$50</f>
        <v>0</v>
      </c>
    </row>
    <row r="7" spans="1:25" x14ac:dyDescent="0.25">
      <c r="A7" s="21">
        <v>2</v>
      </c>
      <c r="B7" s="21">
        <v>2001</v>
      </c>
      <c r="C7" s="47"/>
      <c r="D7" s="47"/>
      <c r="E7" s="47"/>
      <c r="F7" s="52"/>
      <c r="G7" s="47"/>
      <c r="H7" s="47"/>
      <c r="I7" s="55">
        <f t="shared" ref="I7:I21" si="3">F7</f>
        <v>0</v>
      </c>
      <c r="L7" s="113">
        <v>2001</v>
      </c>
      <c r="M7" s="73"/>
      <c r="N7" s="73"/>
      <c r="O7" s="74">
        <f t="shared" ref="O7:O12" si="4">C7</f>
        <v>0</v>
      </c>
      <c r="P7" s="74">
        <f t="shared" ref="P7:P22" si="5">D7</f>
        <v>0</v>
      </c>
      <c r="Q7" s="73"/>
      <c r="R7" s="74">
        <f t="shared" ref="R7:T22" si="6">E7</f>
        <v>0</v>
      </c>
      <c r="S7" s="74">
        <f t="shared" si="6"/>
        <v>0</v>
      </c>
      <c r="T7" s="74">
        <f t="shared" si="6"/>
        <v>0</v>
      </c>
      <c r="U7" s="74">
        <f t="shared" si="0"/>
        <v>0</v>
      </c>
      <c r="V7" s="83" t="e">
        <f t="shared" ref="V7:V22" si="7">T7/P7</f>
        <v>#DIV/0!</v>
      </c>
      <c r="W7" s="73"/>
      <c r="X7" s="74">
        <f t="shared" si="1"/>
        <v>0</v>
      </c>
      <c r="Y7" s="75">
        <f t="shared" si="2"/>
        <v>0</v>
      </c>
    </row>
    <row r="8" spans="1:25" x14ac:dyDescent="0.25">
      <c r="A8" s="21">
        <v>3</v>
      </c>
      <c r="B8" s="21">
        <v>2002</v>
      </c>
      <c r="C8" s="47"/>
      <c r="D8" s="47"/>
      <c r="E8" s="47"/>
      <c r="F8" s="52"/>
      <c r="G8" s="47"/>
      <c r="H8" s="47"/>
      <c r="I8" s="55">
        <f t="shared" si="3"/>
        <v>0</v>
      </c>
      <c r="L8" s="113">
        <v>2002</v>
      </c>
      <c r="M8" s="73"/>
      <c r="N8" s="73"/>
      <c r="O8" s="74">
        <f t="shared" si="4"/>
        <v>0</v>
      </c>
      <c r="P8" s="74">
        <f t="shared" si="5"/>
        <v>0</v>
      </c>
      <c r="Q8" s="73"/>
      <c r="R8" s="74">
        <f t="shared" si="6"/>
        <v>0</v>
      </c>
      <c r="S8" s="74">
        <f t="shared" si="6"/>
        <v>0</v>
      </c>
      <c r="T8" s="74">
        <f t="shared" si="6"/>
        <v>0</v>
      </c>
      <c r="U8" s="74">
        <f t="shared" si="0"/>
        <v>0</v>
      </c>
      <c r="V8" s="83" t="e">
        <f t="shared" si="7"/>
        <v>#DIV/0!</v>
      </c>
      <c r="W8" s="73"/>
      <c r="X8" s="74">
        <f t="shared" si="1"/>
        <v>0</v>
      </c>
      <c r="Y8" s="75">
        <f t="shared" si="2"/>
        <v>0</v>
      </c>
    </row>
    <row r="9" spans="1:25" x14ac:dyDescent="0.25">
      <c r="A9" s="21">
        <v>4</v>
      </c>
      <c r="B9" s="21">
        <v>2003</v>
      </c>
      <c r="C9" s="47"/>
      <c r="D9" s="47"/>
      <c r="E9" s="47"/>
      <c r="F9" s="52">
        <v>20048</v>
      </c>
      <c r="G9" s="47">
        <v>212430</v>
      </c>
      <c r="H9" s="47"/>
      <c r="I9" s="55">
        <f t="shared" si="3"/>
        <v>20048</v>
      </c>
      <c r="L9" s="113">
        <v>2003</v>
      </c>
      <c r="M9" s="127"/>
      <c r="N9" s="127"/>
      <c r="O9" s="125">
        <f t="shared" si="4"/>
        <v>0</v>
      </c>
      <c r="P9" s="125">
        <f t="shared" si="5"/>
        <v>0</v>
      </c>
      <c r="Q9" s="123">
        <f>S9-S8</f>
        <v>20048</v>
      </c>
      <c r="R9" s="125">
        <f t="shared" si="6"/>
        <v>0</v>
      </c>
      <c r="S9" s="125">
        <f t="shared" si="6"/>
        <v>20048</v>
      </c>
      <c r="T9" s="125">
        <f t="shared" si="6"/>
        <v>212430</v>
      </c>
      <c r="U9" s="125">
        <f t="shared" si="0"/>
        <v>42486</v>
      </c>
      <c r="V9" s="126" t="e">
        <f t="shared" si="7"/>
        <v>#DIV/0!</v>
      </c>
      <c r="W9" s="73"/>
      <c r="X9" s="74">
        <f t="shared" si="1"/>
        <v>0</v>
      </c>
      <c r="Y9" s="75">
        <f t="shared" si="2"/>
        <v>0</v>
      </c>
    </row>
    <row r="10" spans="1:25" x14ac:dyDescent="0.25">
      <c r="A10" s="21">
        <v>5</v>
      </c>
      <c r="B10" s="21">
        <v>2004</v>
      </c>
      <c r="C10" s="47"/>
      <c r="D10" s="47"/>
      <c r="E10" s="47"/>
      <c r="F10" s="52">
        <v>20548</v>
      </c>
      <c r="G10" s="47">
        <v>212845</v>
      </c>
      <c r="H10" s="47"/>
      <c r="I10" s="55">
        <f t="shared" si="3"/>
        <v>20548</v>
      </c>
      <c r="L10" s="113">
        <v>2004</v>
      </c>
      <c r="M10" s="127"/>
      <c r="N10" s="127"/>
      <c r="O10" s="125">
        <f t="shared" si="4"/>
        <v>0</v>
      </c>
      <c r="P10" s="125">
        <f t="shared" si="5"/>
        <v>0</v>
      </c>
      <c r="Q10" s="123">
        <f t="shared" ref="Q10:Q14" si="8">S10-S9</f>
        <v>500</v>
      </c>
      <c r="R10" s="125">
        <f t="shared" si="6"/>
        <v>0</v>
      </c>
      <c r="S10" s="125">
        <f t="shared" si="6"/>
        <v>20548</v>
      </c>
      <c r="T10" s="125">
        <f t="shared" si="6"/>
        <v>212845</v>
      </c>
      <c r="U10" s="125">
        <f t="shared" si="0"/>
        <v>42569</v>
      </c>
      <c r="V10" s="126" t="e">
        <f t="shared" si="7"/>
        <v>#DIV/0!</v>
      </c>
      <c r="W10" s="73"/>
      <c r="X10" s="74">
        <f t="shared" si="1"/>
        <v>0</v>
      </c>
      <c r="Y10" s="75">
        <f t="shared" si="2"/>
        <v>0</v>
      </c>
    </row>
    <row r="11" spans="1:25" x14ac:dyDescent="0.25">
      <c r="A11" s="21">
        <v>6</v>
      </c>
      <c r="B11" s="21">
        <v>2005</v>
      </c>
      <c r="C11" s="47"/>
      <c r="D11" s="47"/>
      <c r="E11" s="47"/>
      <c r="F11" s="52">
        <v>33476</v>
      </c>
      <c r="G11" s="47">
        <v>252470</v>
      </c>
      <c r="H11" s="47"/>
      <c r="I11" s="55">
        <f t="shared" si="3"/>
        <v>33476</v>
      </c>
      <c r="L11" s="113">
        <v>2005</v>
      </c>
      <c r="M11" s="127"/>
      <c r="N11" s="127"/>
      <c r="O11" s="125">
        <f t="shared" si="4"/>
        <v>0</v>
      </c>
      <c r="P11" s="125">
        <f t="shared" si="5"/>
        <v>0</v>
      </c>
      <c r="Q11" s="123">
        <f t="shared" si="8"/>
        <v>12928</v>
      </c>
      <c r="R11" s="125">
        <f t="shared" si="6"/>
        <v>0</v>
      </c>
      <c r="S11" s="125">
        <f t="shared" si="6"/>
        <v>33476</v>
      </c>
      <c r="T11" s="125">
        <f t="shared" si="6"/>
        <v>252470</v>
      </c>
      <c r="U11" s="125">
        <f t="shared" si="0"/>
        <v>50494</v>
      </c>
      <c r="V11" s="126" t="e">
        <f t="shared" si="7"/>
        <v>#DIV/0!</v>
      </c>
      <c r="W11" s="73"/>
      <c r="X11" s="74">
        <f t="shared" si="1"/>
        <v>0</v>
      </c>
      <c r="Y11" s="75">
        <f t="shared" si="2"/>
        <v>0</v>
      </c>
    </row>
    <row r="12" spans="1:25" x14ac:dyDescent="0.25">
      <c r="A12" s="21">
        <v>7</v>
      </c>
      <c r="B12" s="48">
        <v>2006</v>
      </c>
      <c r="C12" s="10"/>
      <c r="D12" s="10"/>
      <c r="E12" s="10"/>
      <c r="F12" s="53">
        <v>37517.5</v>
      </c>
      <c r="G12" s="10">
        <v>252740</v>
      </c>
      <c r="H12" s="10" t="e">
        <f t="shared" ref="H12:H17" si="9">(G12*1000)/D12</f>
        <v>#DIV/0!</v>
      </c>
      <c r="I12" s="55">
        <f t="shared" si="3"/>
        <v>37517.5</v>
      </c>
      <c r="L12" s="3">
        <v>2006</v>
      </c>
      <c r="M12" s="127"/>
      <c r="N12" s="127"/>
      <c r="O12" s="125">
        <f t="shared" si="4"/>
        <v>0</v>
      </c>
      <c r="P12" s="125">
        <f t="shared" si="5"/>
        <v>0</v>
      </c>
      <c r="Q12" s="123">
        <f t="shared" si="8"/>
        <v>4041.5</v>
      </c>
      <c r="R12" s="125">
        <f t="shared" si="6"/>
        <v>0</v>
      </c>
      <c r="S12" s="125">
        <f t="shared" si="6"/>
        <v>37517.5</v>
      </c>
      <c r="T12" s="125">
        <f t="shared" si="6"/>
        <v>252740</v>
      </c>
      <c r="U12" s="125">
        <f t="shared" si="0"/>
        <v>50548</v>
      </c>
      <c r="V12" s="126" t="e">
        <f t="shared" si="7"/>
        <v>#DIV/0!</v>
      </c>
      <c r="W12" s="73"/>
      <c r="X12" s="74">
        <f t="shared" si="1"/>
        <v>0</v>
      </c>
      <c r="Y12" s="75">
        <f t="shared" si="2"/>
        <v>0</v>
      </c>
    </row>
    <row r="13" spans="1:25" x14ac:dyDescent="0.25">
      <c r="A13" s="21">
        <v>8</v>
      </c>
      <c r="B13" s="48">
        <v>2007</v>
      </c>
      <c r="C13" s="10"/>
      <c r="D13" s="10"/>
      <c r="E13" s="10"/>
      <c r="F13" s="53">
        <v>60859</v>
      </c>
      <c r="G13" s="10">
        <v>256855</v>
      </c>
      <c r="H13" s="10" t="e">
        <f t="shared" si="9"/>
        <v>#DIV/0!</v>
      </c>
      <c r="I13" s="55">
        <f t="shared" si="3"/>
        <v>60859</v>
      </c>
      <c r="L13" s="3">
        <v>2007</v>
      </c>
      <c r="M13" s="127"/>
      <c r="N13" s="127"/>
      <c r="O13" s="125">
        <f t="shared" ref="O13:O22" si="10">C13</f>
        <v>0</v>
      </c>
      <c r="P13" s="125">
        <f t="shared" si="5"/>
        <v>0</v>
      </c>
      <c r="Q13" s="123">
        <f t="shared" si="8"/>
        <v>23341.5</v>
      </c>
      <c r="R13" s="125">
        <f t="shared" si="6"/>
        <v>0</v>
      </c>
      <c r="S13" s="125">
        <f t="shared" si="6"/>
        <v>60859</v>
      </c>
      <c r="T13" s="125">
        <f t="shared" si="6"/>
        <v>256855</v>
      </c>
      <c r="U13" s="125">
        <f t="shared" si="0"/>
        <v>51371</v>
      </c>
      <c r="V13" s="126" t="e">
        <f t="shared" si="7"/>
        <v>#DIV/0!</v>
      </c>
      <c r="W13" s="73"/>
      <c r="X13" s="74">
        <f t="shared" si="1"/>
        <v>0</v>
      </c>
      <c r="Y13" s="75">
        <f t="shared" si="2"/>
        <v>0</v>
      </c>
    </row>
    <row r="14" spans="1:25" x14ac:dyDescent="0.25">
      <c r="A14" s="21">
        <v>9</v>
      </c>
      <c r="B14" s="48">
        <v>2008</v>
      </c>
      <c r="C14" s="10"/>
      <c r="D14" s="10"/>
      <c r="E14" s="10"/>
      <c r="F14" s="53">
        <v>82291</v>
      </c>
      <c r="G14" s="10">
        <v>258935</v>
      </c>
      <c r="H14" s="10" t="e">
        <f t="shared" si="9"/>
        <v>#DIV/0!</v>
      </c>
      <c r="I14" s="55">
        <f t="shared" si="3"/>
        <v>82291</v>
      </c>
      <c r="L14" s="3">
        <v>2008</v>
      </c>
      <c r="M14" s="127"/>
      <c r="N14" s="127"/>
      <c r="O14" s="125">
        <f t="shared" si="10"/>
        <v>0</v>
      </c>
      <c r="P14" s="125">
        <f t="shared" si="5"/>
        <v>0</v>
      </c>
      <c r="Q14" s="123">
        <f t="shared" si="8"/>
        <v>21432</v>
      </c>
      <c r="R14" s="125">
        <f t="shared" si="6"/>
        <v>0</v>
      </c>
      <c r="S14" s="125">
        <f t="shared" si="6"/>
        <v>82291</v>
      </c>
      <c r="T14" s="125">
        <f t="shared" si="6"/>
        <v>258935</v>
      </c>
      <c r="U14" s="125">
        <f t="shared" si="0"/>
        <v>51787</v>
      </c>
      <c r="V14" s="126" t="e">
        <f t="shared" si="7"/>
        <v>#DIV/0!</v>
      </c>
      <c r="W14" s="73"/>
      <c r="X14" s="74">
        <f t="shared" si="1"/>
        <v>0</v>
      </c>
      <c r="Y14" s="75">
        <f t="shared" si="2"/>
        <v>0</v>
      </c>
    </row>
    <row r="15" spans="1:25" x14ac:dyDescent="0.25">
      <c r="A15" s="21">
        <v>10</v>
      </c>
      <c r="B15" s="48">
        <v>2009</v>
      </c>
      <c r="C15" s="10"/>
      <c r="D15" s="10"/>
      <c r="E15" s="10"/>
      <c r="F15" s="53">
        <v>110811</v>
      </c>
      <c r="G15" s="10">
        <v>525535</v>
      </c>
      <c r="H15" s="10" t="e">
        <f t="shared" si="9"/>
        <v>#DIV/0!</v>
      </c>
      <c r="I15" s="55">
        <f t="shared" si="3"/>
        <v>110811</v>
      </c>
      <c r="L15" s="3">
        <v>2009</v>
      </c>
      <c r="M15" s="127"/>
      <c r="N15" s="127"/>
      <c r="O15" s="125">
        <f t="shared" si="10"/>
        <v>0</v>
      </c>
      <c r="P15" s="125">
        <f t="shared" si="5"/>
        <v>0</v>
      </c>
      <c r="Q15" s="123">
        <f>S15-S14</f>
        <v>28520</v>
      </c>
      <c r="R15" s="125">
        <f t="shared" si="6"/>
        <v>0</v>
      </c>
      <c r="S15" s="125">
        <f t="shared" si="6"/>
        <v>110811</v>
      </c>
      <c r="T15" s="125">
        <f t="shared" si="6"/>
        <v>525535</v>
      </c>
      <c r="U15" s="125">
        <f t="shared" si="0"/>
        <v>105107</v>
      </c>
      <c r="V15" s="126" t="e">
        <f t="shared" si="7"/>
        <v>#DIV/0!</v>
      </c>
      <c r="W15" s="73"/>
      <c r="X15" s="74">
        <f t="shared" si="1"/>
        <v>0</v>
      </c>
      <c r="Y15" s="75">
        <f t="shared" si="2"/>
        <v>0</v>
      </c>
    </row>
    <row r="16" spans="1:25" x14ac:dyDescent="0.25">
      <c r="A16" s="21">
        <v>11</v>
      </c>
      <c r="B16" s="48">
        <v>2010</v>
      </c>
      <c r="C16" s="10">
        <v>88728</v>
      </c>
      <c r="D16" s="10">
        <v>26528</v>
      </c>
      <c r="E16" s="10">
        <v>8417</v>
      </c>
      <c r="F16" s="53">
        <f t="shared" ref="F16:F17" si="11">SUM(C16:E16)</f>
        <v>123673</v>
      </c>
      <c r="G16" s="10">
        <v>287886</v>
      </c>
      <c r="H16" s="10">
        <f t="shared" si="9"/>
        <v>10852.15621230398</v>
      </c>
      <c r="I16" s="55">
        <f t="shared" si="3"/>
        <v>123673</v>
      </c>
      <c r="L16" s="3">
        <v>2010</v>
      </c>
      <c r="M16" s="127"/>
      <c r="N16" s="127"/>
      <c r="O16" s="125">
        <f>C16</f>
        <v>88728</v>
      </c>
      <c r="P16" s="125">
        <f t="shared" si="5"/>
        <v>26528</v>
      </c>
      <c r="Q16" s="123">
        <f t="shared" ref="Q16:Q21" si="12">S16-S15</f>
        <v>12862</v>
      </c>
      <c r="R16" s="125">
        <f t="shared" si="6"/>
        <v>8417</v>
      </c>
      <c r="S16" s="125">
        <f t="shared" si="6"/>
        <v>123673</v>
      </c>
      <c r="T16" s="125">
        <f t="shared" si="6"/>
        <v>287886</v>
      </c>
      <c r="U16" s="125">
        <f t="shared" si="0"/>
        <v>57577.200000000004</v>
      </c>
      <c r="V16" s="126">
        <f t="shared" si="7"/>
        <v>10.852156212303981</v>
      </c>
      <c r="W16" s="73"/>
      <c r="X16" s="74">
        <f t="shared" si="1"/>
        <v>0</v>
      </c>
      <c r="Y16" s="75">
        <f t="shared" si="2"/>
        <v>0</v>
      </c>
    </row>
    <row r="17" spans="1:25" x14ac:dyDescent="0.25">
      <c r="A17" s="21">
        <v>12</v>
      </c>
      <c r="B17" s="48">
        <v>2011</v>
      </c>
      <c r="C17" s="10">
        <v>102912</v>
      </c>
      <c r="D17" s="10">
        <v>70464</v>
      </c>
      <c r="E17" s="10">
        <v>9382</v>
      </c>
      <c r="F17" s="53">
        <f t="shared" si="11"/>
        <v>182758</v>
      </c>
      <c r="G17" s="10">
        <v>323248</v>
      </c>
      <c r="H17" s="10">
        <f t="shared" si="9"/>
        <v>4587.4205267938241</v>
      </c>
      <c r="I17" s="55">
        <f t="shared" si="3"/>
        <v>182758</v>
      </c>
      <c r="L17" s="3">
        <v>2011</v>
      </c>
      <c r="M17" s="127"/>
      <c r="N17" s="127"/>
      <c r="O17" s="125">
        <f t="shared" si="10"/>
        <v>102912</v>
      </c>
      <c r="P17" s="125">
        <f t="shared" si="5"/>
        <v>70464</v>
      </c>
      <c r="Q17" s="123">
        <f t="shared" si="12"/>
        <v>59085</v>
      </c>
      <c r="R17" s="125">
        <f t="shared" si="6"/>
        <v>9382</v>
      </c>
      <c r="S17" s="125">
        <f t="shared" si="6"/>
        <v>182758</v>
      </c>
      <c r="T17" s="125">
        <f t="shared" si="6"/>
        <v>323248</v>
      </c>
      <c r="U17" s="125">
        <f t="shared" si="0"/>
        <v>64649.600000000006</v>
      </c>
      <c r="V17" s="126">
        <f t="shared" si="7"/>
        <v>4.5874205267938235</v>
      </c>
      <c r="W17" s="73"/>
      <c r="X17" s="74">
        <f t="shared" si="1"/>
        <v>0</v>
      </c>
      <c r="Y17" s="75">
        <f t="shared" si="2"/>
        <v>0</v>
      </c>
    </row>
    <row r="18" spans="1:25" x14ac:dyDescent="0.25">
      <c r="A18" s="21">
        <v>13</v>
      </c>
      <c r="B18" s="48">
        <v>2012</v>
      </c>
      <c r="C18" s="10">
        <v>97474</v>
      </c>
      <c r="D18" s="10">
        <v>72810</v>
      </c>
      <c r="E18" s="10">
        <v>757</v>
      </c>
      <c r="F18" s="53">
        <f>SUM(C18:E18)</f>
        <v>171041</v>
      </c>
      <c r="G18" s="10">
        <v>473636</v>
      </c>
      <c r="H18" s="10">
        <f>(G18*1000)/D18</f>
        <v>6505.0954539211643</v>
      </c>
      <c r="I18" s="55">
        <f t="shared" si="3"/>
        <v>171041</v>
      </c>
      <c r="L18" s="3">
        <v>2012</v>
      </c>
      <c r="M18" s="127"/>
      <c r="N18" s="127"/>
      <c r="O18" s="125">
        <f t="shared" si="10"/>
        <v>97474</v>
      </c>
      <c r="P18" s="125">
        <f t="shared" si="5"/>
        <v>72810</v>
      </c>
      <c r="Q18" s="123">
        <f t="shared" si="12"/>
        <v>-11717</v>
      </c>
      <c r="R18" s="125">
        <f t="shared" si="6"/>
        <v>757</v>
      </c>
      <c r="S18" s="125">
        <f t="shared" si="6"/>
        <v>171041</v>
      </c>
      <c r="T18" s="125">
        <f t="shared" si="6"/>
        <v>473636</v>
      </c>
      <c r="U18" s="125">
        <f t="shared" si="0"/>
        <v>94727.200000000012</v>
      </c>
      <c r="V18" s="126">
        <f t="shared" si="7"/>
        <v>6.5050954539211645</v>
      </c>
      <c r="W18" s="73"/>
      <c r="X18" s="74">
        <f t="shared" si="1"/>
        <v>0</v>
      </c>
      <c r="Y18" s="75">
        <f t="shared" si="2"/>
        <v>0</v>
      </c>
    </row>
    <row r="19" spans="1:25" x14ac:dyDescent="0.25">
      <c r="A19" s="21">
        <v>14</v>
      </c>
      <c r="B19" s="48">
        <v>2013</v>
      </c>
      <c r="C19" s="11">
        <v>103392</v>
      </c>
      <c r="D19" s="11">
        <v>73493</v>
      </c>
      <c r="E19" s="11">
        <v>1979</v>
      </c>
      <c r="F19" s="53">
        <f t="shared" ref="F19:F22" si="13">SUM(C19:E19)</f>
        <v>178864</v>
      </c>
      <c r="G19" s="11">
        <v>1112442</v>
      </c>
      <c r="H19" s="10">
        <f t="shared" ref="H19:H23" si="14">(G19*1000)/D19</f>
        <v>15136.706897255521</v>
      </c>
      <c r="I19" s="55">
        <f t="shared" si="3"/>
        <v>178864</v>
      </c>
      <c r="L19" s="3">
        <v>2013</v>
      </c>
      <c r="M19" s="127"/>
      <c r="N19" s="127"/>
      <c r="O19" s="125">
        <f t="shared" si="10"/>
        <v>103392</v>
      </c>
      <c r="P19" s="125">
        <f t="shared" si="5"/>
        <v>73493</v>
      </c>
      <c r="Q19" s="123">
        <f t="shared" si="12"/>
        <v>7823</v>
      </c>
      <c r="R19" s="125">
        <f t="shared" si="6"/>
        <v>1979</v>
      </c>
      <c r="S19" s="125">
        <f t="shared" si="6"/>
        <v>178864</v>
      </c>
      <c r="T19" s="125">
        <f t="shared" si="6"/>
        <v>1112442</v>
      </c>
      <c r="U19" s="125">
        <f t="shared" si="0"/>
        <v>222488.40000000002</v>
      </c>
      <c r="V19" s="126">
        <f t="shared" si="7"/>
        <v>15.136706897255522</v>
      </c>
      <c r="W19" s="73"/>
      <c r="X19" s="74">
        <f t="shared" si="1"/>
        <v>0</v>
      </c>
      <c r="Y19" s="75">
        <f t="shared" si="2"/>
        <v>0</v>
      </c>
    </row>
    <row r="20" spans="1:25" x14ac:dyDescent="0.25">
      <c r="A20" s="21">
        <v>15</v>
      </c>
      <c r="B20" s="48">
        <v>2014</v>
      </c>
      <c r="C20" s="10">
        <v>104516</v>
      </c>
      <c r="D20" s="10">
        <v>74504</v>
      </c>
      <c r="E20" s="10">
        <v>1190</v>
      </c>
      <c r="F20" s="53">
        <f t="shared" si="13"/>
        <v>180210</v>
      </c>
      <c r="G20" s="10">
        <v>1231387</v>
      </c>
      <c r="H20" s="10">
        <f t="shared" si="14"/>
        <v>16527.797165252872</v>
      </c>
      <c r="I20" s="55">
        <f t="shared" si="3"/>
        <v>180210</v>
      </c>
      <c r="L20" s="3">
        <v>2014</v>
      </c>
      <c r="M20" s="127"/>
      <c r="N20" s="127"/>
      <c r="O20" s="125">
        <f t="shared" si="10"/>
        <v>104516</v>
      </c>
      <c r="P20" s="125">
        <f t="shared" si="5"/>
        <v>74504</v>
      </c>
      <c r="Q20" s="123">
        <f t="shared" si="12"/>
        <v>1346</v>
      </c>
      <c r="R20" s="125">
        <f t="shared" si="6"/>
        <v>1190</v>
      </c>
      <c r="S20" s="125">
        <f t="shared" si="6"/>
        <v>180210</v>
      </c>
      <c r="T20" s="125">
        <f t="shared" si="6"/>
        <v>1231387</v>
      </c>
      <c r="U20" s="125">
        <f t="shared" si="0"/>
        <v>246277.40000000002</v>
      </c>
      <c r="V20" s="126">
        <f t="shared" si="7"/>
        <v>16.527797165252871</v>
      </c>
      <c r="W20" s="73"/>
      <c r="X20" s="74">
        <f t="shared" si="1"/>
        <v>0</v>
      </c>
      <c r="Y20" s="75">
        <f t="shared" si="2"/>
        <v>0</v>
      </c>
    </row>
    <row r="21" spans="1:25" x14ac:dyDescent="0.25">
      <c r="A21" s="21">
        <v>16</v>
      </c>
      <c r="B21" s="48">
        <v>2015</v>
      </c>
      <c r="C21" s="10"/>
      <c r="D21" s="10"/>
      <c r="E21" s="10"/>
      <c r="F21" s="53">
        <v>191366</v>
      </c>
      <c r="G21" s="49">
        <v>1506913</v>
      </c>
      <c r="H21" s="10" t="e">
        <f t="shared" si="14"/>
        <v>#DIV/0!</v>
      </c>
      <c r="I21" s="55">
        <f t="shared" si="3"/>
        <v>191366</v>
      </c>
      <c r="L21" s="3">
        <v>2015</v>
      </c>
      <c r="M21" s="127"/>
      <c r="N21" s="127"/>
      <c r="O21" s="125">
        <f t="shared" si="10"/>
        <v>0</v>
      </c>
      <c r="P21" s="125">
        <f t="shared" si="5"/>
        <v>0</v>
      </c>
      <c r="Q21" s="123">
        <f t="shared" si="12"/>
        <v>11156</v>
      </c>
      <c r="R21" s="125">
        <f t="shared" si="6"/>
        <v>0</v>
      </c>
      <c r="S21" s="125">
        <f t="shared" si="6"/>
        <v>191366</v>
      </c>
      <c r="T21" s="125">
        <f t="shared" si="6"/>
        <v>1506913</v>
      </c>
      <c r="U21" s="125">
        <f t="shared" si="0"/>
        <v>301382.60000000003</v>
      </c>
      <c r="V21" s="126" t="e">
        <f t="shared" si="7"/>
        <v>#DIV/0!</v>
      </c>
      <c r="W21" s="73"/>
      <c r="X21" s="74">
        <f t="shared" si="1"/>
        <v>0</v>
      </c>
      <c r="Y21" s="75">
        <f t="shared" si="2"/>
        <v>0</v>
      </c>
    </row>
    <row r="22" spans="1:25" x14ac:dyDescent="0.25">
      <c r="A22" s="21">
        <v>17</v>
      </c>
      <c r="B22" s="48">
        <v>2016</v>
      </c>
      <c r="C22" s="10">
        <v>47646</v>
      </c>
      <c r="D22" s="10">
        <v>153594</v>
      </c>
      <c r="E22" s="10">
        <v>1073</v>
      </c>
      <c r="F22" s="53">
        <f t="shared" si="13"/>
        <v>202313</v>
      </c>
      <c r="G22" s="10">
        <v>1941639</v>
      </c>
      <c r="H22" s="10">
        <f t="shared" si="14"/>
        <v>12641.372709871479</v>
      </c>
      <c r="I22" s="56">
        <f>I21*1.0662</f>
        <v>204034.42920000001</v>
      </c>
      <c r="L22" s="3">
        <v>2016</v>
      </c>
      <c r="N22" s="124"/>
      <c r="O22" s="125">
        <f t="shared" si="10"/>
        <v>47646</v>
      </c>
      <c r="P22" s="125">
        <f t="shared" si="5"/>
        <v>153594</v>
      </c>
      <c r="Q22" s="123">
        <f t="shared" ref="Q22:Q36" si="15">S22-S21</f>
        <v>10947</v>
      </c>
      <c r="R22" s="125">
        <f t="shared" si="6"/>
        <v>1073</v>
      </c>
      <c r="S22" s="125">
        <f t="shared" si="6"/>
        <v>202313</v>
      </c>
      <c r="T22" s="125">
        <f t="shared" si="6"/>
        <v>1941639</v>
      </c>
      <c r="U22" s="125">
        <f t="shared" si="0"/>
        <v>388327.80000000005</v>
      </c>
      <c r="V22" s="126">
        <f t="shared" si="7"/>
        <v>12.641372709871479</v>
      </c>
      <c r="W22" s="127"/>
      <c r="X22" s="125">
        <f t="shared" si="1"/>
        <v>0</v>
      </c>
      <c r="Y22" s="123">
        <f>T22*$F$50</f>
        <v>0</v>
      </c>
    </row>
    <row r="23" spans="1:25" x14ac:dyDescent="0.25">
      <c r="A23" s="21">
        <v>18</v>
      </c>
      <c r="B23" s="48">
        <v>2017</v>
      </c>
      <c r="C23" s="10"/>
      <c r="D23" s="10"/>
      <c r="E23" s="10"/>
      <c r="F23" s="53">
        <f>S23</f>
        <v>207892.88888888888</v>
      </c>
      <c r="G23" s="10">
        <f>T23</f>
        <v>3092635.773</v>
      </c>
      <c r="H23" s="10" t="e">
        <f t="shared" si="14"/>
        <v>#DIV/0!</v>
      </c>
      <c r="I23" s="56">
        <f t="shared" ref="I23:I35" si="16">I22*1.0662</f>
        <v>217541.50841304002</v>
      </c>
      <c r="L23" s="3">
        <v>2017</v>
      </c>
      <c r="M23" s="123">
        <f>O22-$R$46</f>
        <v>35734.5</v>
      </c>
      <c r="N23" s="129">
        <f>R39</f>
        <v>5579.8888888888887</v>
      </c>
      <c r="O23" s="86">
        <f>M23+N23</f>
        <v>41314.388888888891</v>
      </c>
      <c r="P23" s="86">
        <f>P22+$R$46</f>
        <v>165505.5</v>
      </c>
      <c r="Q23" s="111">
        <f t="shared" si="15"/>
        <v>5579.888888888876</v>
      </c>
      <c r="R23" s="86">
        <f>R22</f>
        <v>1073</v>
      </c>
      <c r="S23" s="86">
        <f>O23+P23+R23</f>
        <v>207892.88888888888</v>
      </c>
      <c r="T23" s="86">
        <f>P23*V23</f>
        <v>3092635.773</v>
      </c>
      <c r="U23" s="86">
        <f t="shared" si="0"/>
        <v>618527.15460000001</v>
      </c>
      <c r="V23" s="99">
        <v>18.686</v>
      </c>
      <c r="W23" s="85"/>
      <c r="X23" s="86">
        <f t="shared" ref="X23:X34" si="17">T23*($P$52+$P$53+$P$54)</f>
        <v>881401.19530500006</v>
      </c>
      <c r="Y23" s="111">
        <f>T23*$P$51</f>
        <v>2072065.9679100001</v>
      </c>
    </row>
    <row r="24" spans="1:25" x14ac:dyDescent="0.25">
      <c r="A24" s="21">
        <v>19</v>
      </c>
      <c r="B24" s="48">
        <v>2018</v>
      </c>
      <c r="C24" s="10"/>
      <c r="D24" s="10"/>
      <c r="E24" s="10"/>
      <c r="F24" s="53">
        <f t="shared" ref="F24:F36" si="18">S24</f>
        <v>213472.77777777775</v>
      </c>
      <c r="G24" s="10">
        <f t="shared" ref="G24:G36" si="19">T24</f>
        <v>3383697.0239999997</v>
      </c>
      <c r="H24" s="10"/>
      <c r="I24" s="56">
        <f t="shared" si="16"/>
        <v>231942.75626998328</v>
      </c>
      <c r="L24" s="3">
        <v>2018</v>
      </c>
      <c r="M24" s="123">
        <f>M23-$R$46</f>
        <v>23823</v>
      </c>
      <c r="N24" s="129">
        <f t="shared" ref="N24:N31" si="20">N23</f>
        <v>5579.8888888888887</v>
      </c>
      <c r="O24" s="86">
        <f>M24+N24</f>
        <v>29402.888888888891</v>
      </c>
      <c r="P24" s="86">
        <f t="shared" ref="P24:P26" si="21">P23+$R$46</f>
        <v>177417</v>
      </c>
      <c r="Q24" s="111">
        <f t="shared" si="15"/>
        <v>5579.888888888876</v>
      </c>
      <c r="R24" s="86">
        <f t="shared" ref="R24:R36" si="22">R23</f>
        <v>1073</v>
      </c>
      <c r="S24" s="86">
        <f>S23+N24</f>
        <v>213472.77777777775</v>
      </c>
      <c r="T24" s="86">
        <f t="shared" ref="T24:T35" si="23">P24*V24</f>
        <v>3383697.0239999997</v>
      </c>
      <c r="U24" s="86">
        <f t="shared" si="0"/>
        <v>676739.40480000002</v>
      </c>
      <c r="V24" s="99">
        <v>19.071999999999999</v>
      </c>
      <c r="W24" s="85"/>
      <c r="X24" s="86">
        <f t="shared" si="17"/>
        <v>964353.65184000006</v>
      </c>
      <c r="Y24" s="111">
        <f t="shared" ref="Y24:Y35" si="24">T24*$P$51</f>
        <v>2267077.0060800002</v>
      </c>
    </row>
    <row r="25" spans="1:25" x14ac:dyDescent="0.25">
      <c r="A25" s="21">
        <v>20</v>
      </c>
      <c r="B25" s="48">
        <v>2019</v>
      </c>
      <c r="C25" s="10"/>
      <c r="D25" s="10"/>
      <c r="E25" s="10"/>
      <c r="F25" s="53">
        <f t="shared" si="18"/>
        <v>219052.66666666663</v>
      </c>
      <c r="G25" s="10">
        <f t="shared" si="19"/>
        <v>3683953.9529999997</v>
      </c>
      <c r="H25" s="10"/>
      <c r="I25" s="56">
        <f t="shared" si="16"/>
        <v>247297.36673505619</v>
      </c>
      <c r="L25" s="3">
        <v>2019</v>
      </c>
      <c r="M25" s="123">
        <f>M24-$R$46</f>
        <v>11911.5</v>
      </c>
      <c r="N25" s="129">
        <f t="shared" si="20"/>
        <v>5579.8888888888887</v>
      </c>
      <c r="O25" s="86">
        <f>M25+N25</f>
        <v>17491.388888888891</v>
      </c>
      <c r="P25" s="86">
        <f t="shared" si="21"/>
        <v>189328.5</v>
      </c>
      <c r="Q25" s="111">
        <f t="shared" si="15"/>
        <v>5579.888888888876</v>
      </c>
      <c r="R25" s="86">
        <f t="shared" si="22"/>
        <v>1073</v>
      </c>
      <c r="S25" s="86">
        <f t="shared" ref="S25:S36" si="25">S24+N25</f>
        <v>219052.66666666663</v>
      </c>
      <c r="T25" s="86">
        <f t="shared" si="23"/>
        <v>3683953.9529999997</v>
      </c>
      <c r="U25" s="86">
        <f t="shared" si="0"/>
        <v>736790.79059999995</v>
      </c>
      <c r="V25" s="99">
        <v>19.457999999999998</v>
      </c>
      <c r="W25" s="85"/>
      <c r="X25" s="86">
        <f t="shared" si="17"/>
        <v>1049926.8766050001</v>
      </c>
      <c r="Y25" s="111">
        <f t="shared" si="24"/>
        <v>2468249.1485100002</v>
      </c>
    </row>
    <row r="26" spans="1:25" x14ac:dyDescent="0.25">
      <c r="A26" s="21">
        <v>21</v>
      </c>
      <c r="B26" s="48">
        <v>2020</v>
      </c>
      <c r="C26" s="10"/>
      <c r="D26" s="10"/>
      <c r="E26" s="10"/>
      <c r="F26" s="53">
        <f t="shared" si="18"/>
        <v>224632.5555555555</v>
      </c>
      <c r="G26" s="10">
        <f t="shared" si="19"/>
        <v>3993406.5599999996</v>
      </c>
      <c r="H26" s="10"/>
      <c r="I26" s="56">
        <f t="shared" si="16"/>
        <v>263668.45241291693</v>
      </c>
      <c r="L26" s="136">
        <v>2020</v>
      </c>
      <c r="M26" s="123">
        <f>M25-$R$46</f>
        <v>0</v>
      </c>
      <c r="N26" s="132">
        <f t="shared" si="20"/>
        <v>5579.8888888888887</v>
      </c>
      <c r="O26" s="133">
        <f t="shared" ref="O26:O34" si="26">O25-$R$46+N26</f>
        <v>11159.777777777779</v>
      </c>
      <c r="P26" s="133">
        <f t="shared" si="21"/>
        <v>201240</v>
      </c>
      <c r="Q26" s="131">
        <f t="shared" si="15"/>
        <v>5579.888888888876</v>
      </c>
      <c r="R26" s="133">
        <f t="shared" si="22"/>
        <v>1073</v>
      </c>
      <c r="S26" s="133">
        <f t="shared" si="25"/>
        <v>224632.5555555555</v>
      </c>
      <c r="T26" s="133">
        <f t="shared" si="23"/>
        <v>3993406.5599999996</v>
      </c>
      <c r="U26" s="133">
        <f t="shared" si="0"/>
        <v>798681.31199999992</v>
      </c>
      <c r="V26" s="120">
        <v>19.843999999999998</v>
      </c>
      <c r="W26" s="134"/>
      <c r="X26" s="133">
        <f t="shared" si="17"/>
        <v>1138120.8696000001</v>
      </c>
      <c r="Y26" s="131">
        <f t="shared" si="24"/>
        <v>2675582.3951999997</v>
      </c>
    </row>
    <row r="27" spans="1:25" x14ac:dyDescent="0.25">
      <c r="A27" s="21">
        <v>22</v>
      </c>
      <c r="B27" s="48">
        <v>2021</v>
      </c>
      <c r="C27" s="10"/>
      <c r="D27" s="10"/>
      <c r="E27" s="10"/>
      <c r="F27" s="53">
        <f t="shared" si="18"/>
        <v>230212.44444444438</v>
      </c>
      <c r="G27" s="10">
        <f t="shared" si="19"/>
        <v>4183966.3522222214</v>
      </c>
      <c r="H27" s="10"/>
      <c r="I27" s="56">
        <f t="shared" si="16"/>
        <v>281123.30396265205</v>
      </c>
      <c r="L27" s="3">
        <v>2021</v>
      </c>
      <c r="M27" s="85"/>
      <c r="N27" s="129">
        <f t="shared" si="20"/>
        <v>5579.8888888888887</v>
      </c>
      <c r="O27" s="86">
        <f t="shared" si="26"/>
        <v>4828.1666666666679</v>
      </c>
      <c r="P27" s="86">
        <f>P26+N23</f>
        <v>206819.88888888888</v>
      </c>
      <c r="Q27" s="111">
        <f t="shared" si="15"/>
        <v>5579.888888888876</v>
      </c>
      <c r="R27" s="86">
        <f t="shared" si="22"/>
        <v>1073</v>
      </c>
      <c r="S27" s="86">
        <f t="shared" si="25"/>
        <v>230212.44444444438</v>
      </c>
      <c r="T27" s="86">
        <f t="shared" si="23"/>
        <v>4183966.3522222214</v>
      </c>
      <c r="U27" s="86">
        <f t="shared" si="0"/>
        <v>836793.27044444438</v>
      </c>
      <c r="V27" s="99">
        <v>20.229999999999997</v>
      </c>
      <c r="W27" s="85"/>
      <c r="X27" s="86">
        <f t="shared" si="17"/>
        <v>1192430.4103833332</v>
      </c>
      <c r="Y27" s="111">
        <f t="shared" si="24"/>
        <v>2803257.4559888886</v>
      </c>
    </row>
    <row r="28" spans="1:25" x14ac:dyDescent="0.25">
      <c r="A28" s="21">
        <v>23</v>
      </c>
      <c r="B28" s="48">
        <v>2022</v>
      </c>
      <c r="C28" s="10"/>
      <c r="D28" s="10"/>
      <c r="E28" s="10"/>
      <c r="F28" s="53">
        <f t="shared" si="18"/>
        <v>235792.33333333326</v>
      </c>
      <c r="G28" s="10">
        <f t="shared" si="19"/>
        <v>4378833.8186666649</v>
      </c>
      <c r="H28" s="10"/>
      <c r="I28" s="56">
        <f t="shared" si="16"/>
        <v>299733.66668497963</v>
      </c>
      <c r="L28" s="3">
        <v>2022</v>
      </c>
      <c r="M28" s="85"/>
      <c r="N28" s="129">
        <f t="shared" si="20"/>
        <v>5579.8888888888887</v>
      </c>
      <c r="O28" s="86">
        <f t="shared" si="26"/>
        <v>-1503.4444444444434</v>
      </c>
      <c r="P28" s="86">
        <f t="shared" ref="P28:P34" si="27">P27+N24</f>
        <v>212399.77777777775</v>
      </c>
      <c r="Q28" s="111">
        <f t="shared" si="15"/>
        <v>5579.888888888876</v>
      </c>
      <c r="R28" s="86">
        <f t="shared" si="22"/>
        <v>1073</v>
      </c>
      <c r="S28" s="86">
        <f t="shared" si="25"/>
        <v>235792.33333333326</v>
      </c>
      <c r="T28" s="86">
        <f t="shared" si="23"/>
        <v>4378833.8186666649</v>
      </c>
      <c r="U28" s="86">
        <f t="shared" si="0"/>
        <v>875766.76373333298</v>
      </c>
      <c r="V28" s="99">
        <v>20.615999999999996</v>
      </c>
      <c r="W28" s="85"/>
      <c r="X28" s="86">
        <f t="shared" si="17"/>
        <v>1247967.6383199997</v>
      </c>
      <c r="Y28" s="111">
        <f t="shared" si="24"/>
        <v>2933818.6585066658</v>
      </c>
    </row>
    <row r="29" spans="1:25" x14ac:dyDescent="0.25">
      <c r="A29" s="21">
        <v>24</v>
      </c>
      <c r="B29" s="48">
        <v>2023</v>
      </c>
      <c r="C29" s="10"/>
      <c r="D29" s="10"/>
      <c r="E29" s="10"/>
      <c r="F29" s="53">
        <f t="shared" si="18"/>
        <v>241372.22222222213</v>
      </c>
      <c r="G29" s="10">
        <f t="shared" si="19"/>
        <v>4578008.9593333313</v>
      </c>
      <c r="H29" s="10"/>
      <c r="I29" s="56">
        <f t="shared" si="16"/>
        <v>319576.03541952529</v>
      </c>
      <c r="L29" s="3">
        <v>2023</v>
      </c>
      <c r="M29" s="85"/>
      <c r="N29" s="129">
        <f t="shared" si="20"/>
        <v>5579.8888888888887</v>
      </c>
      <c r="O29" s="86">
        <f t="shared" si="26"/>
        <v>-7835.0555555555547</v>
      </c>
      <c r="P29" s="86">
        <f t="shared" si="27"/>
        <v>217979.66666666663</v>
      </c>
      <c r="Q29" s="111">
        <f t="shared" si="15"/>
        <v>5579.888888888876</v>
      </c>
      <c r="R29" s="86">
        <f t="shared" si="22"/>
        <v>1073</v>
      </c>
      <c r="S29" s="86">
        <f t="shared" si="25"/>
        <v>241372.22222222213</v>
      </c>
      <c r="T29" s="86">
        <f t="shared" si="23"/>
        <v>4578008.9593333313</v>
      </c>
      <c r="U29" s="86">
        <f t="shared" si="0"/>
        <v>915601.79186666629</v>
      </c>
      <c r="V29" s="99">
        <v>21.001999999999995</v>
      </c>
      <c r="W29" s="85"/>
      <c r="X29" s="86">
        <f t="shared" si="17"/>
        <v>1304732.5534099995</v>
      </c>
      <c r="Y29" s="111">
        <f t="shared" si="24"/>
        <v>3067266.0027533323</v>
      </c>
    </row>
    <row r="30" spans="1:25" x14ac:dyDescent="0.25">
      <c r="A30" s="21">
        <v>25</v>
      </c>
      <c r="B30" s="48">
        <v>2024</v>
      </c>
      <c r="C30" s="10"/>
      <c r="D30" s="10"/>
      <c r="E30" s="10"/>
      <c r="F30" s="53">
        <f t="shared" si="18"/>
        <v>246952.11111111101</v>
      </c>
      <c r="G30" s="10">
        <f t="shared" si="19"/>
        <v>4781491.7742222203</v>
      </c>
      <c r="H30" s="10"/>
      <c r="I30" s="56">
        <f t="shared" si="16"/>
        <v>340731.96896429785</v>
      </c>
      <c r="L30" s="3">
        <v>2024</v>
      </c>
      <c r="M30" s="85"/>
      <c r="N30" s="129">
        <f t="shared" si="20"/>
        <v>5579.8888888888887</v>
      </c>
      <c r="O30" s="86">
        <f t="shared" si="26"/>
        <v>-14166.666666666666</v>
      </c>
      <c r="P30" s="86">
        <f t="shared" si="27"/>
        <v>223559.5555555555</v>
      </c>
      <c r="Q30" s="111">
        <f t="shared" si="15"/>
        <v>5579.888888888876</v>
      </c>
      <c r="R30" s="86">
        <f t="shared" si="22"/>
        <v>1073</v>
      </c>
      <c r="S30" s="86">
        <f t="shared" si="25"/>
        <v>246952.11111111101</v>
      </c>
      <c r="T30" s="86">
        <f t="shared" si="23"/>
        <v>4781491.7742222203</v>
      </c>
      <c r="U30" s="86">
        <f t="shared" si="0"/>
        <v>956298.35484444408</v>
      </c>
      <c r="V30" s="99">
        <v>21.387999999999995</v>
      </c>
      <c r="W30" s="85"/>
      <c r="X30" s="86">
        <f t="shared" si="17"/>
        <v>1362725.1556533328</v>
      </c>
      <c r="Y30" s="111">
        <f t="shared" si="24"/>
        <v>3203599.4887288879</v>
      </c>
    </row>
    <row r="31" spans="1:25" x14ac:dyDescent="0.25">
      <c r="A31" s="21">
        <v>26</v>
      </c>
      <c r="B31" s="48">
        <v>2025</v>
      </c>
      <c r="C31" s="10"/>
      <c r="D31" s="10"/>
      <c r="E31" s="10"/>
      <c r="F31" s="53">
        <f t="shared" si="18"/>
        <v>252531.99999999988</v>
      </c>
      <c r="G31" s="10">
        <f t="shared" si="19"/>
        <v>4989282.2633333309</v>
      </c>
      <c r="H31" s="10"/>
      <c r="I31" s="56">
        <f t="shared" si="16"/>
        <v>363288.42530973436</v>
      </c>
      <c r="L31" s="3">
        <v>2025</v>
      </c>
      <c r="M31" s="85"/>
      <c r="N31" s="129">
        <f t="shared" si="20"/>
        <v>5579.8888888888887</v>
      </c>
      <c r="O31" s="86">
        <f t="shared" si="26"/>
        <v>-20498.277777777774</v>
      </c>
      <c r="P31" s="86">
        <f t="shared" si="27"/>
        <v>229139.44444444438</v>
      </c>
      <c r="Q31" s="111">
        <f t="shared" si="15"/>
        <v>5579.888888888876</v>
      </c>
      <c r="R31" s="86">
        <f t="shared" si="22"/>
        <v>1073</v>
      </c>
      <c r="S31" s="86">
        <f t="shared" si="25"/>
        <v>252531.99999999988</v>
      </c>
      <c r="T31" s="86">
        <f t="shared" si="23"/>
        <v>4989282.2633333309</v>
      </c>
      <c r="U31" s="86">
        <f t="shared" si="0"/>
        <v>997856.45266666624</v>
      </c>
      <c r="V31" s="99">
        <v>21.773999999999994</v>
      </c>
      <c r="W31" s="85"/>
      <c r="X31" s="86">
        <f t="shared" si="17"/>
        <v>1421945.4450499995</v>
      </c>
      <c r="Y31" s="111">
        <f t="shared" si="24"/>
        <v>3342819.1164333317</v>
      </c>
    </row>
    <row r="32" spans="1:25" x14ac:dyDescent="0.25">
      <c r="A32" s="21">
        <v>27</v>
      </c>
      <c r="B32" s="48">
        <v>2026</v>
      </c>
      <c r="C32" s="10"/>
      <c r="D32" s="10"/>
      <c r="E32" s="10"/>
      <c r="F32" s="53">
        <f t="shared" si="18"/>
        <v>252531.99999999988</v>
      </c>
      <c r="G32" s="10">
        <f t="shared" si="19"/>
        <v>5201380.426666663</v>
      </c>
      <c r="H32" s="10"/>
      <c r="I32" s="56">
        <f t="shared" si="16"/>
        <v>387338.1190652388</v>
      </c>
      <c r="L32" s="3">
        <v>2026</v>
      </c>
      <c r="M32" s="85"/>
      <c r="N32" s="129"/>
      <c r="O32" s="86">
        <f t="shared" si="26"/>
        <v>-32409.777777777774</v>
      </c>
      <c r="P32" s="86">
        <f t="shared" si="27"/>
        <v>234719.33333333326</v>
      </c>
      <c r="Q32" s="111">
        <f t="shared" si="15"/>
        <v>0</v>
      </c>
      <c r="R32" s="86">
        <f t="shared" si="22"/>
        <v>1073</v>
      </c>
      <c r="S32" s="86">
        <f t="shared" si="25"/>
        <v>252531.99999999988</v>
      </c>
      <c r="T32" s="86">
        <f t="shared" si="23"/>
        <v>5201380.426666663</v>
      </c>
      <c r="U32" s="86">
        <f t="shared" si="0"/>
        <v>1040276.0853333327</v>
      </c>
      <c r="V32" s="99">
        <v>22.159999999999993</v>
      </c>
      <c r="W32" s="85"/>
      <c r="X32" s="86">
        <f t="shared" si="17"/>
        <v>1482393.4215999991</v>
      </c>
      <c r="Y32" s="111">
        <f t="shared" si="24"/>
        <v>3484924.8858666644</v>
      </c>
    </row>
    <row r="33" spans="1:25" x14ac:dyDescent="0.25">
      <c r="A33" s="21">
        <v>28</v>
      </c>
      <c r="B33" s="48">
        <v>2027</v>
      </c>
      <c r="C33" s="10"/>
      <c r="D33" s="10"/>
      <c r="E33" s="10"/>
      <c r="F33" s="53">
        <f t="shared" si="18"/>
        <v>252531.99999999988</v>
      </c>
      <c r="G33" s="10">
        <f t="shared" si="19"/>
        <v>5417786.2642222187</v>
      </c>
      <c r="H33" s="10"/>
      <c r="I33" s="56">
        <f t="shared" si="16"/>
        <v>412979.9025473576</v>
      </c>
      <c r="L33" s="3">
        <v>2027</v>
      </c>
      <c r="M33" s="85"/>
      <c r="N33" s="129"/>
      <c r="O33" s="86">
        <f t="shared" si="26"/>
        <v>-44321.277777777774</v>
      </c>
      <c r="P33" s="86">
        <f t="shared" si="27"/>
        <v>240299.22222222213</v>
      </c>
      <c r="Q33" s="111">
        <f t="shared" si="15"/>
        <v>0</v>
      </c>
      <c r="R33" s="86">
        <f t="shared" si="22"/>
        <v>1073</v>
      </c>
      <c r="S33" s="86">
        <f t="shared" si="25"/>
        <v>252531.99999999988</v>
      </c>
      <c r="T33" s="86">
        <f t="shared" si="23"/>
        <v>5417786.2642222187</v>
      </c>
      <c r="U33" s="86">
        <f t="shared" si="0"/>
        <v>1083557.2528444438</v>
      </c>
      <c r="V33" s="99">
        <v>22.545999999999992</v>
      </c>
      <c r="W33" s="85"/>
      <c r="X33" s="86">
        <f t="shared" si="17"/>
        <v>1544069.0853033324</v>
      </c>
      <c r="Y33" s="111">
        <f t="shared" si="24"/>
        <v>3629916.7970288866</v>
      </c>
    </row>
    <row r="34" spans="1:25" x14ac:dyDescent="0.25">
      <c r="A34" s="21">
        <v>29</v>
      </c>
      <c r="B34" s="48">
        <v>2028</v>
      </c>
      <c r="C34" s="10"/>
      <c r="D34" s="10"/>
      <c r="E34" s="10"/>
      <c r="F34" s="53">
        <f t="shared" si="18"/>
        <v>252531.99999999988</v>
      </c>
      <c r="G34" s="10">
        <f t="shared" si="19"/>
        <v>5638499.7759999959</v>
      </c>
      <c r="H34" s="10"/>
      <c r="I34" s="56">
        <f t="shared" si="16"/>
        <v>440319.17209599272</v>
      </c>
      <c r="L34" s="3">
        <v>2028</v>
      </c>
      <c r="M34" s="85"/>
      <c r="N34" s="129"/>
      <c r="O34" s="86">
        <f t="shared" si="26"/>
        <v>-56232.777777777774</v>
      </c>
      <c r="P34" s="86">
        <f t="shared" si="27"/>
        <v>245879.11111111101</v>
      </c>
      <c r="Q34" s="111">
        <f t="shared" si="15"/>
        <v>0</v>
      </c>
      <c r="R34" s="86">
        <f t="shared" si="22"/>
        <v>1073</v>
      </c>
      <c r="S34" s="86">
        <f t="shared" si="25"/>
        <v>252531.99999999988</v>
      </c>
      <c r="T34" s="86">
        <f t="shared" si="23"/>
        <v>5638499.7759999959</v>
      </c>
      <c r="U34" s="86">
        <f t="shared" si="0"/>
        <v>1127699.9551999993</v>
      </c>
      <c r="V34" s="99">
        <v>22.931999999999992</v>
      </c>
      <c r="W34" s="85"/>
      <c r="X34" s="86">
        <f t="shared" si="17"/>
        <v>1606972.4361599991</v>
      </c>
      <c r="Y34" s="111">
        <f t="shared" si="24"/>
        <v>3777794.8499199976</v>
      </c>
    </row>
    <row r="35" spans="1:25" x14ac:dyDescent="0.25">
      <c r="A35" s="21">
        <v>30</v>
      </c>
      <c r="B35" s="48">
        <v>2029</v>
      </c>
      <c r="C35" s="10"/>
      <c r="D35" s="10"/>
      <c r="E35" s="10"/>
      <c r="F35" s="53">
        <f t="shared" si="18"/>
        <v>252531.99999999988</v>
      </c>
      <c r="G35" s="10">
        <f t="shared" si="19"/>
        <v>5863520.9619999947</v>
      </c>
      <c r="H35" s="10"/>
      <c r="I35" s="56">
        <f t="shared" si="16"/>
        <v>469468.30128874746</v>
      </c>
      <c r="L35" s="3">
        <v>2029</v>
      </c>
      <c r="M35" s="85"/>
      <c r="N35" s="129"/>
      <c r="O35" s="86"/>
      <c r="P35" s="86">
        <f>P34+N31</f>
        <v>251458.99999999988</v>
      </c>
      <c r="Q35" s="111">
        <f t="shared" si="15"/>
        <v>0</v>
      </c>
      <c r="R35" s="86">
        <f t="shared" si="22"/>
        <v>1073</v>
      </c>
      <c r="S35" s="86">
        <f t="shared" si="25"/>
        <v>252531.99999999988</v>
      </c>
      <c r="T35" s="86">
        <f t="shared" si="23"/>
        <v>5863520.9619999947</v>
      </c>
      <c r="U35" s="86">
        <f t="shared" si="0"/>
        <v>1172704.1923999989</v>
      </c>
      <c r="V35" s="99">
        <v>23.317999999999991</v>
      </c>
      <c r="W35" s="130"/>
      <c r="X35" s="86">
        <f>T35*($P$52+$P$53+$P$54)</f>
        <v>1671103.4741699987</v>
      </c>
      <c r="Y35" s="111">
        <f t="shared" si="24"/>
        <v>3928559.0445399969</v>
      </c>
    </row>
    <row r="36" spans="1:25" x14ac:dyDescent="0.25">
      <c r="A36" s="21">
        <v>31</v>
      </c>
      <c r="B36" s="48">
        <v>2030</v>
      </c>
      <c r="C36" s="10"/>
      <c r="D36" s="10"/>
      <c r="E36" s="10"/>
      <c r="F36" s="53">
        <f t="shared" si="18"/>
        <v>252531.99999999988</v>
      </c>
      <c r="G36" s="10">
        <f t="shared" si="19"/>
        <v>5960584.1359999944</v>
      </c>
      <c r="H36" s="10"/>
      <c r="I36" s="56">
        <f>F36*70%</f>
        <v>176772.39999999991</v>
      </c>
      <c r="L36" s="136">
        <v>2030</v>
      </c>
      <c r="M36" s="134"/>
      <c r="N36" s="132"/>
      <c r="O36" s="133"/>
      <c r="P36" s="133">
        <f>P35+N32</f>
        <v>251458.99999999988</v>
      </c>
      <c r="Q36" s="131">
        <f t="shared" si="15"/>
        <v>0</v>
      </c>
      <c r="R36" s="133">
        <f t="shared" si="22"/>
        <v>1073</v>
      </c>
      <c r="S36" s="133">
        <f t="shared" si="25"/>
        <v>252531.99999999988</v>
      </c>
      <c r="T36" s="133">
        <f>P36*V36</f>
        <v>5960584.1359999944</v>
      </c>
      <c r="U36" s="133">
        <f t="shared" si="0"/>
        <v>1192116.827199999</v>
      </c>
      <c r="V36" s="120">
        <v>23.70399999999999</v>
      </c>
      <c r="W36" s="135">
        <f>((V36/V22)^(1/14)-1)</f>
        <v>4.5928404347067131E-2</v>
      </c>
      <c r="X36" s="134"/>
      <c r="Y36" s="134"/>
    </row>
    <row r="37" spans="1:25" x14ac:dyDescent="0.25">
      <c r="F37" s="50">
        <f>(F36/F22)^(1/14)-1</f>
        <v>1.5963358044771558E-2</v>
      </c>
      <c r="I37" s="50">
        <f>(I36/I21)^(1/15)-1</f>
        <v>-5.2743611450624117E-3</v>
      </c>
      <c r="L37" s="73"/>
      <c r="M37" s="73"/>
      <c r="N37" s="73"/>
      <c r="O37" s="73"/>
      <c r="P37" s="75"/>
      <c r="Q37" s="115" t="s">
        <v>89</v>
      </c>
      <c r="R37" s="115" t="s">
        <v>90</v>
      </c>
      <c r="S37" s="115" t="s">
        <v>91</v>
      </c>
      <c r="T37" s="138">
        <v>13</v>
      </c>
      <c r="U37" s="139">
        <v>40</v>
      </c>
      <c r="V37" s="139">
        <f>T37+U37</f>
        <v>53</v>
      </c>
      <c r="W37" s="73"/>
      <c r="X37" s="73"/>
      <c r="Y37" s="73"/>
    </row>
    <row r="38" spans="1:25" x14ac:dyDescent="0.25">
      <c r="A38" s="45" t="s">
        <v>40</v>
      </c>
      <c r="B38" s="45"/>
      <c r="L38" s="73"/>
      <c r="M38" s="73"/>
      <c r="N38" s="73"/>
      <c r="O38" s="73"/>
      <c r="P38" s="73"/>
      <c r="Q38" s="137">
        <v>13</v>
      </c>
      <c r="R38" s="140">
        <f>(P26/6000)-Q38</f>
        <v>20.54</v>
      </c>
      <c r="S38" s="137">
        <f>(P36/6000)-(Q38+R38)</f>
        <v>8.3698333333333181</v>
      </c>
      <c r="T38" s="138">
        <f>SUM(Q38:S38)</f>
        <v>41.909833333333317</v>
      </c>
      <c r="U38" s="139">
        <f>T38-V37</f>
        <v>-11.090166666666683</v>
      </c>
      <c r="V38" s="139"/>
      <c r="W38" s="73"/>
      <c r="X38" s="73"/>
      <c r="Y38" s="73"/>
    </row>
    <row r="39" spans="1:25" x14ac:dyDescent="0.25">
      <c r="A39" s="32">
        <v>1</v>
      </c>
      <c r="B39" s="45" t="s">
        <v>41</v>
      </c>
      <c r="L39" s="73"/>
      <c r="M39" s="90" t="s">
        <v>57</v>
      </c>
      <c r="N39" s="90"/>
      <c r="O39" s="90"/>
      <c r="P39" s="73"/>
      <c r="Q39" s="73"/>
      <c r="R39" s="77">
        <f>R40/9</f>
        <v>5579.8888888888887</v>
      </c>
      <c r="S39" s="76"/>
      <c r="T39"/>
      <c r="U39" s="73"/>
      <c r="V39" s="73"/>
      <c r="W39" s="73"/>
      <c r="X39" s="73"/>
      <c r="Y39" s="73"/>
    </row>
    <row r="40" spans="1:25" x14ac:dyDescent="0.25">
      <c r="A40" s="32">
        <v>2</v>
      </c>
      <c r="B40" s="45" t="s">
        <v>42</v>
      </c>
      <c r="L40" s="73"/>
      <c r="M40" s="90" t="s">
        <v>65</v>
      </c>
      <c r="N40" s="90"/>
      <c r="O40" s="90"/>
      <c r="P40" s="73"/>
      <c r="Q40" s="73"/>
      <c r="R40" s="94">
        <f>R44-R41</f>
        <v>50219</v>
      </c>
      <c r="S40" s="88" t="s">
        <v>54</v>
      </c>
      <c r="T40" s="73"/>
      <c r="U40" s="73"/>
      <c r="V40" s="73"/>
      <c r="W40" s="73"/>
      <c r="X40" s="73"/>
      <c r="Y40" s="73"/>
    </row>
    <row r="41" spans="1:25" x14ac:dyDescent="0.25">
      <c r="L41" s="73"/>
      <c r="M41" s="90" t="s">
        <v>56</v>
      </c>
      <c r="N41" s="90"/>
      <c r="O41" s="90"/>
      <c r="P41" s="73"/>
      <c r="Q41" s="73"/>
      <c r="R41" s="78">
        <f>S22</f>
        <v>202313</v>
      </c>
      <c r="S41" s="76"/>
      <c r="T41"/>
      <c r="U41" s="73"/>
      <c r="V41" s="73"/>
      <c r="W41" s="73"/>
      <c r="X41" s="73"/>
      <c r="Y41" s="73"/>
    </row>
    <row r="42" spans="1:25" x14ac:dyDescent="0.25">
      <c r="L42" s="73"/>
      <c r="M42" s="91"/>
      <c r="N42" s="92"/>
      <c r="O42" s="92"/>
      <c r="P42" s="73"/>
      <c r="Q42" s="73"/>
      <c r="R42"/>
      <c r="S42"/>
      <c r="T42"/>
      <c r="U42" s="73"/>
      <c r="V42" s="73"/>
      <c r="W42" s="73"/>
      <c r="X42" s="73"/>
      <c r="Y42" s="73"/>
    </row>
    <row r="43" spans="1:25" x14ac:dyDescent="0.25">
      <c r="L43" s="73"/>
      <c r="M43" s="73" t="s">
        <v>66</v>
      </c>
      <c r="N43" s="73"/>
      <c r="O43" s="73"/>
      <c r="P43" s="73"/>
      <c r="Q43" s="73"/>
      <c r="R43" s="7">
        <v>715397</v>
      </c>
      <c r="S43" t="s">
        <v>58</v>
      </c>
      <c r="T43"/>
      <c r="U43" s="73"/>
      <c r="V43" s="73"/>
      <c r="W43" s="73"/>
      <c r="X43" s="73"/>
      <c r="Y43" s="73"/>
    </row>
    <row r="44" spans="1:25" x14ac:dyDescent="0.25">
      <c r="L44" s="73"/>
      <c r="M44" s="73" t="s">
        <v>59</v>
      </c>
      <c r="N44" s="73"/>
      <c r="O44" s="73"/>
      <c r="P44" s="73"/>
      <c r="Q44" s="112">
        <f>S36/R43</f>
        <v>0.35299560943084735</v>
      </c>
      <c r="R44" s="79">
        <v>252532</v>
      </c>
      <c r="S44" s="93" t="s">
        <v>104</v>
      </c>
      <c r="T44"/>
      <c r="U44" s="73"/>
      <c r="V44" s="73"/>
      <c r="W44" s="73"/>
      <c r="X44" s="73"/>
      <c r="Y44" s="73"/>
    </row>
    <row r="45" spans="1:25" x14ac:dyDescent="0.25">
      <c r="L45" s="73"/>
      <c r="M45" s="73" t="s">
        <v>60</v>
      </c>
      <c r="N45" s="73"/>
      <c r="O45" s="73"/>
      <c r="P45" s="73"/>
      <c r="Q45" s="73"/>
      <c r="R45" s="80">
        <f>S22-S21</f>
        <v>10947</v>
      </c>
      <c r="S45"/>
      <c r="T45"/>
      <c r="U45" s="73"/>
      <c r="V45" s="73"/>
      <c r="W45" s="73"/>
      <c r="X45" s="73"/>
      <c r="Y45" s="73"/>
    </row>
    <row r="46" spans="1:25" x14ac:dyDescent="0.25">
      <c r="L46" s="73"/>
      <c r="M46" s="90" t="s">
        <v>61</v>
      </c>
      <c r="N46" s="90"/>
      <c r="O46" s="90"/>
      <c r="P46" s="73"/>
      <c r="Q46" s="73"/>
      <c r="R46" s="81">
        <f>O22/4</f>
        <v>11911.5</v>
      </c>
      <c r="S46"/>
      <c r="T46"/>
      <c r="U46" s="73"/>
      <c r="V46" s="73"/>
      <c r="W46" s="73"/>
      <c r="X46" s="73"/>
      <c r="Y46" s="73"/>
    </row>
    <row r="47" spans="1:25" x14ac:dyDescent="0.25">
      <c r="L47" s="73"/>
      <c r="M47" s="90" t="s">
        <v>62</v>
      </c>
      <c r="N47" s="90"/>
      <c r="O47" s="90"/>
      <c r="P47" s="73"/>
      <c r="Q47" s="73"/>
      <c r="R47" s="82">
        <f>R39</f>
        <v>5579.8888888888887</v>
      </c>
      <c r="S47"/>
      <c r="T47"/>
      <c r="U47" s="73"/>
      <c r="V47" s="73"/>
      <c r="W47" s="73"/>
      <c r="X47" s="73"/>
      <c r="Y47" s="73"/>
    </row>
    <row r="48" spans="1:25" x14ac:dyDescent="0.25"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</row>
    <row r="49" spans="12:25" x14ac:dyDescent="0.25"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</row>
    <row r="50" spans="12:25" x14ac:dyDescent="0.25">
      <c r="L50" s="73"/>
      <c r="M50" s="101" t="s">
        <v>67</v>
      </c>
      <c r="N50" s="73"/>
      <c r="O50" s="73"/>
      <c r="P50" s="72"/>
      <c r="Q50">
        <v>10</v>
      </c>
      <c r="R50" t="s">
        <v>68</v>
      </c>
      <c r="S50"/>
      <c r="T50" s="73"/>
      <c r="U50" s="73"/>
      <c r="V50" s="73"/>
      <c r="W50" s="73"/>
      <c r="X50" s="73"/>
      <c r="Y50" s="73"/>
    </row>
    <row r="51" spans="12:25" x14ac:dyDescent="0.25">
      <c r="L51" s="73"/>
      <c r="M51" s="101" t="s">
        <v>69</v>
      </c>
      <c r="N51" s="73"/>
      <c r="O51" s="73"/>
      <c r="P51" s="107">
        <v>0.67</v>
      </c>
      <c r="Q51">
        <f>P51*$G$49</f>
        <v>0</v>
      </c>
      <c r="R51" t="s">
        <v>70</v>
      </c>
      <c r="S51" t="s">
        <v>71</v>
      </c>
      <c r="T51" s="73"/>
      <c r="U51" s="73"/>
      <c r="V51" s="73"/>
      <c r="W51" s="73"/>
      <c r="X51" s="73"/>
      <c r="Y51" s="73"/>
    </row>
    <row r="52" spans="12:25" x14ac:dyDescent="0.25">
      <c r="L52" s="73"/>
      <c r="M52" s="101" t="s">
        <v>72</v>
      </c>
      <c r="N52" s="73"/>
      <c r="O52" s="73"/>
      <c r="P52" s="107">
        <v>0.22</v>
      </c>
      <c r="Q52">
        <f t="shared" ref="Q52:Q56" si="28">P52*$G$49</f>
        <v>0</v>
      </c>
      <c r="R52" t="s">
        <v>68</v>
      </c>
      <c r="S52"/>
      <c r="T52" s="73"/>
      <c r="U52" s="73"/>
      <c r="V52" s="73"/>
      <c r="W52" s="73"/>
      <c r="X52" s="73"/>
      <c r="Y52" s="73"/>
    </row>
    <row r="53" spans="12:25" x14ac:dyDescent="0.25">
      <c r="L53" s="73"/>
      <c r="M53" s="101" t="s">
        <v>73</v>
      </c>
      <c r="N53" s="73"/>
      <c r="O53" s="73"/>
      <c r="P53" s="108">
        <v>5.0000000000000001E-3</v>
      </c>
      <c r="Q53">
        <f t="shared" si="28"/>
        <v>0</v>
      </c>
      <c r="R53" t="s">
        <v>68</v>
      </c>
      <c r="S53" t="s">
        <v>74</v>
      </c>
      <c r="T53" s="73"/>
      <c r="U53" s="73"/>
      <c r="V53" s="73"/>
      <c r="W53" s="73"/>
      <c r="X53" s="73"/>
      <c r="Y53" s="73"/>
    </row>
    <row r="54" spans="12:25" x14ac:dyDescent="0.25">
      <c r="L54" s="73"/>
      <c r="M54" s="101" t="s">
        <v>75</v>
      </c>
      <c r="N54" s="73"/>
      <c r="O54" s="73"/>
      <c r="P54" s="107">
        <v>0.06</v>
      </c>
      <c r="Q54">
        <f t="shared" si="28"/>
        <v>0</v>
      </c>
      <c r="R54" t="s">
        <v>68</v>
      </c>
      <c r="S54" t="s">
        <v>76</v>
      </c>
      <c r="T54" s="73"/>
      <c r="U54" s="73"/>
      <c r="V54" s="73"/>
      <c r="W54" s="73"/>
      <c r="X54" s="73"/>
      <c r="Y54" s="73"/>
    </row>
    <row r="55" spans="12:25" x14ac:dyDescent="0.25">
      <c r="L55" s="73"/>
      <c r="M55" s="101" t="s">
        <v>77</v>
      </c>
      <c r="N55" s="73"/>
      <c r="O55" s="73"/>
      <c r="P55" s="109">
        <v>0.13500000000000001</v>
      </c>
      <c r="Q55">
        <f t="shared" si="28"/>
        <v>0</v>
      </c>
      <c r="R55" t="s">
        <v>68</v>
      </c>
      <c r="S55" t="s">
        <v>78</v>
      </c>
      <c r="T55" s="73"/>
      <c r="U55" s="73"/>
      <c r="V55" s="73"/>
      <c r="W55" s="73"/>
      <c r="X55" s="73"/>
      <c r="Y55" s="73"/>
    </row>
    <row r="56" spans="12:25" x14ac:dyDescent="0.25">
      <c r="L56" s="73"/>
      <c r="M56" s="101" t="s">
        <v>79</v>
      </c>
      <c r="N56" s="73"/>
      <c r="O56" s="73"/>
      <c r="P56" s="109">
        <v>5.5E-2</v>
      </c>
      <c r="Q56">
        <f t="shared" si="28"/>
        <v>0</v>
      </c>
      <c r="R56" t="s">
        <v>68</v>
      </c>
      <c r="S56" t="s">
        <v>78</v>
      </c>
      <c r="T56" s="73"/>
      <c r="U56" s="73"/>
      <c r="V56" s="73"/>
      <c r="W56" s="73"/>
      <c r="X56" s="73"/>
      <c r="Y56" s="73"/>
    </row>
  </sheetData>
  <mergeCells count="3">
    <mergeCell ref="A4:A5"/>
    <mergeCell ref="B4:B5"/>
    <mergeCell ref="C4:E4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opLeftCell="A3" zoomScale="85" zoomScaleNormal="85" workbookViewId="0">
      <pane xSplit="2" ySplit="3" topLeftCell="C30" activePane="bottomRight" state="frozen"/>
      <selection activeCell="A3" sqref="A3"/>
      <selection pane="topRight" activeCell="C3" sqref="C3"/>
      <selection pane="bottomLeft" activeCell="A6" sqref="A6"/>
      <selection pane="bottomRight" activeCell="R45" sqref="R45"/>
    </sheetView>
  </sheetViews>
  <sheetFormatPr defaultRowHeight="15" x14ac:dyDescent="0.25"/>
  <cols>
    <col min="1" max="1" width="4.85546875" customWidth="1"/>
    <col min="3" max="4" width="10.5703125" bestFit="1" customWidth="1"/>
    <col min="5" max="5" width="9.28515625" bestFit="1" customWidth="1"/>
    <col min="6" max="7" width="11.5703125" bestFit="1" customWidth="1"/>
    <col min="8" max="8" width="15.5703125" bestFit="1" customWidth="1"/>
    <col min="9" max="9" width="11.5703125" bestFit="1" customWidth="1"/>
    <col min="12" max="12" width="9.140625" style="1"/>
    <col min="13" max="13" width="13.28515625" style="1" customWidth="1"/>
    <col min="14" max="14" width="10.5703125" style="1" bestFit="1" customWidth="1"/>
    <col min="15" max="15" width="14.5703125" style="1" customWidth="1"/>
    <col min="16" max="16" width="15.7109375" style="1" bestFit="1" customWidth="1"/>
    <col min="17" max="17" width="17.85546875" style="1" customWidth="1"/>
    <col min="18" max="18" width="14.85546875" style="1" customWidth="1"/>
    <col min="19" max="19" width="14.140625" style="1" customWidth="1"/>
    <col min="20" max="20" width="15.140625" style="1" customWidth="1"/>
    <col min="21" max="21" width="14" style="1" customWidth="1"/>
    <col min="22" max="22" width="15" style="1" customWidth="1"/>
    <col min="23" max="23" width="12.5703125" style="1" customWidth="1"/>
    <col min="24" max="25" width="13.28515625" style="1" bestFit="1" customWidth="1"/>
  </cols>
  <sheetData>
    <row r="1" spans="1:25" x14ac:dyDescent="0.25">
      <c r="A1" s="1" t="s">
        <v>13</v>
      </c>
      <c r="B1" s="1"/>
      <c r="C1" s="1"/>
      <c r="D1" s="1"/>
      <c r="E1" s="1"/>
      <c r="F1" s="1"/>
      <c r="G1" s="1"/>
      <c r="H1" s="1"/>
    </row>
    <row r="2" spans="1:25" x14ac:dyDescent="0.25">
      <c r="A2" s="1" t="s">
        <v>15</v>
      </c>
      <c r="B2" s="1"/>
      <c r="C2" s="1"/>
      <c r="D2" s="1"/>
      <c r="E2" s="1"/>
      <c r="F2" s="1"/>
      <c r="G2" s="1"/>
      <c r="H2" s="1"/>
    </row>
    <row r="3" spans="1:25" x14ac:dyDescent="0.25">
      <c r="A3" s="1"/>
      <c r="B3" s="1"/>
      <c r="C3" s="1"/>
      <c r="D3" s="1"/>
      <c r="E3" s="1"/>
      <c r="F3" s="1" t="s">
        <v>43</v>
      </c>
      <c r="G3" s="1"/>
      <c r="H3" s="1"/>
      <c r="I3" t="s">
        <v>44</v>
      </c>
    </row>
    <row r="4" spans="1:25" s="73" customFormat="1" ht="45" x14ac:dyDescent="0.25">
      <c r="A4" s="183" t="s">
        <v>1</v>
      </c>
      <c r="B4" s="183" t="s">
        <v>2</v>
      </c>
      <c r="C4" s="188" t="s">
        <v>3</v>
      </c>
      <c r="D4" s="188"/>
      <c r="E4" s="188"/>
      <c r="F4" s="141" t="s">
        <v>4</v>
      </c>
      <c r="G4" s="142" t="s">
        <v>5</v>
      </c>
      <c r="H4" s="142" t="s">
        <v>6</v>
      </c>
      <c r="I4" s="143" t="s">
        <v>4</v>
      </c>
      <c r="L4" s="70" t="s">
        <v>2</v>
      </c>
      <c r="M4" s="70" t="s">
        <v>63</v>
      </c>
      <c r="N4" s="70" t="s">
        <v>46</v>
      </c>
      <c r="O4" s="70" t="s">
        <v>7</v>
      </c>
      <c r="P4" s="70" t="s">
        <v>8</v>
      </c>
      <c r="Q4" s="70" t="s">
        <v>47</v>
      </c>
      <c r="R4" s="70" t="s">
        <v>9</v>
      </c>
      <c r="S4" s="70" t="s">
        <v>38</v>
      </c>
      <c r="T4" s="71" t="s">
        <v>48</v>
      </c>
      <c r="U4" s="70" t="s">
        <v>49</v>
      </c>
      <c r="V4" s="70" t="s">
        <v>50</v>
      </c>
      <c r="W4" s="70" t="s">
        <v>51</v>
      </c>
      <c r="X4" s="70" t="s">
        <v>52</v>
      </c>
      <c r="Y4" s="70" t="s">
        <v>53</v>
      </c>
    </row>
    <row r="5" spans="1:25" x14ac:dyDescent="0.25">
      <c r="A5" s="183"/>
      <c r="B5" s="183"/>
      <c r="C5" s="2" t="s">
        <v>7</v>
      </c>
      <c r="D5" s="2" t="s">
        <v>8</v>
      </c>
      <c r="E5" s="2" t="s">
        <v>9</v>
      </c>
      <c r="F5" s="62" t="s">
        <v>10</v>
      </c>
      <c r="G5" s="2" t="s">
        <v>11</v>
      </c>
      <c r="H5" s="2" t="s">
        <v>12</v>
      </c>
      <c r="I5" s="58" t="s">
        <v>10</v>
      </c>
      <c r="L5" s="72"/>
      <c r="M5" s="73"/>
      <c r="N5" s="73"/>
      <c r="O5" s="74"/>
      <c r="P5" s="74"/>
      <c r="Q5" s="73"/>
      <c r="R5" s="74"/>
      <c r="S5" s="74"/>
      <c r="T5" s="74"/>
      <c r="U5" s="74"/>
      <c r="V5" s="83"/>
      <c r="W5" s="73"/>
      <c r="X5" s="74"/>
      <c r="Y5" s="75"/>
    </row>
    <row r="6" spans="1:25" x14ac:dyDescent="0.25">
      <c r="A6" s="6">
        <v>1</v>
      </c>
      <c r="B6" s="6">
        <v>2000</v>
      </c>
      <c r="C6" s="5"/>
      <c r="D6" s="5"/>
      <c r="E6" s="5"/>
      <c r="F6" s="62"/>
      <c r="G6" s="5"/>
      <c r="H6" s="5"/>
      <c r="I6" s="59">
        <f>F6</f>
        <v>0</v>
      </c>
      <c r="L6" s="113">
        <v>2000</v>
      </c>
      <c r="M6" s="73"/>
      <c r="N6" s="73"/>
      <c r="O6" s="74">
        <f>C6</f>
        <v>0</v>
      </c>
      <c r="P6" s="74">
        <f>D6</f>
        <v>0</v>
      </c>
      <c r="Q6" s="73"/>
      <c r="R6" s="74">
        <f>E6</f>
        <v>0</v>
      </c>
      <c r="S6" s="74">
        <f>F6</f>
        <v>0</v>
      </c>
      <c r="T6" s="74">
        <f>G6</f>
        <v>0</v>
      </c>
      <c r="U6" s="74">
        <f t="shared" ref="U6:U36" si="0">T6*20%</f>
        <v>0</v>
      </c>
      <c r="V6" s="83" t="e">
        <f>T6/P6</f>
        <v>#DIV/0!</v>
      </c>
      <c r="W6" s="73"/>
      <c r="X6" s="74">
        <f t="shared" ref="X6:X22" si="1">T6*($F$51+$F$54+$F$55)</f>
        <v>0</v>
      </c>
      <c r="Y6" s="75">
        <f t="shared" ref="Y6:Y21" si="2">T6*$F$50</f>
        <v>0</v>
      </c>
    </row>
    <row r="7" spans="1:25" x14ac:dyDescent="0.25">
      <c r="A7" s="6">
        <v>2</v>
      </c>
      <c r="B7" s="6">
        <v>2001</v>
      </c>
      <c r="C7" s="5"/>
      <c r="D7" s="5"/>
      <c r="E7" s="5"/>
      <c r="F7" s="62"/>
      <c r="G7" s="5"/>
      <c r="H7" s="5"/>
      <c r="I7" s="59">
        <f t="shared" ref="I7:I21" si="3">F7</f>
        <v>0</v>
      </c>
      <c r="L7" s="113">
        <v>2001</v>
      </c>
      <c r="M7" s="73"/>
      <c r="N7" s="73"/>
      <c r="O7" s="74">
        <f t="shared" ref="O7:O12" si="4">C7</f>
        <v>0</v>
      </c>
      <c r="P7" s="74">
        <f t="shared" ref="P7:P22" si="5">D7</f>
        <v>0</v>
      </c>
      <c r="Q7" s="73"/>
      <c r="R7" s="74">
        <f t="shared" ref="R7:T22" si="6">E7</f>
        <v>0</v>
      </c>
      <c r="S7" s="74">
        <f t="shared" si="6"/>
        <v>0</v>
      </c>
      <c r="T7" s="74">
        <f t="shared" si="6"/>
        <v>0</v>
      </c>
      <c r="U7" s="74">
        <f t="shared" si="0"/>
        <v>0</v>
      </c>
      <c r="V7" s="83" t="e">
        <f t="shared" ref="V7:V22" si="7">T7/P7</f>
        <v>#DIV/0!</v>
      </c>
      <c r="W7" s="73"/>
      <c r="X7" s="74">
        <f t="shared" si="1"/>
        <v>0</v>
      </c>
      <c r="Y7" s="75">
        <f t="shared" si="2"/>
        <v>0</v>
      </c>
    </row>
    <row r="8" spans="1:25" x14ac:dyDescent="0.25">
      <c r="A8" s="6">
        <v>3</v>
      </c>
      <c r="B8" s="6">
        <v>2002</v>
      </c>
      <c r="C8" s="5"/>
      <c r="D8" s="5"/>
      <c r="E8" s="5"/>
      <c r="F8" s="62"/>
      <c r="G8" s="5"/>
      <c r="H8" s="5"/>
      <c r="I8" s="59">
        <f t="shared" si="3"/>
        <v>0</v>
      </c>
      <c r="L8" s="113">
        <v>2002</v>
      </c>
      <c r="M8" s="73"/>
      <c r="N8" s="73"/>
      <c r="O8" s="74">
        <f t="shared" si="4"/>
        <v>0</v>
      </c>
      <c r="P8" s="74">
        <f t="shared" si="5"/>
        <v>0</v>
      </c>
      <c r="Q8" s="73"/>
      <c r="R8" s="74">
        <f t="shared" si="6"/>
        <v>0</v>
      </c>
      <c r="S8" s="74">
        <f t="shared" si="6"/>
        <v>0</v>
      </c>
      <c r="T8" s="74">
        <f t="shared" si="6"/>
        <v>0</v>
      </c>
      <c r="U8" s="74">
        <f t="shared" si="0"/>
        <v>0</v>
      </c>
      <c r="V8" s="83" t="e">
        <f t="shared" si="7"/>
        <v>#DIV/0!</v>
      </c>
      <c r="W8" s="73"/>
      <c r="X8" s="74">
        <f t="shared" si="1"/>
        <v>0</v>
      </c>
      <c r="Y8" s="75">
        <f t="shared" si="2"/>
        <v>0</v>
      </c>
    </row>
    <row r="9" spans="1:25" x14ac:dyDescent="0.25">
      <c r="A9" s="6">
        <v>4</v>
      </c>
      <c r="B9" s="6">
        <v>2003</v>
      </c>
      <c r="C9" s="5"/>
      <c r="D9" s="5"/>
      <c r="E9" s="5"/>
      <c r="F9" s="62">
        <v>5371</v>
      </c>
      <c r="G9" s="5">
        <v>0</v>
      </c>
      <c r="H9" s="5"/>
      <c r="I9" s="59">
        <f t="shared" si="3"/>
        <v>5371</v>
      </c>
      <c r="L9" s="113">
        <v>2003</v>
      </c>
      <c r="M9" s="127"/>
      <c r="N9" s="127"/>
      <c r="O9" s="125">
        <f t="shared" si="4"/>
        <v>0</v>
      </c>
      <c r="P9" s="125">
        <f t="shared" si="5"/>
        <v>0</v>
      </c>
      <c r="Q9" s="123">
        <f>S9-S8</f>
        <v>5371</v>
      </c>
      <c r="R9" s="125">
        <f t="shared" si="6"/>
        <v>0</v>
      </c>
      <c r="S9" s="125">
        <f t="shared" si="6"/>
        <v>5371</v>
      </c>
      <c r="T9" s="125">
        <f t="shared" si="6"/>
        <v>0</v>
      </c>
      <c r="U9" s="125">
        <f t="shared" si="0"/>
        <v>0</v>
      </c>
      <c r="V9" s="126" t="e">
        <f t="shared" si="7"/>
        <v>#DIV/0!</v>
      </c>
      <c r="W9" s="73"/>
      <c r="X9" s="74">
        <f t="shared" si="1"/>
        <v>0</v>
      </c>
      <c r="Y9" s="75">
        <f t="shared" si="2"/>
        <v>0</v>
      </c>
    </row>
    <row r="10" spans="1:25" x14ac:dyDescent="0.25">
      <c r="A10" s="6">
        <v>5</v>
      </c>
      <c r="B10" s="6">
        <v>2004</v>
      </c>
      <c r="C10" s="5"/>
      <c r="D10" s="5"/>
      <c r="E10" s="5"/>
      <c r="F10" s="62">
        <v>5371</v>
      </c>
      <c r="G10" s="5">
        <v>2500</v>
      </c>
      <c r="H10" s="5"/>
      <c r="I10" s="59">
        <f t="shared" si="3"/>
        <v>5371</v>
      </c>
      <c r="L10" s="113">
        <v>2004</v>
      </c>
      <c r="M10" s="127"/>
      <c r="N10" s="127"/>
      <c r="O10" s="125">
        <f t="shared" si="4"/>
        <v>0</v>
      </c>
      <c r="P10" s="125">
        <f t="shared" si="5"/>
        <v>0</v>
      </c>
      <c r="Q10" s="123">
        <f t="shared" ref="Q10:Q14" si="8">S10-S9</f>
        <v>0</v>
      </c>
      <c r="R10" s="125">
        <f t="shared" si="6"/>
        <v>0</v>
      </c>
      <c r="S10" s="125">
        <f t="shared" si="6"/>
        <v>5371</v>
      </c>
      <c r="T10" s="125">
        <f t="shared" si="6"/>
        <v>2500</v>
      </c>
      <c r="U10" s="125">
        <f t="shared" si="0"/>
        <v>500</v>
      </c>
      <c r="V10" s="126" t="e">
        <f t="shared" si="7"/>
        <v>#DIV/0!</v>
      </c>
      <c r="W10" s="73"/>
      <c r="X10" s="74">
        <f t="shared" si="1"/>
        <v>0</v>
      </c>
      <c r="Y10" s="75">
        <f t="shared" si="2"/>
        <v>0</v>
      </c>
    </row>
    <row r="11" spans="1:25" x14ac:dyDescent="0.25">
      <c r="A11" s="6">
        <v>6</v>
      </c>
      <c r="B11" s="6">
        <v>2005</v>
      </c>
      <c r="C11" s="5"/>
      <c r="D11" s="5"/>
      <c r="E11" s="5"/>
      <c r="F11" s="62">
        <v>5371</v>
      </c>
      <c r="G11" s="5">
        <v>5343</v>
      </c>
      <c r="H11" s="5"/>
      <c r="I11" s="59">
        <f t="shared" si="3"/>
        <v>5371</v>
      </c>
      <c r="L11" s="113">
        <v>2005</v>
      </c>
      <c r="M11" s="127"/>
      <c r="N11" s="127"/>
      <c r="O11" s="125">
        <f t="shared" si="4"/>
        <v>0</v>
      </c>
      <c r="P11" s="125">
        <f t="shared" si="5"/>
        <v>0</v>
      </c>
      <c r="Q11" s="123">
        <f t="shared" si="8"/>
        <v>0</v>
      </c>
      <c r="R11" s="125">
        <f t="shared" si="6"/>
        <v>0</v>
      </c>
      <c r="S11" s="125">
        <f t="shared" si="6"/>
        <v>5371</v>
      </c>
      <c r="T11" s="125">
        <f t="shared" si="6"/>
        <v>5343</v>
      </c>
      <c r="U11" s="125">
        <f t="shared" si="0"/>
        <v>1068.6000000000001</v>
      </c>
      <c r="V11" s="126" t="e">
        <f t="shared" si="7"/>
        <v>#DIV/0!</v>
      </c>
      <c r="W11" s="73"/>
      <c r="X11" s="74">
        <f t="shared" si="1"/>
        <v>0</v>
      </c>
      <c r="Y11" s="75">
        <f t="shared" si="2"/>
        <v>0</v>
      </c>
    </row>
    <row r="12" spans="1:25" x14ac:dyDescent="0.25">
      <c r="A12" s="6">
        <v>7</v>
      </c>
      <c r="B12" s="3">
        <v>2006</v>
      </c>
      <c r="C12" s="4"/>
      <c r="D12" s="4"/>
      <c r="E12" s="4"/>
      <c r="F12" s="38">
        <v>5371</v>
      </c>
      <c r="G12" s="4">
        <v>6928</v>
      </c>
      <c r="H12" s="4" t="e">
        <f t="shared" ref="H12:H17" si="9">(G12*1000)/D12</f>
        <v>#DIV/0!</v>
      </c>
      <c r="I12" s="59">
        <f t="shared" si="3"/>
        <v>5371</v>
      </c>
      <c r="L12" s="3">
        <v>2006</v>
      </c>
      <c r="M12" s="127"/>
      <c r="N12" s="127"/>
      <c r="O12" s="125">
        <f t="shared" si="4"/>
        <v>0</v>
      </c>
      <c r="P12" s="125">
        <f t="shared" si="5"/>
        <v>0</v>
      </c>
      <c r="Q12" s="123">
        <f t="shared" si="8"/>
        <v>0</v>
      </c>
      <c r="R12" s="125">
        <f t="shared" si="6"/>
        <v>0</v>
      </c>
      <c r="S12" s="125">
        <f t="shared" si="6"/>
        <v>5371</v>
      </c>
      <c r="T12" s="125">
        <f t="shared" si="6"/>
        <v>6928</v>
      </c>
      <c r="U12" s="125">
        <f t="shared" si="0"/>
        <v>1385.6000000000001</v>
      </c>
      <c r="V12" s="126" t="e">
        <f t="shared" si="7"/>
        <v>#DIV/0!</v>
      </c>
      <c r="W12" s="73"/>
      <c r="X12" s="74">
        <f t="shared" si="1"/>
        <v>0</v>
      </c>
      <c r="Y12" s="75">
        <f t="shared" si="2"/>
        <v>0</v>
      </c>
    </row>
    <row r="13" spans="1:25" x14ac:dyDescent="0.25">
      <c r="A13" s="6">
        <v>8</v>
      </c>
      <c r="B13" s="3">
        <v>2007</v>
      </c>
      <c r="C13" s="4"/>
      <c r="D13" s="4"/>
      <c r="E13" s="4"/>
      <c r="F13" s="38">
        <v>5471</v>
      </c>
      <c r="G13" s="4">
        <v>6543</v>
      </c>
      <c r="H13" s="4" t="e">
        <f t="shared" si="9"/>
        <v>#DIV/0!</v>
      </c>
      <c r="I13" s="59">
        <f t="shared" si="3"/>
        <v>5471</v>
      </c>
      <c r="L13" s="3">
        <v>2007</v>
      </c>
      <c r="M13" s="127"/>
      <c r="N13" s="127"/>
      <c r="O13" s="125">
        <f t="shared" ref="O13:O22" si="10">C13</f>
        <v>0</v>
      </c>
      <c r="P13" s="125">
        <f t="shared" si="5"/>
        <v>0</v>
      </c>
      <c r="Q13" s="123">
        <f t="shared" si="8"/>
        <v>100</v>
      </c>
      <c r="R13" s="125">
        <f t="shared" si="6"/>
        <v>0</v>
      </c>
      <c r="S13" s="125">
        <f t="shared" si="6"/>
        <v>5471</v>
      </c>
      <c r="T13" s="125">
        <f t="shared" si="6"/>
        <v>6543</v>
      </c>
      <c r="U13" s="125">
        <f t="shared" si="0"/>
        <v>1308.6000000000001</v>
      </c>
      <c r="V13" s="126" t="e">
        <f t="shared" si="7"/>
        <v>#DIV/0!</v>
      </c>
      <c r="W13" s="73"/>
      <c r="X13" s="74">
        <f t="shared" si="1"/>
        <v>0</v>
      </c>
      <c r="Y13" s="75">
        <f t="shared" si="2"/>
        <v>0</v>
      </c>
    </row>
    <row r="14" spans="1:25" x14ac:dyDescent="0.25">
      <c r="A14" s="6">
        <v>9</v>
      </c>
      <c r="B14" s="3">
        <v>2008</v>
      </c>
      <c r="C14" s="4"/>
      <c r="D14" s="4"/>
      <c r="E14" s="4"/>
      <c r="F14" s="38">
        <v>5721</v>
      </c>
      <c r="G14" s="4">
        <v>10742</v>
      </c>
      <c r="H14" s="4" t="e">
        <f t="shared" si="9"/>
        <v>#DIV/0!</v>
      </c>
      <c r="I14" s="59">
        <f t="shared" si="3"/>
        <v>5721</v>
      </c>
      <c r="L14" s="3">
        <v>2008</v>
      </c>
      <c r="M14" s="127"/>
      <c r="N14" s="127"/>
      <c r="O14" s="125">
        <f t="shared" si="10"/>
        <v>0</v>
      </c>
      <c r="P14" s="125">
        <f t="shared" si="5"/>
        <v>0</v>
      </c>
      <c r="Q14" s="123">
        <f t="shared" si="8"/>
        <v>250</v>
      </c>
      <c r="R14" s="125">
        <f t="shared" si="6"/>
        <v>0</v>
      </c>
      <c r="S14" s="125">
        <f t="shared" si="6"/>
        <v>5721</v>
      </c>
      <c r="T14" s="125">
        <f t="shared" si="6"/>
        <v>10742</v>
      </c>
      <c r="U14" s="125">
        <f t="shared" si="0"/>
        <v>2148.4</v>
      </c>
      <c r="V14" s="126" t="e">
        <f t="shared" si="7"/>
        <v>#DIV/0!</v>
      </c>
      <c r="W14" s="73"/>
      <c r="X14" s="74">
        <f t="shared" si="1"/>
        <v>0</v>
      </c>
      <c r="Y14" s="75">
        <f t="shared" si="2"/>
        <v>0</v>
      </c>
    </row>
    <row r="15" spans="1:25" x14ac:dyDescent="0.25">
      <c r="A15" s="6">
        <v>10</v>
      </c>
      <c r="B15" s="3">
        <v>2009</v>
      </c>
      <c r="C15" s="4"/>
      <c r="D15" s="4"/>
      <c r="E15" s="4"/>
      <c r="F15" s="38">
        <v>12330</v>
      </c>
      <c r="G15" s="4">
        <v>58178</v>
      </c>
      <c r="H15" s="4" t="e">
        <f t="shared" si="9"/>
        <v>#DIV/0!</v>
      </c>
      <c r="I15" s="59">
        <f t="shared" si="3"/>
        <v>12330</v>
      </c>
      <c r="L15" s="3">
        <v>2009</v>
      </c>
      <c r="M15" s="127"/>
      <c r="N15" s="127"/>
      <c r="O15" s="125">
        <f t="shared" si="10"/>
        <v>0</v>
      </c>
      <c r="P15" s="125">
        <f t="shared" si="5"/>
        <v>0</v>
      </c>
      <c r="Q15" s="123">
        <f>S15-S14</f>
        <v>6609</v>
      </c>
      <c r="R15" s="125">
        <f t="shared" si="6"/>
        <v>0</v>
      </c>
      <c r="S15" s="125">
        <f t="shared" si="6"/>
        <v>12330</v>
      </c>
      <c r="T15" s="125">
        <f t="shared" si="6"/>
        <v>58178</v>
      </c>
      <c r="U15" s="125">
        <f t="shared" si="0"/>
        <v>11635.6</v>
      </c>
      <c r="V15" s="126" t="e">
        <f t="shared" si="7"/>
        <v>#DIV/0!</v>
      </c>
      <c r="W15" s="73"/>
      <c r="X15" s="74">
        <f t="shared" si="1"/>
        <v>0</v>
      </c>
      <c r="Y15" s="75">
        <f t="shared" si="2"/>
        <v>0</v>
      </c>
    </row>
    <row r="16" spans="1:25" x14ac:dyDescent="0.25">
      <c r="A16" s="6">
        <v>11</v>
      </c>
      <c r="B16" s="3">
        <v>2010</v>
      </c>
      <c r="C16" s="4">
        <v>16172</v>
      </c>
      <c r="D16" s="4">
        <v>6207</v>
      </c>
      <c r="E16" s="4">
        <v>0</v>
      </c>
      <c r="F16" s="38">
        <f t="shared" ref="F16:F22" si="11">SUM(C16:E16)</f>
        <v>22379</v>
      </c>
      <c r="G16" s="4">
        <v>144793</v>
      </c>
      <c r="H16" s="4">
        <f t="shared" si="9"/>
        <v>23327.372321572417</v>
      </c>
      <c r="I16" s="59">
        <f t="shared" si="3"/>
        <v>22379</v>
      </c>
      <c r="L16" s="3">
        <v>2010</v>
      </c>
      <c r="M16" s="127"/>
      <c r="N16" s="127"/>
      <c r="O16" s="125">
        <f t="shared" si="10"/>
        <v>16172</v>
      </c>
      <c r="P16" s="125">
        <f t="shared" si="5"/>
        <v>6207</v>
      </c>
      <c r="Q16" s="123">
        <f t="shared" ref="Q16:Q21" si="12">S16-S15</f>
        <v>10049</v>
      </c>
      <c r="R16" s="125">
        <f t="shared" si="6"/>
        <v>0</v>
      </c>
      <c r="S16" s="125">
        <f t="shared" si="6"/>
        <v>22379</v>
      </c>
      <c r="T16" s="125">
        <f t="shared" si="6"/>
        <v>144793</v>
      </c>
      <c r="U16" s="125">
        <f t="shared" si="0"/>
        <v>28958.600000000002</v>
      </c>
      <c r="V16" s="126">
        <f t="shared" si="7"/>
        <v>23.327372321572419</v>
      </c>
      <c r="W16" s="73"/>
      <c r="X16" s="74">
        <f t="shared" si="1"/>
        <v>0</v>
      </c>
      <c r="Y16" s="75">
        <f t="shared" si="2"/>
        <v>0</v>
      </c>
    </row>
    <row r="17" spans="1:25" x14ac:dyDescent="0.25">
      <c r="A17" s="6">
        <v>12</v>
      </c>
      <c r="B17" s="3">
        <v>2011</v>
      </c>
      <c r="C17" s="4">
        <v>21824</v>
      </c>
      <c r="D17" s="4">
        <v>7222</v>
      </c>
      <c r="E17" s="4">
        <v>0</v>
      </c>
      <c r="F17" s="38">
        <f t="shared" si="11"/>
        <v>29046</v>
      </c>
      <c r="G17" s="4">
        <v>159601</v>
      </c>
      <c r="H17" s="4">
        <f t="shared" si="9"/>
        <v>22099.279977845472</v>
      </c>
      <c r="I17" s="59">
        <f t="shared" si="3"/>
        <v>29046</v>
      </c>
      <c r="L17" s="3">
        <v>2011</v>
      </c>
      <c r="M17" s="127"/>
      <c r="N17" s="127"/>
      <c r="O17" s="125">
        <f t="shared" si="10"/>
        <v>21824</v>
      </c>
      <c r="P17" s="125">
        <f t="shared" si="5"/>
        <v>7222</v>
      </c>
      <c r="Q17" s="123">
        <f t="shared" si="12"/>
        <v>6667</v>
      </c>
      <c r="R17" s="125">
        <f t="shared" si="6"/>
        <v>0</v>
      </c>
      <c r="S17" s="125">
        <f t="shared" si="6"/>
        <v>29046</v>
      </c>
      <c r="T17" s="125">
        <f t="shared" si="6"/>
        <v>159601</v>
      </c>
      <c r="U17" s="125">
        <f t="shared" si="0"/>
        <v>31920.2</v>
      </c>
      <c r="V17" s="126">
        <f t="shared" si="7"/>
        <v>22.099279977845473</v>
      </c>
      <c r="W17" s="73"/>
      <c r="X17" s="74">
        <f t="shared" si="1"/>
        <v>0</v>
      </c>
      <c r="Y17" s="75">
        <f t="shared" si="2"/>
        <v>0</v>
      </c>
    </row>
    <row r="18" spans="1:25" x14ac:dyDescent="0.25">
      <c r="A18" s="6">
        <v>13</v>
      </c>
      <c r="B18" s="3">
        <v>2012</v>
      </c>
      <c r="C18" s="4">
        <v>51107</v>
      </c>
      <c r="D18" s="4">
        <v>7711</v>
      </c>
      <c r="E18" s="4">
        <v>0</v>
      </c>
      <c r="F18" s="37">
        <f t="shared" ref="F18" si="13">SUM(C18:E18)</f>
        <v>58818</v>
      </c>
      <c r="G18" s="24">
        <v>151317</v>
      </c>
      <c r="H18" s="24">
        <f>(G18*1000)/D18</f>
        <v>19623.524834651795</v>
      </c>
      <c r="I18" s="59">
        <f t="shared" si="3"/>
        <v>58818</v>
      </c>
      <c r="L18" s="3">
        <v>2012</v>
      </c>
      <c r="M18" s="127"/>
      <c r="N18" s="127"/>
      <c r="O18" s="125">
        <f t="shared" si="10"/>
        <v>51107</v>
      </c>
      <c r="P18" s="125">
        <f t="shared" si="5"/>
        <v>7711</v>
      </c>
      <c r="Q18" s="123">
        <f t="shared" si="12"/>
        <v>29772</v>
      </c>
      <c r="R18" s="125">
        <f t="shared" si="6"/>
        <v>0</v>
      </c>
      <c r="S18" s="125">
        <f t="shared" si="6"/>
        <v>58818</v>
      </c>
      <c r="T18" s="125">
        <f t="shared" si="6"/>
        <v>151317</v>
      </c>
      <c r="U18" s="125">
        <f t="shared" si="0"/>
        <v>30263.4</v>
      </c>
      <c r="V18" s="126">
        <f t="shared" si="7"/>
        <v>19.623524834651796</v>
      </c>
      <c r="W18" s="73"/>
      <c r="X18" s="74">
        <f t="shared" si="1"/>
        <v>0</v>
      </c>
      <c r="Y18" s="75">
        <f t="shared" si="2"/>
        <v>0</v>
      </c>
    </row>
    <row r="19" spans="1:25" x14ac:dyDescent="0.25">
      <c r="A19" s="6">
        <v>14</v>
      </c>
      <c r="B19" s="3">
        <v>2013</v>
      </c>
      <c r="C19" s="4">
        <v>70694</v>
      </c>
      <c r="D19" s="4">
        <v>11976</v>
      </c>
      <c r="E19" s="4">
        <v>0</v>
      </c>
      <c r="F19" s="37">
        <f t="shared" si="11"/>
        <v>82670</v>
      </c>
      <c r="G19" s="24">
        <v>203705</v>
      </c>
      <c r="H19" s="24">
        <f t="shared" ref="H19:H23" si="14">(G19*1000)/D19</f>
        <v>17009.435537742153</v>
      </c>
      <c r="I19" s="59">
        <f t="shared" si="3"/>
        <v>82670</v>
      </c>
      <c r="L19" s="3">
        <v>2013</v>
      </c>
      <c r="M19" s="127"/>
      <c r="N19" s="127"/>
      <c r="O19" s="125">
        <f t="shared" si="10"/>
        <v>70694</v>
      </c>
      <c r="P19" s="125">
        <f t="shared" si="5"/>
        <v>11976</v>
      </c>
      <c r="Q19" s="123">
        <f t="shared" si="12"/>
        <v>23852</v>
      </c>
      <c r="R19" s="125">
        <f t="shared" si="6"/>
        <v>0</v>
      </c>
      <c r="S19" s="125">
        <f t="shared" si="6"/>
        <v>82670</v>
      </c>
      <c r="T19" s="125">
        <f t="shared" si="6"/>
        <v>203705</v>
      </c>
      <c r="U19" s="125">
        <f t="shared" si="0"/>
        <v>40741</v>
      </c>
      <c r="V19" s="126">
        <f t="shared" si="7"/>
        <v>17.009435537742149</v>
      </c>
      <c r="W19" s="73"/>
      <c r="X19" s="74">
        <f t="shared" si="1"/>
        <v>0</v>
      </c>
      <c r="Y19" s="75">
        <f t="shared" si="2"/>
        <v>0</v>
      </c>
    </row>
    <row r="20" spans="1:25" x14ac:dyDescent="0.25">
      <c r="A20" s="6">
        <v>15</v>
      </c>
      <c r="B20" s="3">
        <v>2014</v>
      </c>
      <c r="C20" s="4">
        <v>72015</v>
      </c>
      <c r="D20" s="4">
        <v>24069</v>
      </c>
      <c r="E20" s="4">
        <v>0</v>
      </c>
      <c r="F20" s="37">
        <f t="shared" si="11"/>
        <v>96084</v>
      </c>
      <c r="G20" s="24">
        <v>464199</v>
      </c>
      <c r="H20" s="24">
        <f t="shared" si="14"/>
        <v>19286.177240433753</v>
      </c>
      <c r="I20" s="59">
        <f t="shared" si="3"/>
        <v>96084</v>
      </c>
      <c r="L20" s="3">
        <v>2014</v>
      </c>
      <c r="M20" s="127"/>
      <c r="N20" s="127"/>
      <c r="O20" s="125">
        <f t="shared" si="10"/>
        <v>72015</v>
      </c>
      <c r="P20" s="125">
        <f t="shared" si="5"/>
        <v>24069</v>
      </c>
      <c r="Q20" s="123">
        <f t="shared" si="12"/>
        <v>13414</v>
      </c>
      <c r="R20" s="125">
        <f t="shared" si="6"/>
        <v>0</v>
      </c>
      <c r="S20" s="125">
        <f t="shared" si="6"/>
        <v>96084</v>
      </c>
      <c r="T20" s="125">
        <f t="shared" si="6"/>
        <v>464199</v>
      </c>
      <c r="U20" s="125">
        <f t="shared" si="0"/>
        <v>92839.8</v>
      </c>
      <c r="V20" s="126">
        <f t="shared" si="7"/>
        <v>19.286177240433751</v>
      </c>
      <c r="W20" s="73"/>
      <c r="X20" s="74">
        <f t="shared" si="1"/>
        <v>0</v>
      </c>
      <c r="Y20" s="75">
        <f t="shared" si="2"/>
        <v>0</v>
      </c>
    </row>
    <row r="21" spans="1:25" x14ac:dyDescent="0.25">
      <c r="A21" s="6">
        <v>16</v>
      </c>
      <c r="B21" s="3">
        <v>2015</v>
      </c>
      <c r="C21" s="4"/>
      <c r="D21" s="4"/>
      <c r="E21" s="4"/>
      <c r="F21" s="37">
        <v>114440</v>
      </c>
      <c r="G21" s="19">
        <v>523345</v>
      </c>
      <c r="H21" s="24" t="e">
        <f t="shared" si="14"/>
        <v>#DIV/0!</v>
      </c>
      <c r="I21" s="59">
        <f t="shared" si="3"/>
        <v>114440</v>
      </c>
      <c r="L21" s="3">
        <v>2015</v>
      </c>
      <c r="M21" s="127"/>
      <c r="N21" s="127"/>
      <c r="O21" s="125">
        <f t="shared" si="10"/>
        <v>0</v>
      </c>
      <c r="P21" s="125">
        <f t="shared" si="5"/>
        <v>0</v>
      </c>
      <c r="Q21" s="123">
        <f t="shared" si="12"/>
        <v>18356</v>
      </c>
      <c r="R21" s="125">
        <f t="shared" si="6"/>
        <v>0</v>
      </c>
      <c r="S21" s="125">
        <f t="shared" si="6"/>
        <v>114440</v>
      </c>
      <c r="T21" s="125">
        <f t="shared" si="6"/>
        <v>523345</v>
      </c>
      <c r="U21" s="125">
        <f t="shared" si="0"/>
        <v>104669</v>
      </c>
      <c r="V21" s="126" t="e">
        <f t="shared" si="7"/>
        <v>#DIV/0!</v>
      </c>
      <c r="W21" s="73"/>
      <c r="X21" s="74">
        <f t="shared" si="1"/>
        <v>0</v>
      </c>
      <c r="Y21" s="75">
        <f t="shared" si="2"/>
        <v>0</v>
      </c>
    </row>
    <row r="22" spans="1:25" x14ac:dyDescent="0.25">
      <c r="A22" s="6">
        <v>17</v>
      </c>
      <c r="B22" s="3">
        <v>2016</v>
      </c>
      <c r="C22" s="4">
        <v>83432</v>
      </c>
      <c r="D22" s="4">
        <v>44042</v>
      </c>
      <c r="E22" s="4">
        <v>0</v>
      </c>
      <c r="F22" s="37">
        <f t="shared" si="11"/>
        <v>127474</v>
      </c>
      <c r="G22" s="24">
        <v>585642</v>
      </c>
      <c r="H22" s="24">
        <f t="shared" si="14"/>
        <v>13297.352527133191</v>
      </c>
      <c r="I22" s="60">
        <f>I21*1.0755</f>
        <v>123080.21999999999</v>
      </c>
      <c r="L22" s="3">
        <v>2016</v>
      </c>
      <c r="N22" s="124"/>
      <c r="O22" s="125">
        <f t="shared" si="10"/>
        <v>83432</v>
      </c>
      <c r="P22" s="125">
        <f t="shared" si="5"/>
        <v>44042</v>
      </c>
      <c r="Q22" s="123">
        <f t="shared" ref="Q22:Q36" si="15">S22-S21</f>
        <v>13034</v>
      </c>
      <c r="R22" s="125">
        <f t="shared" si="6"/>
        <v>0</v>
      </c>
      <c r="S22" s="125">
        <f t="shared" si="6"/>
        <v>127474</v>
      </c>
      <c r="T22" s="125">
        <f t="shared" si="6"/>
        <v>585642</v>
      </c>
      <c r="U22" s="125">
        <f t="shared" si="0"/>
        <v>117128.40000000001</v>
      </c>
      <c r="V22" s="126">
        <f t="shared" si="7"/>
        <v>13.29735252713319</v>
      </c>
      <c r="W22" s="127"/>
      <c r="X22" s="125">
        <f t="shared" si="1"/>
        <v>0</v>
      </c>
      <c r="Y22" s="123">
        <f>T22*$F$50</f>
        <v>0</v>
      </c>
    </row>
    <row r="23" spans="1:25" x14ac:dyDescent="0.25">
      <c r="A23" s="6">
        <v>18</v>
      </c>
      <c r="B23" s="3">
        <v>2017</v>
      </c>
      <c r="C23" s="4"/>
      <c r="D23" s="4"/>
      <c r="E23" s="4"/>
      <c r="F23" s="37">
        <f>S23</f>
        <v>146930.11111111112</v>
      </c>
      <c r="G23" s="4">
        <f>T23</f>
        <v>1212721.3999999999</v>
      </c>
      <c r="H23" s="4" t="e">
        <f t="shared" si="14"/>
        <v>#DIV/0!</v>
      </c>
      <c r="I23" s="60">
        <f t="shared" ref="I23:I35" si="16">I22*1.0755</f>
        <v>132372.77660999997</v>
      </c>
      <c r="L23" s="3">
        <v>2017</v>
      </c>
      <c r="M23" s="123">
        <f>O22-$R$46</f>
        <v>62574</v>
      </c>
      <c r="N23" s="129">
        <f>R39</f>
        <v>19456.111111111109</v>
      </c>
      <c r="O23" s="86">
        <f>M23+N23</f>
        <v>82030.111111111109</v>
      </c>
      <c r="P23" s="86">
        <f>P22+$R$46</f>
        <v>64900</v>
      </c>
      <c r="Q23" s="111">
        <f t="shared" si="15"/>
        <v>19456.111111111124</v>
      </c>
      <c r="R23" s="86">
        <v>0</v>
      </c>
      <c r="S23" s="86">
        <f>O23+P23+R23</f>
        <v>146930.11111111112</v>
      </c>
      <c r="T23" s="86">
        <f>P23*V23</f>
        <v>1212721.3999999999</v>
      </c>
      <c r="U23" s="86">
        <f t="shared" si="0"/>
        <v>242544.28</v>
      </c>
      <c r="V23" s="99">
        <v>18.686</v>
      </c>
      <c r="W23" s="85"/>
      <c r="X23" s="86">
        <f t="shared" ref="X23:X34" si="17">T23*($P$52+$P$53+$P$54)</f>
        <v>345625.59899999999</v>
      </c>
      <c r="Y23" s="111">
        <f>T23*$P$51</f>
        <v>812523.33799999999</v>
      </c>
    </row>
    <row r="24" spans="1:25" x14ac:dyDescent="0.25">
      <c r="A24" s="21">
        <v>19</v>
      </c>
      <c r="B24" s="3">
        <v>2018</v>
      </c>
      <c r="C24" s="4"/>
      <c r="D24" s="4"/>
      <c r="E24" s="4"/>
      <c r="F24" s="37">
        <f t="shared" ref="F24:F36" si="18">S24</f>
        <v>166386.22222222225</v>
      </c>
      <c r="G24" s="4">
        <f t="shared" ref="G24:G36" si="19">T24</f>
        <v>1635576.5759999999</v>
      </c>
      <c r="H24" s="4"/>
      <c r="I24" s="60">
        <f t="shared" si="16"/>
        <v>142366.92124405495</v>
      </c>
      <c r="L24" s="3">
        <v>2018</v>
      </c>
      <c r="M24" s="123">
        <f>M23-$R$46</f>
        <v>41716</v>
      </c>
      <c r="N24" s="129">
        <f t="shared" ref="N24:N31" si="20">N23</f>
        <v>19456.111111111109</v>
      </c>
      <c r="O24" s="86">
        <f>M24+N24</f>
        <v>61172.111111111109</v>
      </c>
      <c r="P24" s="86">
        <f t="shared" ref="P24:P26" si="21">P23+$R$46</f>
        <v>85758</v>
      </c>
      <c r="Q24" s="111">
        <f t="shared" si="15"/>
        <v>19456.111111111124</v>
      </c>
      <c r="R24" s="86">
        <f t="shared" ref="R24:R36" si="22">R23</f>
        <v>0</v>
      </c>
      <c r="S24" s="86">
        <f>S23+N24</f>
        <v>166386.22222222225</v>
      </c>
      <c r="T24" s="86">
        <f t="shared" ref="T24:T35" si="23">P24*V24</f>
        <v>1635576.5759999999</v>
      </c>
      <c r="U24" s="86">
        <f t="shared" si="0"/>
        <v>327115.31520000001</v>
      </c>
      <c r="V24" s="99">
        <v>19.071999999999999</v>
      </c>
      <c r="W24" s="85"/>
      <c r="X24" s="86">
        <f t="shared" si="17"/>
        <v>466139.32416000002</v>
      </c>
      <c r="Y24" s="111">
        <f t="shared" ref="Y24:Y35" si="24">T24*$P$51</f>
        <v>1095836.30592</v>
      </c>
    </row>
    <row r="25" spans="1:25" x14ac:dyDescent="0.25">
      <c r="A25" s="21">
        <v>20</v>
      </c>
      <c r="B25" s="3">
        <v>2019</v>
      </c>
      <c r="C25" s="4"/>
      <c r="D25" s="4"/>
      <c r="E25" s="4"/>
      <c r="F25" s="37">
        <f t="shared" si="18"/>
        <v>185842.33333333337</v>
      </c>
      <c r="G25" s="4">
        <f t="shared" si="19"/>
        <v>2074534.1279999998</v>
      </c>
      <c r="H25" s="4"/>
      <c r="I25" s="60">
        <f t="shared" si="16"/>
        <v>153115.62379798107</v>
      </c>
      <c r="L25" s="3">
        <v>2019</v>
      </c>
      <c r="M25" s="123">
        <f>M24-$R$46</f>
        <v>20858</v>
      </c>
      <c r="N25" s="129">
        <f t="shared" si="20"/>
        <v>19456.111111111109</v>
      </c>
      <c r="O25" s="86">
        <f>M25+N25</f>
        <v>40314.111111111109</v>
      </c>
      <c r="P25" s="86">
        <f t="shared" si="21"/>
        <v>106616</v>
      </c>
      <c r="Q25" s="111">
        <f t="shared" si="15"/>
        <v>19456.111111111124</v>
      </c>
      <c r="R25" s="86">
        <f t="shared" si="22"/>
        <v>0</v>
      </c>
      <c r="S25" s="86">
        <f t="shared" ref="S25:S35" si="25">S24+N25</f>
        <v>185842.33333333337</v>
      </c>
      <c r="T25" s="86">
        <f t="shared" si="23"/>
        <v>2074534.1279999998</v>
      </c>
      <c r="U25" s="86">
        <f t="shared" si="0"/>
        <v>414906.82559999998</v>
      </c>
      <c r="V25" s="99">
        <v>19.457999999999998</v>
      </c>
      <c r="W25" s="85"/>
      <c r="X25" s="86">
        <f t="shared" si="17"/>
        <v>591242.22647999995</v>
      </c>
      <c r="Y25" s="111">
        <f t="shared" si="24"/>
        <v>1389937.86576</v>
      </c>
    </row>
    <row r="26" spans="1:25" x14ac:dyDescent="0.25">
      <c r="A26" s="21">
        <v>21</v>
      </c>
      <c r="B26" s="3">
        <v>2020</v>
      </c>
      <c r="C26" s="4"/>
      <c r="D26" s="4"/>
      <c r="E26" s="4"/>
      <c r="F26" s="37">
        <f t="shared" si="18"/>
        <v>205298.4444444445</v>
      </c>
      <c r="G26" s="4">
        <f t="shared" si="19"/>
        <v>2529594.0559999999</v>
      </c>
      <c r="H26" s="4"/>
      <c r="I26" s="60">
        <f t="shared" si="16"/>
        <v>164675.85339472862</v>
      </c>
      <c r="L26" s="136">
        <v>2020</v>
      </c>
      <c r="M26" s="123">
        <f>M25-$R$46</f>
        <v>0</v>
      </c>
      <c r="N26" s="132">
        <f t="shared" si="20"/>
        <v>19456.111111111109</v>
      </c>
      <c r="O26" s="133">
        <f>O25-$R$46+N26</f>
        <v>38912.222222222219</v>
      </c>
      <c r="P26" s="133">
        <f t="shared" si="21"/>
        <v>127474</v>
      </c>
      <c r="Q26" s="131">
        <f t="shared" si="15"/>
        <v>19456.111111111124</v>
      </c>
      <c r="R26" s="133">
        <f t="shared" si="22"/>
        <v>0</v>
      </c>
      <c r="S26" s="133">
        <f t="shared" si="25"/>
        <v>205298.4444444445</v>
      </c>
      <c r="T26" s="133">
        <f t="shared" si="23"/>
        <v>2529594.0559999999</v>
      </c>
      <c r="U26" s="133">
        <f t="shared" si="0"/>
        <v>505918.8112</v>
      </c>
      <c r="V26" s="120">
        <v>19.843999999999998</v>
      </c>
      <c r="W26" s="134"/>
      <c r="X26" s="133">
        <f t="shared" si="17"/>
        <v>720934.30596000003</v>
      </c>
      <c r="Y26" s="131">
        <f t="shared" si="24"/>
        <v>1694828.01752</v>
      </c>
    </row>
    <row r="27" spans="1:25" x14ac:dyDescent="0.25">
      <c r="A27" s="21">
        <v>22</v>
      </c>
      <c r="B27" s="3">
        <v>2021</v>
      </c>
      <c r="C27" s="4"/>
      <c r="D27" s="4"/>
      <c r="E27" s="4"/>
      <c r="F27" s="37">
        <f t="shared" si="18"/>
        <v>224754.55555555562</v>
      </c>
      <c r="G27" s="4">
        <f t="shared" si="19"/>
        <v>2972396.1477777776</v>
      </c>
      <c r="H27" s="4"/>
      <c r="I27" s="60">
        <f t="shared" si="16"/>
        <v>177108.8803260306</v>
      </c>
      <c r="L27" s="3">
        <v>2021</v>
      </c>
      <c r="M27" s="85"/>
      <c r="N27" s="129">
        <f t="shared" si="20"/>
        <v>19456.111111111109</v>
      </c>
      <c r="O27" s="86">
        <f>O26-$R$46+N27</f>
        <v>37510.333333333328</v>
      </c>
      <c r="P27" s="86">
        <f>P26+N23</f>
        <v>146930.11111111112</v>
      </c>
      <c r="Q27" s="111">
        <f t="shared" si="15"/>
        <v>19456.111111111124</v>
      </c>
      <c r="R27" s="86">
        <f t="shared" si="22"/>
        <v>0</v>
      </c>
      <c r="S27" s="86">
        <f t="shared" si="25"/>
        <v>224754.55555555562</v>
      </c>
      <c r="T27" s="86">
        <f t="shared" si="23"/>
        <v>2972396.1477777776</v>
      </c>
      <c r="U27" s="86">
        <f t="shared" si="0"/>
        <v>594479.2295555555</v>
      </c>
      <c r="V27" s="99">
        <v>20.229999999999997</v>
      </c>
      <c r="W27" s="85"/>
      <c r="X27" s="86">
        <f t="shared" si="17"/>
        <v>847132.90211666666</v>
      </c>
      <c r="Y27" s="111">
        <f t="shared" si="24"/>
        <v>1991505.4190111111</v>
      </c>
    </row>
    <row r="28" spans="1:25" x14ac:dyDescent="0.25">
      <c r="A28" s="21">
        <v>23</v>
      </c>
      <c r="B28" s="3">
        <v>2022</v>
      </c>
      <c r="C28" s="4"/>
      <c r="D28" s="4"/>
      <c r="E28" s="4"/>
      <c r="F28" s="37">
        <f t="shared" si="18"/>
        <v>244210.66666666674</v>
      </c>
      <c r="G28" s="4">
        <f t="shared" si="19"/>
        <v>3430218.3573333332</v>
      </c>
      <c r="H28" s="4"/>
      <c r="I28" s="60">
        <f t="shared" si="16"/>
        <v>190480.6007906459</v>
      </c>
      <c r="L28" s="3">
        <v>2022</v>
      </c>
      <c r="M28" s="85"/>
      <c r="N28" s="129">
        <f t="shared" si="20"/>
        <v>19456.111111111109</v>
      </c>
      <c r="O28" s="86">
        <f>O27-$R$46+N28</f>
        <v>36108.444444444438</v>
      </c>
      <c r="P28" s="86">
        <f t="shared" ref="P28:P36" si="26">P27+N24</f>
        <v>166386.22222222225</v>
      </c>
      <c r="Q28" s="111">
        <f t="shared" si="15"/>
        <v>19456.111111111124</v>
      </c>
      <c r="R28" s="86">
        <f t="shared" si="22"/>
        <v>0</v>
      </c>
      <c r="S28" s="86">
        <f t="shared" si="25"/>
        <v>244210.66666666674</v>
      </c>
      <c r="T28" s="86">
        <f t="shared" si="23"/>
        <v>3430218.3573333332</v>
      </c>
      <c r="U28" s="86">
        <f t="shared" si="0"/>
        <v>686043.67146666674</v>
      </c>
      <c r="V28" s="99">
        <v>20.615999999999996</v>
      </c>
      <c r="W28" s="85"/>
      <c r="X28" s="86">
        <f t="shared" si="17"/>
        <v>977612.23184000002</v>
      </c>
      <c r="Y28" s="111">
        <f t="shared" si="24"/>
        <v>2298246.2994133332</v>
      </c>
    </row>
    <row r="29" spans="1:25" x14ac:dyDescent="0.25">
      <c r="A29" s="21">
        <v>24</v>
      </c>
      <c r="B29" s="3">
        <v>2023</v>
      </c>
      <c r="C29" s="4"/>
      <c r="D29" s="4"/>
      <c r="E29" s="4"/>
      <c r="F29" s="37">
        <f t="shared" si="18"/>
        <v>263666.77777777787</v>
      </c>
      <c r="G29" s="4">
        <f t="shared" si="19"/>
        <v>3903060.6846666667</v>
      </c>
      <c r="H29" s="4"/>
      <c r="I29" s="60">
        <f t="shared" si="16"/>
        <v>204861.88615033965</v>
      </c>
      <c r="L29" s="3">
        <v>2023</v>
      </c>
      <c r="M29" s="85"/>
      <c r="N29" s="129">
        <f t="shared" si="20"/>
        <v>19456.111111111109</v>
      </c>
      <c r="O29" s="86"/>
      <c r="P29" s="86">
        <f t="shared" si="26"/>
        <v>185842.33333333337</v>
      </c>
      <c r="Q29" s="111">
        <f t="shared" si="15"/>
        <v>19456.111111111124</v>
      </c>
      <c r="R29" s="86">
        <f t="shared" si="22"/>
        <v>0</v>
      </c>
      <c r="S29" s="86">
        <f t="shared" si="25"/>
        <v>263666.77777777787</v>
      </c>
      <c r="T29" s="86">
        <f t="shared" si="23"/>
        <v>3903060.6846666667</v>
      </c>
      <c r="U29" s="86">
        <f t="shared" si="0"/>
        <v>780612.13693333336</v>
      </c>
      <c r="V29" s="99">
        <v>21.001999999999995</v>
      </c>
      <c r="W29" s="85"/>
      <c r="X29" s="86">
        <f t="shared" si="17"/>
        <v>1112372.2951300002</v>
      </c>
      <c r="Y29" s="111">
        <f t="shared" si="24"/>
        <v>2615050.6587266671</v>
      </c>
    </row>
    <row r="30" spans="1:25" x14ac:dyDescent="0.25">
      <c r="A30" s="21">
        <v>25</v>
      </c>
      <c r="B30" s="3">
        <v>2024</v>
      </c>
      <c r="C30" s="4"/>
      <c r="D30" s="4"/>
      <c r="E30" s="4"/>
      <c r="F30" s="37">
        <f t="shared" si="18"/>
        <v>283122.88888888899</v>
      </c>
      <c r="G30" s="4">
        <f t="shared" si="19"/>
        <v>4390923.1297777779</v>
      </c>
      <c r="H30" s="4"/>
      <c r="I30" s="60">
        <f t="shared" si="16"/>
        <v>220328.95855469027</v>
      </c>
      <c r="L30" s="3">
        <v>2024</v>
      </c>
      <c r="M30" s="85"/>
      <c r="N30" s="129">
        <f t="shared" si="20"/>
        <v>19456.111111111109</v>
      </c>
      <c r="O30" s="86"/>
      <c r="P30" s="86">
        <f t="shared" si="26"/>
        <v>205298.4444444445</v>
      </c>
      <c r="Q30" s="111">
        <f t="shared" si="15"/>
        <v>19456.111111111124</v>
      </c>
      <c r="R30" s="86">
        <f t="shared" si="22"/>
        <v>0</v>
      </c>
      <c r="S30" s="86">
        <f t="shared" si="25"/>
        <v>283122.88888888899</v>
      </c>
      <c r="T30" s="86">
        <f t="shared" si="23"/>
        <v>4390923.1297777779</v>
      </c>
      <c r="U30" s="86">
        <f t="shared" si="0"/>
        <v>878184.62595555559</v>
      </c>
      <c r="V30" s="99">
        <v>21.387999999999995</v>
      </c>
      <c r="W30" s="85"/>
      <c r="X30" s="86">
        <f t="shared" si="17"/>
        <v>1251413.0919866669</v>
      </c>
      <c r="Y30" s="111">
        <f t="shared" si="24"/>
        <v>2941918.4969511116</v>
      </c>
    </row>
    <row r="31" spans="1:25" x14ac:dyDescent="0.25">
      <c r="A31" s="21">
        <v>26</v>
      </c>
      <c r="B31" s="3">
        <v>2025</v>
      </c>
      <c r="C31" s="4"/>
      <c r="D31" s="4"/>
      <c r="E31" s="4"/>
      <c r="F31" s="37">
        <f t="shared" si="18"/>
        <v>302579.00000000012</v>
      </c>
      <c r="G31" s="4">
        <f t="shared" si="19"/>
        <v>4893805.6926666666</v>
      </c>
      <c r="H31" s="4"/>
      <c r="I31" s="60">
        <f t="shared" si="16"/>
        <v>236963.79492556935</v>
      </c>
      <c r="L31" s="3">
        <v>2025</v>
      </c>
      <c r="M31" s="85"/>
      <c r="N31" s="129">
        <f t="shared" si="20"/>
        <v>19456.111111111109</v>
      </c>
      <c r="O31" s="86"/>
      <c r="P31" s="86">
        <f t="shared" si="26"/>
        <v>224754.55555555562</v>
      </c>
      <c r="Q31" s="111">
        <f t="shared" si="15"/>
        <v>19456.111111111124</v>
      </c>
      <c r="R31" s="86">
        <f t="shared" si="22"/>
        <v>0</v>
      </c>
      <c r="S31" s="86">
        <f t="shared" si="25"/>
        <v>302579.00000000012</v>
      </c>
      <c r="T31" s="86">
        <f t="shared" si="23"/>
        <v>4893805.6926666666</v>
      </c>
      <c r="U31" s="86">
        <f t="shared" si="0"/>
        <v>978761.13853333332</v>
      </c>
      <c r="V31" s="99">
        <v>21.773999999999994</v>
      </c>
      <c r="W31" s="85"/>
      <c r="X31" s="86">
        <f t="shared" si="17"/>
        <v>1394734.6224100001</v>
      </c>
      <c r="Y31" s="111">
        <f t="shared" si="24"/>
        <v>3278849.8140866668</v>
      </c>
    </row>
    <row r="32" spans="1:25" x14ac:dyDescent="0.25">
      <c r="A32" s="21">
        <v>27</v>
      </c>
      <c r="B32" s="3">
        <v>2026</v>
      </c>
      <c r="C32" s="4"/>
      <c r="D32" s="4"/>
      <c r="E32" s="4"/>
      <c r="F32" s="37">
        <f t="shared" si="18"/>
        <v>302579.00000000012</v>
      </c>
      <c r="G32" s="4">
        <f t="shared" si="19"/>
        <v>5411708.3733333331</v>
      </c>
      <c r="H32" s="4"/>
      <c r="I32" s="60">
        <f t="shared" si="16"/>
        <v>254854.56144244981</v>
      </c>
      <c r="L32" s="3">
        <v>2026</v>
      </c>
      <c r="M32" s="85"/>
      <c r="N32" s="129"/>
      <c r="O32" s="86"/>
      <c r="P32" s="86">
        <f t="shared" si="26"/>
        <v>244210.66666666674</v>
      </c>
      <c r="Q32" s="111">
        <f t="shared" si="15"/>
        <v>0</v>
      </c>
      <c r="R32" s="86">
        <f t="shared" si="22"/>
        <v>0</v>
      </c>
      <c r="S32" s="86">
        <f t="shared" si="25"/>
        <v>302579.00000000012</v>
      </c>
      <c r="T32" s="86">
        <f t="shared" si="23"/>
        <v>5411708.3733333331</v>
      </c>
      <c r="U32" s="86">
        <f t="shared" si="0"/>
        <v>1082341.6746666667</v>
      </c>
      <c r="V32" s="99">
        <v>22.159999999999993</v>
      </c>
      <c r="W32" s="85"/>
      <c r="X32" s="86">
        <f t="shared" si="17"/>
        <v>1542336.8864000002</v>
      </c>
      <c r="Y32" s="111">
        <f t="shared" si="24"/>
        <v>3625844.6101333336</v>
      </c>
    </row>
    <row r="33" spans="1:25" x14ac:dyDescent="0.25">
      <c r="A33" s="21">
        <v>28</v>
      </c>
      <c r="B33" s="3">
        <v>2027</v>
      </c>
      <c r="C33" s="4"/>
      <c r="D33" s="4"/>
      <c r="E33" s="4"/>
      <c r="F33" s="37">
        <f t="shared" si="18"/>
        <v>302579.00000000012</v>
      </c>
      <c r="G33" s="4">
        <f t="shared" si="19"/>
        <v>5944631.1717777774</v>
      </c>
      <c r="H33" s="4"/>
      <c r="I33" s="60">
        <f t="shared" si="16"/>
        <v>274096.08083135472</v>
      </c>
      <c r="L33" s="3">
        <v>2027</v>
      </c>
      <c r="M33" s="85"/>
      <c r="N33" s="129"/>
      <c r="O33" s="86"/>
      <c r="P33" s="86">
        <f t="shared" si="26"/>
        <v>263666.77777777787</v>
      </c>
      <c r="Q33" s="111">
        <f t="shared" si="15"/>
        <v>0</v>
      </c>
      <c r="R33" s="86">
        <f t="shared" si="22"/>
        <v>0</v>
      </c>
      <c r="S33" s="86">
        <f t="shared" si="25"/>
        <v>302579.00000000012</v>
      </c>
      <c r="T33" s="86">
        <f t="shared" si="23"/>
        <v>5944631.1717777774</v>
      </c>
      <c r="U33" s="86">
        <f t="shared" si="0"/>
        <v>1188926.2343555556</v>
      </c>
      <c r="V33" s="99">
        <v>22.545999999999992</v>
      </c>
      <c r="W33" s="85"/>
      <c r="X33" s="86">
        <f t="shared" si="17"/>
        <v>1694219.8839566668</v>
      </c>
      <c r="Y33" s="111">
        <f t="shared" si="24"/>
        <v>3982902.8850911111</v>
      </c>
    </row>
    <row r="34" spans="1:25" x14ac:dyDescent="0.25">
      <c r="A34" s="21">
        <v>29</v>
      </c>
      <c r="B34" s="3">
        <v>2028</v>
      </c>
      <c r="C34" s="4"/>
      <c r="D34" s="4"/>
      <c r="E34" s="4"/>
      <c r="F34" s="37">
        <f t="shared" si="18"/>
        <v>302579.00000000012</v>
      </c>
      <c r="G34" s="4">
        <f t="shared" si="19"/>
        <v>6492574.0879999995</v>
      </c>
      <c r="H34" s="4"/>
      <c r="I34" s="60">
        <f t="shared" si="16"/>
        <v>294790.33493412199</v>
      </c>
      <c r="L34" s="3">
        <v>2028</v>
      </c>
      <c r="M34" s="85"/>
      <c r="N34" s="129"/>
      <c r="O34" s="86"/>
      <c r="P34" s="86">
        <f t="shared" si="26"/>
        <v>283122.88888888899</v>
      </c>
      <c r="Q34" s="111">
        <f t="shared" si="15"/>
        <v>0</v>
      </c>
      <c r="R34" s="86">
        <f t="shared" si="22"/>
        <v>0</v>
      </c>
      <c r="S34" s="86">
        <f t="shared" si="25"/>
        <v>302579.00000000012</v>
      </c>
      <c r="T34" s="86">
        <f t="shared" si="23"/>
        <v>6492574.0879999995</v>
      </c>
      <c r="U34" s="86">
        <f t="shared" si="0"/>
        <v>1298514.8176</v>
      </c>
      <c r="V34" s="99">
        <v>22.931999999999992</v>
      </c>
      <c r="W34" s="85"/>
      <c r="X34" s="86">
        <f t="shared" si="17"/>
        <v>1850383.6150800001</v>
      </c>
      <c r="Y34" s="111">
        <f t="shared" si="24"/>
        <v>4350024.6389600001</v>
      </c>
    </row>
    <row r="35" spans="1:25" x14ac:dyDescent="0.25">
      <c r="A35" s="21">
        <v>30</v>
      </c>
      <c r="B35" s="3">
        <v>2029</v>
      </c>
      <c r="C35" s="4"/>
      <c r="D35" s="4"/>
      <c r="E35" s="4"/>
      <c r="F35" s="37">
        <f t="shared" si="18"/>
        <v>302579.00000000012</v>
      </c>
      <c r="G35" s="4">
        <f t="shared" si="19"/>
        <v>7055537.1219999995</v>
      </c>
      <c r="H35" s="4"/>
      <c r="I35" s="60">
        <f t="shared" si="16"/>
        <v>317047.00522164814</v>
      </c>
      <c r="L35" s="3">
        <v>2029</v>
      </c>
      <c r="M35" s="85"/>
      <c r="N35" s="129"/>
      <c r="O35" s="86"/>
      <c r="P35" s="86">
        <f t="shared" si="26"/>
        <v>302579.00000000012</v>
      </c>
      <c r="Q35" s="111">
        <f t="shared" si="15"/>
        <v>0</v>
      </c>
      <c r="R35" s="86">
        <f t="shared" si="22"/>
        <v>0</v>
      </c>
      <c r="S35" s="86">
        <f t="shared" si="25"/>
        <v>302579.00000000012</v>
      </c>
      <c r="T35" s="86">
        <f t="shared" si="23"/>
        <v>7055537.1219999995</v>
      </c>
      <c r="U35" s="86">
        <f t="shared" si="0"/>
        <v>1411107.4243999999</v>
      </c>
      <c r="V35" s="99">
        <v>23.317999999999991</v>
      </c>
      <c r="W35" s="130"/>
      <c r="X35" s="86">
        <f>T35*($P$52+$P$53+$P$54)</f>
        <v>2010828.0797700002</v>
      </c>
      <c r="Y35" s="111">
        <f t="shared" si="24"/>
        <v>4727209.8717400003</v>
      </c>
    </row>
    <row r="36" spans="1:25" x14ac:dyDescent="0.25">
      <c r="A36" s="21">
        <v>31</v>
      </c>
      <c r="B36" s="3">
        <v>2030</v>
      </c>
      <c r="C36" s="4"/>
      <c r="D36" s="4"/>
      <c r="E36" s="4"/>
      <c r="F36" s="37">
        <f t="shared" si="18"/>
        <v>302579.00000000012</v>
      </c>
      <c r="G36" s="4">
        <f t="shared" si="19"/>
        <v>7172332.6159999995</v>
      </c>
      <c r="H36" s="4"/>
      <c r="I36" s="61">
        <f>F36*70%</f>
        <v>211805.30000000008</v>
      </c>
      <c r="L36" s="136">
        <v>2030</v>
      </c>
      <c r="M36" s="134"/>
      <c r="N36" s="132"/>
      <c r="O36" s="133"/>
      <c r="P36" s="133">
        <f t="shared" si="26"/>
        <v>302579.00000000012</v>
      </c>
      <c r="Q36" s="131">
        <f t="shared" si="15"/>
        <v>0</v>
      </c>
      <c r="R36" s="133">
        <f t="shared" si="22"/>
        <v>0</v>
      </c>
      <c r="S36" s="133">
        <f t="shared" ref="S36" si="27">O36+P36+R36</f>
        <v>302579.00000000012</v>
      </c>
      <c r="T36" s="133">
        <f>P36*V36</f>
        <v>7172332.6159999995</v>
      </c>
      <c r="U36" s="133">
        <f t="shared" si="0"/>
        <v>1434466.5231999999</v>
      </c>
      <c r="V36" s="120">
        <v>23.70399999999999</v>
      </c>
      <c r="W36" s="135">
        <f>((V36/V22)^(1/14)-1)</f>
        <v>4.2155689878432767E-2</v>
      </c>
      <c r="X36" s="134"/>
      <c r="Y36" s="134"/>
    </row>
    <row r="37" spans="1:25" x14ac:dyDescent="0.25">
      <c r="F37" s="43">
        <f>(F36/F22)^(1/14)-1</f>
        <v>6.3691067260293499E-2</v>
      </c>
      <c r="I37" s="43">
        <f>(I36/I21)^(1/15)-1</f>
        <v>4.1894946570778968E-2</v>
      </c>
      <c r="L37" s="73"/>
      <c r="M37" s="73"/>
      <c r="N37" s="73"/>
      <c r="O37" s="73"/>
      <c r="P37" s="75"/>
      <c r="Q37" s="115" t="s">
        <v>89</v>
      </c>
      <c r="R37" s="115" t="s">
        <v>90</v>
      </c>
      <c r="S37" s="115" t="s">
        <v>91</v>
      </c>
      <c r="T37" s="138">
        <v>4</v>
      </c>
      <c r="U37" s="139">
        <v>52</v>
      </c>
      <c r="V37" s="139">
        <f>T37+U37</f>
        <v>56</v>
      </c>
      <c r="W37" s="73"/>
      <c r="X37" s="73"/>
      <c r="Y37" s="73"/>
    </row>
    <row r="38" spans="1:25" x14ac:dyDescent="0.25">
      <c r="A38" s="1" t="s">
        <v>40</v>
      </c>
      <c r="B38" s="1"/>
      <c r="L38" s="73"/>
      <c r="M38" s="73"/>
      <c r="N38" s="73"/>
      <c r="O38" s="73"/>
      <c r="P38" s="73"/>
      <c r="Q38" s="137">
        <v>4</v>
      </c>
      <c r="R38" s="140">
        <f>(P26/6000)-Q38</f>
        <v>17.245666666666665</v>
      </c>
      <c r="S38" s="137">
        <f>(P36/6000)-(Q38+R38)</f>
        <v>29.184166666666691</v>
      </c>
      <c r="T38" s="138">
        <f>SUM(Q38:S38)</f>
        <v>50.429833333333356</v>
      </c>
      <c r="U38" s="139">
        <f>T38-V37</f>
        <v>-5.5701666666666441</v>
      </c>
      <c r="V38" s="139"/>
      <c r="W38" s="73"/>
      <c r="X38" s="73"/>
      <c r="Y38" s="73"/>
    </row>
    <row r="39" spans="1:25" x14ac:dyDescent="0.25">
      <c r="A39" s="32">
        <v>1</v>
      </c>
      <c r="B39" s="1" t="s">
        <v>41</v>
      </c>
      <c r="L39" s="73"/>
      <c r="M39" s="90" t="s">
        <v>57</v>
      </c>
      <c r="N39" s="90"/>
      <c r="O39" s="90"/>
      <c r="P39" s="73"/>
      <c r="Q39" s="73"/>
      <c r="R39" s="77">
        <f>R40/9</f>
        <v>19456.111111111109</v>
      </c>
      <c r="S39" s="76"/>
      <c r="T39"/>
      <c r="U39" s="73"/>
      <c r="V39" s="73"/>
      <c r="W39" s="73"/>
      <c r="X39" s="73"/>
      <c r="Y39" s="73"/>
    </row>
    <row r="40" spans="1:25" x14ac:dyDescent="0.25">
      <c r="A40" s="32">
        <v>2</v>
      </c>
      <c r="B40" s="1" t="s">
        <v>42</v>
      </c>
      <c r="L40" s="73"/>
      <c r="M40" s="90" t="s">
        <v>65</v>
      </c>
      <c r="N40" s="90"/>
      <c r="O40" s="90"/>
      <c r="P40" s="73"/>
      <c r="Q40" s="73"/>
      <c r="R40" s="94">
        <f>R44-R41</f>
        <v>175105</v>
      </c>
      <c r="S40" s="88" t="s">
        <v>54</v>
      </c>
      <c r="T40" s="73"/>
      <c r="U40" s="73"/>
      <c r="V40" s="73"/>
      <c r="W40" s="73"/>
      <c r="X40" s="73"/>
      <c r="Y40" s="73"/>
    </row>
    <row r="41" spans="1:25" x14ac:dyDescent="0.25">
      <c r="L41" s="73"/>
      <c r="M41" s="90" t="s">
        <v>56</v>
      </c>
      <c r="N41" s="90"/>
      <c r="O41" s="90"/>
      <c r="P41" s="73"/>
      <c r="Q41" s="73"/>
      <c r="R41" s="78">
        <f>S22</f>
        <v>127474</v>
      </c>
      <c r="S41" s="76"/>
      <c r="T41"/>
      <c r="U41" s="73"/>
      <c r="V41" s="73"/>
      <c r="W41" s="73"/>
      <c r="X41" s="73"/>
      <c r="Y41" s="73"/>
    </row>
    <row r="42" spans="1:25" x14ac:dyDescent="0.25">
      <c r="L42" s="73"/>
      <c r="M42" s="91"/>
      <c r="N42" s="92"/>
      <c r="O42" s="92"/>
      <c r="P42" s="73"/>
      <c r="Q42" s="73"/>
      <c r="R42"/>
      <c r="S42"/>
      <c r="T42"/>
      <c r="U42" s="73"/>
      <c r="V42" s="73"/>
      <c r="W42" s="73"/>
      <c r="X42" s="73"/>
      <c r="Y42" s="73"/>
    </row>
    <row r="43" spans="1:25" x14ac:dyDescent="0.25">
      <c r="L43" s="73"/>
      <c r="M43" s="73" t="s">
        <v>66</v>
      </c>
      <c r="N43" s="73"/>
      <c r="O43" s="73"/>
      <c r="P43" s="73"/>
      <c r="Q43" s="73"/>
      <c r="R43" s="7">
        <v>487288</v>
      </c>
      <c r="S43" t="s">
        <v>58</v>
      </c>
      <c r="T43"/>
      <c r="U43" s="73"/>
      <c r="V43" s="73"/>
      <c r="W43" s="73"/>
      <c r="X43" s="73"/>
      <c r="Y43" s="73"/>
    </row>
    <row r="44" spans="1:25" x14ac:dyDescent="0.25">
      <c r="L44" s="73"/>
      <c r="M44" s="73" t="s">
        <v>59</v>
      </c>
      <c r="N44" s="73"/>
      <c r="O44" s="73"/>
      <c r="P44" s="73"/>
      <c r="Q44" s="112">
        <f>S36/R43</f>
        <v>0.62094490321945162</v>
      </c>
      <c r="R44" s="177">
        <v>302579</v>
      </c>
      <c r="S44" s="93" t="s">
        <v>104</v>
      </c>
      <c r="T44"/>
      <c r="U44" s="73"/>
      <c r="V44" s="73"/>
      <c r="W44" s="73"/>
      <c r="X44" s="73"/>
      <c r="Y44" s="73"/>
    </row>
    <row r="45" spans="1:25" x14ac:dyDescent="0.25">
      <c r="L45" s="73"/>
      <c r="M45" s="73" t="s">
        <v>60</v>
      </c>
      <c r="N45" s="73"/>
      <c r="O45" s="73"/>
      <c r="P45" s="73"/>
      <c r="Q45" s="73"/>
      <c r="R45" s="80">
        <f>S22-S21</f>
        <v>13034</v>
      </c>
      <c r="S45"/>
      <c r="T45"/>
      <c r="U45" s="73"/>
      <c r="V45" s="73"/>
      <c r="W45" s="73"/>
      <c r="X45" s="73"/>
      <c r="Y45" s="73"/>
    </row>
    <row r="46" spans="1:25" x14ac:dyDescent="0.25">
      <c r="L46" s="73"/>
      <c r="M46" s="90" t="s">
        <v>61</v>
      </c>
      <c r="N46" s="90"/>
      <c r="O46" s="90"/>
      <c r="P46" s="73"/>
      <c r="Q46" s="73"/>
      <c r="R46" s="81">
        <f>O22/4</f>
        <v>20858</v>
      </c>
      <c r="S46"/>
      <c r="T46"/>
      <c r="U46" s="73"/>
      <c r="V46" s="73"/>
      <c r="W46" s="73"/>
      <c r="X46" s="73"/>
      <c r="Y46" s="73"/>
    </row>
    <row r="47" spans="1:25" x14ac:dyDescent="0.25">
      <c r="L47" s="73"/>
      <c r="M47" s="90" t="s">
        <v>62</v>
      </c>
      <c r="N47" s="90"/>
      <c r="O47" s="90"/>
      <c r="P47" s="73"/>
      <c r="Q47" s="73"/>
      <c r="R47" s="82">
        <f>R39</f>
        <v>19456.111111111109</v>
      </c>
      <c r="S47"/>
      <c r="T47"/>
      <c r="U47" s="73"/>
      <c r="V47" s="73"/>
      <c r="W47" s="73"/>
      <c r="X47" s="73"/>
      <c r="Y47" s="73"/>
    </row>
    <row r="48" spans="1:25" x14ac:dyDescent="0.25"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</row>
    <row r="49" spans="12:25" x14ac:dyDescent="0.25"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</row>
    <row r="50" spans="12:25" x14ac:dyDescent="0.25">
      <c r="L50" s="73"/>
      <c r="M50" s="101" t="s">
        <v>67</v>
      </c>
      <c r="N50" s="73"/>
      <c r="O50" s="73"/>
      <c r="P50" s="72"/>
      <c r="Q50">
        <v>10</v>
      </c>
      <c r="R50" t="s">
        <v>68</v>
      </c>
      <c r="S50"/>
      <c r="T50" s="73"/>
      <c r="U50" s="73"/>
      <c r="V50" s="73"/>
      <c r="W50" s="73"/>
      <c r="X50" s="73"/>
      <c r="Y50" s="73"/>
    </row>
    <row r="51" spans="12:25" x14ac:dyDescent="0.25">
      <c r="L51" s="73"/>
      <c r="M51" s="101" t="s">
        <v>69</v>
      </c>
      <c r="N51" s="73"/>
      <c r="O51" s="73"/>
      <c r="P51" s="107">
        <v>0.67</v>
      </c>
      <c r="Q51">
        <f>P51*$G$49</f>
        <v>0</v>
      </c>
      <c r="R51" t="s">
        <v>70</v>
      </c>
      <c r="S51" t="s">
        <v>71</v>
      </c>
      <c r="T51" s="73"/>
      <c r="U51" s="73"/>
      <c r="V51" s="73"/>
      <c r="W51" s="73"/>
      <c r="X51" s="73"/>
      <c r="Y51" s="73"/>
    </row>
    <row r="52" spans="12:25" x14ac:dyDescent="0.25">
      <c r="L52" s="73"/>
      <c r="M52" s="101" t="s">
        <v>72</v>
      </c>
      <c r="N52" s="73"/>
      <c r="O52" s="73"/>
      <c r="P52" s="107">
        <v>0.22</v>
      </c>
      <c r="Q52">
        <f t="shared" ref="Q52:Q56" si="28">P52*$G$49</f>
        <v>0</v>
      </c>
      <c r="R52" t="s">
        <v>68</v>
      </c>
      <c r="S52"/>
      <c r="T52" s="73"/>
      <c r="U52" s="73"/>
      <c r="V52" s="73"/>
      <c r="W52" s="73"/>
      <c r="X52" s="73"/>
      <c r="Y52" s="73"/>
    </row>
    <row r="53" spans="12:25" x14ac:dyDescent="0.25">
      <c r="L53" s="73"/>
      <c r="M53" s="101" t="s">
        <v>73</v>
      </c>
      <c r="N53" s="73"/>
      <c r="O53" s="73"/>
      <c r="P53" s="108">
        <v>5.0000000000000001E-3</v>
      </c>
      <c r="Q53">
        <f t="shared" si="28"/>
        <v>0</v>
      </c>
      <c r="R53" t="s">
        <v>68</v>
      </c>
      <c r="S53" t="s">
        <v>74</v>
      </c>
      <c r="T53" s="73"/>
      <c r="U53" s="73"/>
      <c r="V53" s="73"/>
      <c r="W53" s="73"/>
      <c r="X53" s="73"/>
      <c r="Y53" s="73"/>
    </row>
    <row r="54" spans="12:25" x14ac:dyDescent="0.25">
      <c r="L54" s="73"/>
      <c r="M54" s="101" t="s">
        <v>75</v>
      </c>
      <c r="N54" s="73"/>
      <c r="O54" s="73"/>
      <c r="P54" s="107">
        <v>0.06</v>
      </c>
      <c r="Q54">
        <f t="shared" si="28"/>
        <v>0</v>
      </c>
      <c r="R54" t="s">
        <v>68</v>
      </c>
      <c r="S54" t="s">
        <v>76</v>
      </c>
      <c r="T54" s="73"/>
      <c r="U54" s="73"/>
      <c r="V54" s="73"/>
      <c r="W54" s="73"/>
      <c r="X54" s="73"/>
      <c r="Y54" s="73"/>
    </row>
    <row r="55" spans="12:25" x14ac:dyDescent="0.25">
      <c r="L55" s="73"/>
      <c r="M55" s="101" t="s">
        <v>77</v>
      </c>
      <c r="N55" s="73"/>
      <c r="O55" s="73"/>
      <c r="P55" s="109">
        <v>0.13500000000000001</v>
      </c>
      <c r="Q55">
        <f t="shared" si="28"/>
        <v>0</v>
      </c>
      <c r="R55" t="s">
        <v>68</v>
      </c>
      <c r="S55" t="s">
        <v>78</v>
      </c>
      <c r="T55" s="73"/>
      <c r="U55" s="73"/>
      <c r="V55" s="73"/>
      <c r="W55" s="73"/>
      <c r="X55" s="73"/>
      <c r="Y55" s="73"/>
    </row>
    <row r="56" spans="12:25" x14ac:dyDescent="0.25">
      <c r="L56" s="73"/>
      <c r="M56" s="101" t="s">
        <v>79</v>
      </c>
      <c r="N56" s="73"/>
      <c r="O56" s="73"/>
      <c r="P56" s="109">
        <v>5.5E-2</v>
      </c>
      <c r="Q56">
        <f t="shared" si="28"/>
        <v>0</v>
      </c>
      <c r="R56" t="s">
        <v>68</v>
      </c>
      <c r="S56" t="s">
        <v>78</v>
      </c>
      <c r="T56" s="73"/>
      <c r="U56" s="73"/>
      <c r="V56" s="73"/>
      <c r="W56" s="73"/>
      <c r="X56" s="73"/>
      <c r="Y56" s="73"/>
    </row>
  </sheetData>
  <mergeCells count="3">
    <mergeCell ref="A4:A5"/>
    <mergeCell ref="B4:B5"/>
    <mergeCell ref="C4:E4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zoomScale="85" zoomScaleNormal="85" workbookViewId="0">
      <pane xSplit="2" ySplit="5" topLeftCell="T23" activePane="bottomRight" state="frozen"/>
      <selection pane="topRight" activeCell="C1" sqref="C1"/>
      <selection pane="bottomLeft" activeCell="A6" sqref="A6"/>
      <selection pane="bottomRight" activeCell="T36" sqref="T36"/>
    </sheetView>
  </sheetViews>
  <sheetFormatPr defaultRowHeight="15" x14ac:dyDescent="0.25"/>
  <cols>
    <col min="1" max="1" width="3.7109375" style="73" customWidth="1"/>
    <col min="2" max="2" width="9.140625" style="73"/>
    <col min="3" max="4" width="11.5703125" style="73" bestFit="1" customWidth="1"/>
    <col min="5" max="5" width="9.28515625" style="73" bestFit="1" customWidth="1"/>
    <col min="6" max="6" width="11.5703125" style="73" bestFit="1" customWidth="1"/>
    <col min="7" max="7" width="13.28515625" style="73" bestFit="1" customWidth="1"/>
    <col min="8" max="8" width="15.42578125" style="73" bestFit="1" customWidth="1"/>
    <col min="9" max="9" width="11.5703125" style="73" bestFit="1" customWidth="1"/>
    <col min="10" max="11" width="9.140625" style="73"/>
    <col min="12" max="12" width="9.140625" style="45"/>
    <col min="13" max="13" width="13.28515625" style="45" customWidth="1"/>
    <col min="14" max="14" width="10.5703125" style="45" bestFit="1" customWidth="1"/>
    <col min="15" max="15" width="14.5703125" style="45" customWidth="1"/>
    <col min="16" max="16" width="15.7109375" style="45" bestFit="1" customWidth="1"/>
    <col min="17" max="17" width="17.85546875" style="45" customWidth="1"/>
    <col min="18" max="18" width="14.85546875" style="45" customWidth="1"/>
    <col min="19" max="19" width="14.140625" style="45" customWidth="1"/>
    <col min="20" max="20" width="15.140625" style="45" customWidth="1"/>
    <col min="21" max="21" width="14" style="45" customWidth="1"/>
    <col min="22" max="22" width="15" style="45" customWidth="1"/>
    <col min="23" max="23" width="12.5703125" style="45" customWidth="1"/>
    <col min="24" max="24" width="13.28515625" style="45" bestFit="1" customWidth="1"/>
    <col min="25" max="25" width="14.5703125" style="45" customWidth="1"/>
    <col min="26" max="16384" width="9.140625" style="73"/>
  </cols>
  <sheetData>
    <row r="1" spans="1:25" x14ac:dyDescent="0.25">
      <c r="A1" s="45" t="s">
        <v>13</v>
      </c>
      <c r="B1" s="45"/>
      <c r="C1" s="45"/>
      <c r="D1" s="45"/>
      <c r="E1" s="45"/>
      <c r="F1" s="45"/>
      <c r="G1" s="45"/>
      <c r="H1" s="45"/>
    </row>
    <row r="2" spans="1:25" x14ac:dyDescent="0.25">
      <c r="A2" s="45" t="s">
        <v>16</v>
      </c>
      <c r="B2" s="45"/>
      <c r="C2" s="45"/>
      <c r="D2" s="45"/>
      <c r="E2" s="45"/>
      <c r="F2" s="45"/>
      <c r="G2" s="45"/>
      <c r="H2" s="45"/>
    </row>
    <row r="3" spans="1:25" x14ac:dyDescent="0.25">
      <c r="A3" s="45"/>
      <c r="B3" s="45"/>
      <c r="C3" s="45"/>
      <c r="D3" s="45"/>
      <c r="E3" s="45"/>
      <c r="F3" s="45"/>
      <c r="G3" s="45"/>
      <c r="H3" s="45"/>
    </row>
    <row r="4" spans="1:25" ht="45" x14ac:dyDescent="0.25">
      <c r="A4" s="183" t="s">
        <v>1</v>
      </c>
      <c r="B4" s="183" t="s">
        <v>2</v>
      </c>
      <c r="C4" s="188" t="s">
        <v>3</v>
      </c>
      <c r="D4" s="188"/>
      <c r="E4" s="188"/>
      <c r="F4" s="141" t="s">
        <v>4</v>
      </c>
      <c r="G4" s="142" t="s">
        <v>5</v>
      </c>
      <c r="H4" s="142" t="s">
        <v>6</v>
      </c>
      <c r="I4" s="144"/>
      <c r="L4" s="70" t="s">
        <v>2</v>
      </c>
      <c r="M4" s="70" t="s">
        <v>63</v>
      </c>
      <c r="N4" s="70" t="s">
        <v>46</v>
      </c>
      <c r="O4" s="70" t="s">
        <v>7</v>
      </c>
      <c r="P4" s="70" t="s">
        <v>8</v>
      </c>
      <c r="Q4" s="70" t="s">
        <v>47</v>
      </c>
      <c r="R4" s="70" t="s">
        <v>9</v>
      </c>
      <c r="S4" s="70" t="s">
        <v>38</v>
      </c>
      <c r="T4" s="71" t="s">
        <v>48</v>
      </c>
      <c r="U4" s="70" t="s">
        <v>49</v>
      </c>
      <c r="V4" s="70" t="s">
        <v>50</v>
      </c>
      <c r="W4" s="70" t="s">
        <v>51</v>
      </c>
      <c r="X4" s="70" t="s">
        <v>52</v>
      </c>
      <c r="Y4" s="70" t="s">
        <v>53</v>
      </c>
    </row>
    <row r="5" spans="1:25" x14ac:dyDescent="0.25">
      <c r="A5" s="183"/>
      <c r="B5" s="183"/>
      <c r="C5" s="142" t="s">
        <v>7</v>
      </c>
      <c r="D5" s="142" t="s">
        <v>8</v>
      </c>
      <c r="E5" s="142" t="s">
        <v>9</v>
      </c>
      <c r="F5" s="141" t="s">
        <v>10</v>
      </c>
      <c r="G5" s="142" t="s">
        <v>11</v>
      </c>
      <c r="H5" s="142" t="s">
        <v>12</v>
      </c>
      <c r="I5" s="144"/>
      <c r="L5" s="72"/>
      <c r="M5" s="73"/>
      <c r="N5" s="73"/>
      <c r="O5" s="74"/>
      <c r="P5" s="74"/>
      <c r="Q5" s="73"/>
      <c r="R5" s="74"/>
      <c r="S5" s="74"/>
      <c r="T5" s="74"/>
      <c r="U5" s="74"/>
      <c r="V5" s="83"/>
      <c r="W5" s="73"/>
      <c r="X5" s="74"/>
      <c r="Y5" s="75"/>
    </row>
    <row r="6" spans="1:25" x14ac:dyDescent="0.25">
      <c r="A6" s="113">
        <v>1</v>
      </c>
      <c r="B6" s="113">
        <v>2000</v>
      </c>
      <c r="C6" s="142"/>
      <c r="D6" s="142"/>
      <c r="E6" s="142"/>
      <c r="F6" s="141"/>
      <c r="G6" s="142"/>
      <c r="H6" s="142"/>
      <c r="I6" s="145">
        <f>F6</f>
        <v>0</v>
      </c>
      <c r="L6" s="113">
        <v>2000</v>
      </c>
      <c r="M6" s="73"/>
      <c r="N6" s="73"/>
      <c r="O6" s="74">
        <f>C6</f>
        <v>0</v>
      </c>
      <c r="P6" s="74">
        <f>D6</f>
        <v>0</v>
      </c>
      <c r="Q6" s="73"/>
      <c r="R6" s="74">
        <f>E6</f>
        <v>0</v>
      </c>
      <c r="S6" s="74">
        <f>F6</f>
        <v>0</v>
      </c>
      <c r="T6" s="74">
        <f>G6</f>
        <v>0</v>
      </c>
      <c r="U6" s="74">
        <f t="shared" ref="U6:U36" si="0">T6*20%</f>
        <v>0</v>
      </c>
      <c r="V6" s="83" t="e">
        <f>T6/P6</f>
        <v>#DIV/0!</v>
      </c>
      <c r="W6" s="73"/>
      <c r="X6" s="86">
        <f t="shared" ref="X6:X22" si="1">T6*($P$52+$P$53+$P$54)</f>
        <v>0</v>
      </c>
      <c r="Y6" s="111">
        <f t="shared" ref="Y6:Y22" si="2">T6*$P$51</f>
        <v>0</v>
      </c>
    </row>
    <row r="7" spans="1:25" x14ac:dyDescent="0.25">
      <c r="A7" s="113">
        <v>2</v>
      </c>
      <c r="B7" s="113">
        <v>2001</v>
      </c>
      <c r="C7" s="142"/>
      <c r="D7" s="142"/>
      <c r="E7" s="142"/>
      <c r="F7" s="141"/>
      <c r="G7" s="142"/>
      <c r="H7" s="142"/>
      <c r="I7" s="145">
        <f t="shared" ref="I7:I21" si="3">F7</f>
        <v>0</v>
      </c>
      <c r="L7" s="113">
        <v>2001</v>
      </c>
      <c r="M7" s="73"/>
      <c r="N7" s="73"/>
      <c r="O7" s="74">
        <f t="shared" ref="O7:O12" si="4">C7</f>
        <v>0</v>
      </c>
      <c r="P7" s="74">
        <f t="shared" ref="P7:P22" si="5">D7</f>
        <v>0</v>
      </c>
      <c r="Q7" s="73"/>
      <c r="R7" s="74">
        <f t="shared" ref="R7:T22" si="6">E7</f>
        <v>0</v>
      </c>
      <c r="S7" s="74">
        <f t="shared" si="6"/>
        <v>0</v>
      </c>
      <c r="T7" s="74">
        <f t="shared" si="6"/>
        <v>0</v>
      </c>
      <c r="U7" s="74">
        <f t="shared" si="0"/>
        <v>0</v>
      </c>
      <c r="V7" s="83" t="e">
        <f t="shared" ref="V7:V22" si="7">T7/P7</f>
        <v>#DIV/0!</v>
      </c>
      <c r="W7" s="73"/>
      <c r="X7" s="86">
        <f t="shared" si="1"/>
        <v>0</v>
      </c>
      <c r="Y7" s="111">
        <f t="shared" si="2"/>
        <v>0</v>
      </c>
    </row>
    <row r="8" spans="1:25" x14ac:dyDescent="0.25">
      <c r="A8" s="113">
        <v>3</v>
      </c>
      <c r="B8" s="113">
        <v>2002</v>
      </c>
      <c r="C8" s="142"/>
      <c r="D8" s="142"/>
      <c r="E8" s="142"/>
      <c r="F8" s="141"/>
      <c r="G8" s="142"/>
      <c r="H8" s="142"/>
      <c r="I8" s="145">
        <f t="shared" si="3"/>
        <v>0</v>
      </c>
      <c r="L8" s="113">
        <v>2002</v>
      </c>
      <c r="M8" s="73"/>
      <c r="N8" s="73"/>
      <c r="O8" s="74">
        <f t="shared" si="4"/>
        <v>0</v>
      </c>
      <c r="P8" s="74">
        <f t="shared" si="5"/>
        <v>0</v>
      </c>
      <c r="Q8" s="73"/>
      <c r="R8" s="74">
        <f t="shared" si="6"/>
        <v>0</v>
      </c>
      <c r="S8" s="74">
        <f t="shared" si="6"/>
        <v>0</v>
      </c>
      <c r="T8" s="74">
        <f t="shared" si="6"/>
        <v>0</v>
      </c>
      <c r="U8" s="74">
        <f t="shared" si="0"/>
        <v>0</v>
      </c>
      <c r="V8" s="83" t="e">
        <f t="shared" si="7"/>
        <v>#DIV/0!</v>
      </c>
      <c r="W8" s="73"/>
      <c r="X8" s="86">
        <f t="shared" si="1"/>
        <v>0</v>
      </c>
      <c r="Y8" s="111">
        <f t="shared" si="2"/>
        <v>0</v>
      </c>
    </row>
    <row r="9" spans="1:25" x14ac:dyDescent="0.25">
      <c r="A9" s="113">
        <v>4</v>
      </c>
      <c r="B9" s="113">
        <v>2003</v>
      </c>
      <c r="C9" s="142"/>
      <c r="D9" s="142"/>
      <c r="E9" s="142"/>
      <c r="F9" s="141">
        <v>31186</v>
      </c>
      <c r="G9" s="142">
        <v>65793</v>
      </c>
      <c r="H9" s="142"/>
      <c r="I9" s="145">
        <f t="shared" si="3"/>
        <v>31186</v>
      </c>
      <c r="L9" s="113">
        <v>2003</v>
      </c>
      <c r="M9" s="127"/>
      <c r="N9" s="127"/>
      <c r="O9" s="125">
        <f t="shared" si="4"/>
        <v>0</v>
      </c>
      <c r="P9" s="125">
        <f t="shared" si="5"/>
        <v>0</v>
      </c>
      <c r="Q9" s="123">
        <f>S9-S8</f>
        <v>31186</v>
      </c>
      <c r="R9" s="125">
        <f t="shared" si="6"/>
        <v>0</v>
      </c>
      <c r="S9" s="125">
        <f t="shared" si="6"/>
        <v>31186</v>
      </c>
      <c r="T9" s="125">
        <f t="shared" si="6"/>
        <v>65793</v>
      </c>
      <c r="U9" s="125">
        <f t="shared" si="0"/>
        <v>13158.6</v>
      </c>
      <c r="V9" s="126" t="e">
        <f t="shared" si="7"/>
        <v>#DIV/0!</v>
      </c>
      <c r="W9" s="73"/>
      <c r="X9" s="86">
        <f t="shared" si="1"/>
        <v>18751.005000000001</v>
      </c>
      <c r="Y9" s="168">
        <f t="shared" si="2"/>
        <v>39475.799999999996</v>
      </c>
    </row>
    <row r="10" spans="1:25" x14ac:dyDescent="0.25">
      <c r="A10" s="113">
        <v>5</v>
      </c>
      <c r="B10" s="113">
        <v>2004</v>
      </c>
      <c r="C10" s="142"/>
      <c r="D10" s="142"/>
      <c r="E10" s="142"/>
      <c r="F10" s="141">
        <v>39568</v>
      </c>
      <c r="G10" s="142">
        <v>113933</v>
      </c>
      <c r="H10" s="142"/>
      <c r="I10" s="145">
        <f t="shared" si="3"/>
        <v>39568</v>
      </c>
      <c r="L10" s="113">
        <v>2004</v>
      </c>
      <c r="M10" s="127"/>
      <c r="N10" s="127"/>
      <c r="O10" s="125">
        <f t="shared" si="4"/>
        <v>0</v>
      </c>
      <c r="P10" s="125">
        <f t="shared" si="5"/>
        <v>0</v>
      </c>
      <c r="Q10" s="123">
        <f t="shared" ref="Q10:Q14" si="8">S10-S9</f>
        <v>8382</v>
      </c>
      <c r="R10" s="125">
        <f t="shared" si="6"/>
        <v>0</v>
      </c>
      <c r="S10" s="125">
        <f t="shared" si="6"/>
        <v>39568</v>
      </c>
      <c r="T10" s="125">
        <f t="shared" si="6"/>
        <v>113933</v>
      </c>
      <c r="U10" s="125">
        <f t="shared" si="0"/>
        <v>22786.600000000002</v>
      </c>
      <c r="V10" s="126" t="e">
        <f t="shared" si="7"/>
        <v>#DIV/0!</v>
      </c>
      <c r="W10" s="73"/>
      <c r="X10" s="86">
        <f t="shared" si="1"/>
        <v>32470.905000000002</v>
      </c>
      <c r="Y10" s="168">
        <f t="shared" si="2"/>
        <v>68359.8</v>
      </c>
    </row>
    <row r="11" spans="1:25" x14ac:dyDescent="0.25">
      <c r="A11" s="113">
        <v>6</v>
      </c>
      <c r="B11" s="113">
        <v>2005</v>
      </c>
      <c r="C11" s="142"/>
      <c r="D11" s="142"/>
      <c r="E11" s="142"/>
      <c r="F11" s="141">
        <v>43354</v>
      </c>
      <c r="G11" s="142">
        <v>73405</v>
      </c>
      <c r="H11" s="142"/>
      <c r="I11" s="145">
        <f t="shared" si="3"/>
        <v>43354</v>
      </c>
      <c r="L11" s="113">
        <v>2005</v>
      </c>
      <c r="M11" s="127"/>
      <c r="N11" s="127"/>
      <c r="O11" s="125">
        <f t="shared" si="4"/>
        <v>0</v>
      </c>
      <c r="P11" s="125">
        <f t="shared" si="5"/>
        <v>0</v>
      </c>
      <c r="Q11" s="123">
        <f t="shared" si="8"/>
        <v>3786</v>
      </c>
      <c r="R11" s="125">
        <f t="shared" si="6"/>
        <v>0</v>
      </c>
      <c r="S11" s="125">
        <f t="shared" si="6"/>
        <v>43354</v>
      </c>
      <c r="T11" s="125">
        <f t="shared" si="6"/>
        <v>73405</v>
      </c>
      <c r="U11" s="125">
        <f t="shared" si="0"/>
        <v>14681</v>
      </c>
      <c r="V11" s="126" t="e">
        <f t="shared" si="7"/>
        <v>#DIV/0!</v>
      </c>
      <c r="W11" s="73"/>
      <c r="X11" s="86">
        <f t="shared" si="1"/>
        <v>20920.425000000003</v>
      </c>
      <c r="Y11" s="168">
        <f t="shared" si="2"/>
        <v>44043</v>
      </c>
    </row>
    <row r="12" spans="1:25" x14ac:dyDescent="0.25">
      <c r="A12" s="113">
        <v>7</v>
      </c>
      <c r="B12" s="48">
        <v>2006</v>
      </c>
      <c r="C12" s="10"/>
      <c r="D12" s="10"/>
      <c r="E12" s="10"/>
      <c r="F12" s="53">
        <v>51599</v>
      </c>
      <c r="G12" s="10">
        <v>260162</v>
      </c>
      <c r="H12" s="10" t="e">
        <f t="shared" ref="H12:H19" si="9">(G12*1000)/D12</f>
        <v>#DIV/0!</v>
      </c>
      <c r="I12" s="145">
        <f t="shared" si="3"/>
        <v>51599</v>
      </c>
      <c r="L12" s="48">
        <v>2006</v>
      </c>
      <c r="M12" s="127"/>
      <c r="N12" s="127"/>
      <c r="O12" s="125">
        <f t="shared" si="4"/>
        <v>0</v>
      </c>
      <c r="P12" s="125">
        <f t="shared" si="5"/>
        <v>0</v>
      </c>
      <c r="Q12" s="123">
        <f t="shared" si="8"/>
        <v>8245</v>
      </c>
      <c r="R12" s="125">
        <f t="shared" si="6"/>
        <v>0</v>
      </c>
      <c r="S12" s="125">
        <f t="shared" si="6"/>
        <v>51599</v>
      </c>
      <c r="T12" s="125">
        <f t="shared" si="6"/>
        <v>260162</v>
      </c>
      <c r="U12" s="125">
        <f t="shared" si="0"/>
        <v>52032.4</v>
      </c>
      <c r="V12" s="126" t="e">
        <f t="shared" si="7"/>
        <v>#DIV/0!</v>
      </c>
      <c r="W12" s="73"/>
      <c r="X12" s="86">
        <f t="shared" si="1"/>
        <v>74146.170000000013</v>
      </c>
      <c r="Y12" s="168">
        <f t="shared" si="2"/>
        <v>156097.19999999998</v>
      </c>
    </row>
    <row r="13" spans="1:25" x14ac:dyDescent="0.25">
      <c r="A13" s="113">
        <v>8</v>
      </c>
      <c r="B13" s="48">
        <v>2007</v>
      </c>
      <c r="C13" s="10"/>
      <c r="D13" s="10"/>
      <c r="E13" s="10"/>
      <c r="F13" s="53">
        <v>93983.5</v>
      </c>
      <c r="G13" s="10">
        <v>288929.5</v>
      </c>
      <c r="H13" s="10" t="e">
        <f t="shared" si="9"/>
        <v>#DIV/0!</v>
      </c>
      <c r="I13" s="145">
        <f t="shared" si="3"/>
        <v>93983.5</v>
      </c>
      <c r="L13" s="48">
        <v>2007</v>
      </c>
      <c r="M13" s="127"/>
      <c r="N13" s="127"/>
      <c r="O13" s="125">
        <f t="shared" ref="O13:O22" si="10">C13</f>
        <v>0</v>
      </c>
      <c r="P13" s="125">
        <f t="shared" si="5"/>
        <v>0</v>
      </c>
      <c r="Q13" s="123">
        <f t="shared" si="8"/>
        <v>42384.5</v>
      </c>
      <c r="R13" s="125">
        <f t="shared" si="6"/>
        <v>0</v>
      </c>
      <c r="S13" s="125">
        <f t="shared" si="6"/>
        <v>93983.5</v>
      </c>
      <c r="T13" s="125">
        <f t="shared" si="6"/>
        <v>288929.5</v>
      </c>
      <c r="U13" s="125">
        <f t="shared" si="0"/>
        <v>57785.9</v>
      </c>
      <c r="V13" s="126" t="e">
        <f t="shared" si="7"/>
        <v>#DIV/0!</v>
      </c>
      <c r="W13" s="73"/>
      <c r="X13" s="86">
        <f t="shared" si="1"/>
        <v>82344.907500000016</v>
      </c>
      <c r="Y13" s="168">
        <f t="shared" si="2"/>
        <v>173357.69999999998</v>
      </c>
    </row>
    <row r="14" spans="1:25" x14ac:dyDescent="0.25">
      <c r="A14" s="113">
        <v>9</v>
      </c>
      <c r="B14" s="48">
        <v>2008</v>
      </c>
      <c r="C14" s="10"/>
      <c r="D14" s="10"/>
      <c r="E14" s="10"/>
      <c r="F14" s="53">
        <v>131939.5</v>
      </c>
      <c r="G14" s="10">
        <v>508599</v>
      </c>
      <c r="H14" s="10" t="e">
        <f t="shared" si="9"/>
        <v>#DIV/0!</v>
      </c>
      <c r="I14" s="145">
        <f t="shared" si="3"/>
        <v>131939.5</v>
      </c>
      <c r="L14" s="48">
        <v>2008</v>
      </c>
      <c r="M14" s="127"/>
      <c r="N14" s="127"/>
      <c r="O14" s="125">
        <f t="shared" si="10"/>
        <v>0</v>
      </c>
      <c r="P14" s="125">
        <f t="shared" si="5"/>
        <v>0</v>
      </c>
      <c r="Q14" s="123">
        <f t="shared" si="8"/>
        <v>37956</v>
      </c>
      <c r="R14" s="125">
        <f t="shared" si="6"/>
        <v>0</v>
      </c>
      <c r="S14" s="125">
        <f t="shared" si="6"/>
        <v>131939.5</v>
      </c>
      <c r="T14" s="125">
        <f t="shared" si="6"/>
        <v>508599</v>
      </c>
      <c r="U14" s="125">
        <f t="shared" si="0"/>
        <v>101719.8</v>
      </c>
      <c r="V14" s="126" t="e">
        <f t="shared" si="7"/>
        <v>#DIV/0!</v>
      </c>
      <c r="W14" s="73"/>
      <c r="X14" s="86">
        <f t="shared" si="1"/>
        <v>144950.71500000003</v>
      </c>
      <c r="Y14" s="168">
        <f t="shared" si="2"/>
        <v>305159.39999999997</v>
      </c>
    </row>
    <row r="15" spans="1:25" x14ac:dyDescent="0.25">
      <c r="A15" s="113">
        <v>10</v>
      </c>
      <c r="B15" s="48">
        <v>2009</v>
      </c>
      <c r="C15" s="10"/>
      <c r="D15" s="10"/>
      <c r="E15" s="10"/>
      <c r="F15" s="53">
        <v>170300.5</v>
      </c>
      <c r="G15" s="10">
        <v>947266.5</v>
      </c>
      <c r="H15" s="10" t="e">
        <f t="shared" si="9"/>
        <v>#DIV/0!</v>
      </c>
      <c r="I15" s="145">
        <f t="shared" si="3"/>
        <v>170300.5</v>
      </c>
      <c r="L15" s="48">
        <v>2009</v>
      </c>
      <c r="M15" s="127"/>
      <c r="N15" s="127"/>
      <c r="O15" s="125">
        <f t="shared" si="10"/>
        <v>0</v>
      </c>
      <c r="P15" s="125">
        <f t="shared" si="5"/>
        <v>0</v>
      </c>
      <c r="Q15" s="123">
        <f>S15-S14</f>
        <v>38361</v>
      </c>
      <c r="R15" s="125">
        <f t="shared" si="6"/>
        <v>0</v>
      </c>
      <c r="S15" s="125">
        <f t="shared" si="6"/>
        <v>170300.5</v>
      </c>
      <c r="T15" s="125">
        <f t="shared" si="6"/>
        <v>947266.5</v>
      </c>
      <c r="U15" s="125">
        <f t="shared" si="0"/>
        <v>189453.30000000002</v>
      </c>
      <c r="V15" s="126" t="e">
        <f t="shared" si="7"/>
        <v>#DIV/0!</v>
      </c>
      <c r="W15" s="73"/>
      <c r="X15" s="86">
        <f t="shared" si="1"/>
        <v>269970.95250000001</v>
      </c>
      <c r="Y15" s="168">
        <f>T15*$P$51</f>
        <v>568359.9</v>
      </c>
    </row>
    <row r="16" spans="1:25" x14ac:dyDescent="0.25">
      <c r="A16" s="113">
        <v>11</v>
      </c>
      <c r="B16" s="48">
        <v>2010</v>
      </c>
      <c r="C16" s="10">
        <v>161738</v>
      </c>
      <c r="D16" s="10">
        <v>62336</v>
      </c>
      <c r="E16" s="10">
        <v>517</v>
      </c>
      <c r="F16" s="53">
        <f t="shared" ref="F16:F19" si="11">SUM(C16:E16)</f>
        <v>224591</v>
      </c>
      <c r="G16" s="10">
        <v>1096649</v>
      </c>
      <c r="H16" s="10">
        <f t="shared" si="9"/>
        <v>17592.54684291581</v>
      </c>
      <c r="I16" s="145">
        <f t="shared" si="3"/>
        <v>224591</v>
      </c>
      <c r="L16" s="48">
        <v>2010</v>
      </c>
      <c r="M16" s="127"/>
      <c r="N16" s="127"/>
      <c r="O16" s="125">
        <f t="shared" si="10"/>
        <v>161738</v>
      </c>
      <c r="P16" s="125">
        <f t="shared" si="5"/>
        <v>62336</v>
      </c>
      <c r="Q16" s="123">
        <f t="shared" ref="Q16:Q21" si="12">S16-S15</f>
        <v>54290.5</v>
      </c>
      <c r="R16" s="125">
        <f t="shared" si="6"/>
        <v>517</v>
      </c>
      <c r="S16" s="125">
        <f t="shared" si="6"/>
        <v>224591</v>
      </c>
      <c r="T16" s="125">
        <f t="shared" si="6"/>
        <v>1096649</v>
      </c>
      <c r="U16" s="125">
        <f t="shared" si="0"/>
        <v>219329.80000000002</v>
      </c>
      <c r="V16" s="126">
        <f t="shared" si="7"/>
        <v>17.592546842915812</v>
      </c>
      <c r="W16" s="73"/>
      <c r="X16" s="86">
        <f t="shared" si="1"/>
        <v>312544.96500000003</v>
      </c>
      <c r="Y16" s="168">
        <f t="shared" si="2"/>
        <v>657989.4</v>
      </c>
    </row>
    <row r="17" spans="1:25" x14ac:dyDescent="0.25">
      <c r="A17" s="113">
        <v>12</v>
      </c>
      <c r="B17" s="48">
        <v>2011</v>
      </c>
      <c r="C17" s="10">
        <v>175797</v>
      </c>
      <c r="D17" s="10">
        <v>94071</v>
      </c>
      <c r="E17" s="10">
        <v>758</v>
      </c>
      <c r="F17" s="146">
        <f t="shared" si="11"/>
        <v>270626</v>
      </c>
      <c r="G17" s="147">
        <v>1889599</v>
      </c>
      <c r="H17" s="147">
        <f t="shared" si="9"/>
        <v>20086.94496709932</v>
      </c>
      <c r="I17" s="145">
        <f t="shared" si="3"/>
        <v>270626</v>
      </c>
      <c r="L17" s="48">
        <v>2011</v>
      </c>
      <c r="M17" s="127"/>
      <c r="N17" s="127"/>
      <c r="O17" s="125">
        <f t="shared" si="10"/>
        <v>175797</v>
      </c>
      <c r="P17" s="125">
        <f t="shared" si="5"/>
        <v>94071</v>
      </c>
      <c r="Q17" s="123">
        <f t="shared" si="12"/>
        <v>46035</v>
      </c>
      <c r="R17" s="125">
        <f t="shared" si="6"/>
        <v>758</v>
      </c>
      <c r="S17" s="125">
        <f t="shared" si="6"/>
        <v>270626</v>
      </c>
      <c r="T17" s="125">
        <f t="shared" si="6"/>
        <v>1889599</v>
      </c>
      <c r="U17" s="125">
        <f t="shared" si="0"/>
        <v>377919.80000000005</v>
      </c>
      <c r="V17" s="126">
        <f t="shared" si="7"/>
        <v>20.086944967099317</v>
      </c>
      <c r="W17" s="73"/>
      <c r="X17" s="86">
        <f t="shared" si="1"/>
        <v>538535.71500000008</v>
      </c>
      <c r="Y17" s="168">
        <f t="shared" si="2"/>
        <v>1133759.3999999999</v>
      </c>
    </row>
    <row r="18" spans="1:25" x14ac:dyDescent="0.25">
      <c r="A18" s="113">
        <v>13</v>
      </c>
      <c r="B18" s="48">
        <v>2012</v>
      </c>
      <c r="C18" s="10">
        <v>183415</v>
      </c>
      <c r="D18" s="10">
        <v>123119</v>
      </c>
      <c r="E18" s="10">
        <v>834</v>
      </c>
      <c r="F18" s="146">
        <f t="shared" si="11"/>
        <v>307368</v>
      </c>
      <c r="G18" s="147">
        <v>2498530</v>
      </c>
      <c r="H18" s="147">
        <f t="shared" si="9"/>
        <v>20293.618369220021</v>
      </c>
      <c r="I18" s="145">
        <f t="shared" si="3"/>
        <v>307368</v>
      </c>
      <c r="L18" s="48">
        <v>2012</v>
      </c>
      <c r="M18" s="127"/>
      <c r="N18" s="127"/>
      <c r="O18" s="125">
        <f t="shared" si="10"/>
        <v>183415</v>
      </c>
      <c r="P18" s="125">
        <f t="shared" si="5"/>
        <v>123119</v>
      </c>
      <c r="Q18" s="123">
        <f t="shared" si="12"/>
        <v>36742</v>
      </c>
      <c r="R18" s="125">
        <f t="shared" si="6"/>
        <v>834</v>
      </c>
      <c r="S18" s="125">
        <f t="shared" si="6"/>
        <v>307368</v>
      </c>
      <c r="T18" s="125">
        <f t="shared" si="6"/>
        <v>2498530</v>
      </c>
      <c r="U18" s="125">
        <f t="shared" si="0"/>
        <v>499706</v>
      </c>
      <c r="V18" s="126">
        <f t="shared" si="7"/>
        <v>20.293618369220024</v>
      </c>
      <c r="W18" s="73"/>
      <c r="X18" s="86">
        <f t="shared" si="1"/>
        <v>712081.05</v>
      </c>
      <c r="Y18" s="168">
        <f t="shared" si="2"/>
        <v>1499118</v>
      </c>
    </row>
    <row r="19" spans="1:25" x14ac:dyDescent="0.25">
      <c r="A19" s="113">
        <v>14</v>
      </c>
      <c r="B19" s="48">
        <v>2013</v>
      </c>
      <c r="C19" s="10">
        <v>196515</v>
      </c>
      <c r="D19" s="10">
        <v>162131</v>
      </c>
      <c r="E19" s="10">
        <v>873</v>
      </c>
      <c r="F19" s="146">
        <f t="shared" si="11"/>
        <v>359519</v>
      </c>
      <c r="G19" s="147">
        <v>3402408</v>
      </c>
      <c r="H19" s="147">
        <f t="shared" si="9"/>
        <v>20985.54872294626</v>
      </c>
      <c r="I19" s="145">
        <f t="shared" si="3"/>
        <v>359519</v>
      </c>
      <c r="L19" s="48">
        <v>2013</v>
      </c>
      <c r="M19" s="127"/>
      <c r="N19" s="127"/>
      <c r="O19" s="125">
        <f t="shared" si="10"/>
        <v>196515</v>
      </c>
      <c r="P19" s="125">
        <f t="shared" si="5"/>
        <v>162131</v>
      </c>
      <c r="Q19" s="123">
        <f t="shared" si="12"/>
        <v>52151</v>
      </c>
      <c r="R19" s="125">
        <f t="shared" si="6"/>
        <v>873</v>
      </c>
      <c r="S19" s="125">
        <f t="shared" si="6"/>
        <v>359519</v>
      </c>
      <c r="T19" s="125">
        <f t="shared" si="6"/>
        <v>3402408</v>
      </c>
      <c r="U19" s="125">
        <f t="shared" si="0"/>
        <v>680481.60000000009</v>
      </c>
      <c r="V19" s="126">
        <f t="shared" si="7"/>
        <v>20.985548722946259</v>
      </c>
      <c r="W19" s="73"/>
      <c r="X19" s="86">
        <f t="shared" si="1"/>
        <v>969686.28000000014</v>
      </c>
      <c r="Y19" s="168">
        <f t="shared" si="2"/>
        <v>2041444.7999999998</v>
      </c>
    </row>
    <row r="20" spans="1:25" x14ac:dyDescent="0.25">
      <c r="A20" s="113">
        <v>15</v>
      </c>
      <c r="B20" s="48">
        <v>2014</v>
      </c>
      <c r="C20" s="10">
        <v>173619</v>
      </c>
      <c r="D20" s="10">
        <v>229556</v>
      </c>
      <c r="E20" s="10">
        <v>911</v>
      </c>
      <c r="F20" s="146">
        <f>SUM(C20:E20)</f>
        <v>404086</v>
      </c>
      <c r="G20" s="147">
        <v>5203079</v>
      </c>
      <c r="H20" s="147">
        <f>(G20*1000)/D20</f>
        <v>22665.837529840213</v>
      </c>
      <c r="I20" s="145">
        <f t="shared" si="3"/>
        <v>404086</v>
      </c>
      <c r="L20" s="48">
        <v>2014</v>
      </c>
      <c r="M20" s="127"/>
      <c r="N20" s="127"/>
      <c r="O20" s="125">
        <f t="shared" si="10"/>
        <v>173619</v>
      </c>
      <c r="P20" s="125">
        <f t="shared" si="5"/>
        <v>229556</v>
      </c>
      <c r="Q20" s="123">
        <f t="shared" si="12"/>
        <v>44567</v>
      </c>
      <c r="R20" s="125">
        <f t="shared" si="6"/>
        <v>911</v>
      </c>
      <c r="S20" s="125">
        <f t="shared" si="6"/>
        <v>404086</v>
      </c>
      <c r="T20" s="125">
        <f t="shared" si="6"/>
        <v>5203079</v>
      </c>
      <c r="U20" s="125">
        <f t="shared" si="0"/>
        <v>1040615.8</v>
      </c>
      <c r="V20" s="126">
        <f t="shared" si="7"/>
        <v>22.665837529840214</v>
      </c>
      <c r="W20" s="73"/>
      <c r="X20" s="86">
        <f t="shared" si="1"/>
        <v>1482877.5150000001</v>
      </c>
      <c r="Y20" s="168">
        <f t="shared" si="2"/>
        <v>3121847.4</v>
      </c>
    </row>
    <row r="21" spans="1:25" x14ac:dyDescent="0.25">
      <c r="A21" s="113">
        <v>16</v>
      </c>
      <c r="B21" s="48">
        <v>2015</v>
      </c>
      <c r="C21" s="10"/>
      <c r="D21" s="10"/>
      <c r="E21" s="10"/>
      <c r="F21" s="146">
        <v>424311</v>
      </c>
      <c r="G21" s="148">
        <v>5694529</v>
      </c>
      <c r="H21" s="147" t="e">
        <f t="shared" ref="H21:H23" si="13">(G21*1000)/D21</f>
        <v>#DIV/0!</v>
      </c>
      <c r="I21" s="145">
        <f t="shared" si="3"/>
        <v>424311</v>
      </c>
      <c r="L21" s="48">
        <v>2015</v>
      </c>
      <c r="M21" s="127"/>
      <c r="N21" s="127"/>
      <c r="O21" s="125">
        <f t="shared" si="10"/>
        <v>0</v>
      </c>
      <c r="P21" s="125">
        <f t="shared" si="5"/>
        <v>0</v>
      </c>
      <c r="Q21" s="123">
        <f t="shared" si="12"/>
        <v>20225</v>
      </c>
      <c r="R21" s="125">
        <f t="shared" si="6"/>
        <v>0</v>
      </c>
      <c r="S21" s="125">
        <f t="shared" si="6"/>
        <v>424311</v>
      </c>
      <c r="T21" s="125">
        <f t="shared" si="6"/>
        <v>5694529</v>
      </c>
      <c r="U21" s="125">
        <f t="shared" si="0"/>
        <v>1138905.8</v>
      </c>
      <c r="V21" s="126" t="e">
        <f t="shared" si="7"/>
        <v>#DIV/0!</v>
      </c>
      <c r="W21" s="73"/>
      <c r="X21" s="86">
        <f t="shared" si="1"/>
        <v>1622940.7650000001</v>
      </c>
      <c r="Y21" s="168">
        <f t="shared" si="2"/>
        <v>3416717.4</v>
      </c>
    </row>
    <row r="22" spans="1:25" x14ac:dyDescent="0.25">
      <c r="A22" s="113">
        <v>17</v>
      </c>
      <c r="B22" s="48">
        <v>2016</v>
      </c>
      <c r="C22" s="10">
        <v>150398</v>
      </c>
      <c r="D22" s="10">
        <v>299858</v>
      </c>
      <c r="E22" s="10">
        <v>380</v>
      </c>
      <c r="F22" s="146">
        <f>SUM(C22:E22)</f>
        <v>450636</v>
      </c>
      <c r="G22" s="147">
        <v>5082354</v>
      </c>
      <c r="H22" s="147">
        <f t="shared" si="13"/>
        <v>16949.202622574685</v>
      </c>
      <c r="I22" s="149">
        <f>I21*1.0253</f>
        <v>435046.06830000004</v>
      </c>
      <c r="L22" s="48">
        <v>2016</v>
      </c>
      <c r="N22" s="124"/>
      <c r="O22" s="125">
        <f t="shared" si="10"/>
        <v>150398</v>
      </c>
      <c r="P22" s="125">
        <f t="shared" si="5"/>
        <v>299858</v>
      </c>
      <c r="Q22" s="123">
        <f t="shared" ref="Q22:Q36" si="14">S22-S21</f>
        <v>26325</v>
      </c>
      <c r="R22" s="125">
        <f t="shared" si="6"/>
        <v>380</v>
      </c>
      <c r="S22" s="125">
        <f t="shared" si="6"/>
        <v>450636</v>
      </c>
      <c r="T22" s="125">
        <f t="shared" si="6"/>
        <v>5082354</v>
      </c>
      <c r="U22" s="125">
        <f t="shared" si="0"/>
        <v>1016470.8</v>
      </c>
      <c r="V22" s="126">
        <f t="shared" si="7"/>
        <v>16.949202622574685</v>
      </c>
      <c r="W22" s="127"/>
      <c r="X22" s="86">
        <f t="shared" si="1"/>
        <v>1448470.8900000001</v>
      </c>
      <c r="Y22" s="168">
        <f t="shared" si="2"/>
        <v>3049412.4</v>
      </c>
    </row>
    <row r="23" spans="1:25" x14ac:dyDescent="0.25">
      <c r="A23" s="113">
        <v>18</v>
      </c>
      <c r="B23" s="48">
        <v>2017</v>
      </c>
      <c r="C23" s="10"/>
      <c r="D23" s="10"/>
      <c r="E23" s="10"/>
      <c r="F23" s="146">
        <f>S23</f>
        <v>465844.11111111112</v>
      </c>
      <c r="G23" s="147">
        <f>T23</f>
        <v>6305730.8449999997</v>
      </c>
      <c r="H23" s="147" t="e">
        <f t="shared" si="13"/>
        <v>#DIV/0!</v>
      </c>
      <c r="I23" s="149">
        <f t="shared" ref="I23:I35" si="15">I22*1.0253</f>
        <v>446052.73382799007</v>
      </c>
      <c r="L23" s="48">
        <v>2017</v>
      </c>
      <c r="M23" s="123">
        <f>O22-$R$46</f>
        <v>112798.5</v>
      </c>
      <c r="N23" s="129">
        <f>R39</f>
        <v>15208.111111111111</v>
      </c>
      <c r="O23" s="86">
        <f>M23+N23</f>
        <v>128006.61111111111</v>
      </c>
      <c r="P23" s="86">
        <f>P22+$R$46</f>
        <v>337457.5</v>
      </c>
      <c r="Q23" s="111">
        <f t="shared" si="14"/>
        <v>15208.111111111124</v>
      </c>
      <c r="R23" s="86">
        <f>R22</f>
        <v>380</v>
      </c>
      <c r="S23" s="86">
        <f>O23+P23+R23</f>
        <v>465844.11111111112</v>
      </c>
      <c r="T23" s="173">
        <f>P23*V23</f>
        <v>6305730.8449999997</v>
      </c>
      <c r="U23" s="173">
        <f>T23*20%</f>
        <v>1261146.169</v>
      </c>
      <c r="V23" s="99">
        <v>18.686</v>
      </c>
      <c r="W23" s="85"/>
      <c r="X23" s="86">
        <f>T23*($P$52+$P$53+$P$54)</f>
        <v>1797133.290825</v>
      </c>
      <c r="Y23" s="168">
        <f>T23*$P$51</f>
        <v>3783438.5069999998</v>
      </c>
    </row>
    <row r="24" spans="1:25" x14ac:dyDescent="0.25">
      <c r="A24" s="113">
        <v>19</v>
      </c>
      <c r="B24" s="48">
        <v>2018</v>
      </c>
      <c r="C24" s="10"/>
      <c r="D24" s="10"/>
      <c r="E24" s="10"/>
      <c r="F24" s="146">
        <f t="shared" ref="F24:F36" si="16">S24</f>
        <v>481052.22222222225</v>
      </c>
      <c r="G24" s="147">
        <f t="shared" ref="G24:G36" si="17">T24</f>
        <v>7153087.1039999994</v>
      </c>
      <c r="H24" s="10"/>
      <c r="I24" s="149">
        <f t="shared" si="15"/>
        <v>457337.86799383827</v>
      </c>
      <c r="L24" s="48">
        <v>2018</v>
      </c>
      <c r="M24" s="123">
        <f>M23-$R$46</f>
        <v>75199</v>
      </c>
      <c r="N24" s="129">
        <f t="shared" ref="N24:N31" si="18">N23</f>
        <v>15208.111111111111</v>
      </c>
      <c r="O24" s="86">
        <f>M24+N24</f>
        <v>90407.111111111109</v>
      </c>
      <c r="P24" s="86">
        <f t="shared" ref="P24:P26" si="19">P23+$R$46</f>
        <v>375057</v>
      </c>
      <c r="Q24" s="111">
        <f t="shared" si="14"/>
        <v>15208.111111111124</v>
      </c>
      <c r="R24" s="86">
        <f t="shared" ref="R24:R36" si="20">R23</f>
        <v>380</v>
      </c>
      <c r="S24" s="86">
        <f>S23+N24</f>
        <v>481052.22222222225</v>
      </c>
      <c r="T24" s="173">
        <f>P24*V24</f>
        <v>7153087.1039999994</v>
      </c>
      <c r="U24" s="173">
        <f t="shared" si="0"/>
        <v>1430617.4208</v>
      </c>
      <c r="V24" s="99">
        <v>19.071999999999999</v>
      </c>
      <c r="W24" s="85"/>
      <c r="X24" s="86">
        <f t="shared" ref="X24:X34" si="21">T24*($P$52+$P$53+$P$54)</f>
        <v>2038629.82464</v>
      </c>
      <c r="Y24" s="168">
        <f t="shared" ref="Y24:Y34" si="22">T24*$P$51</f>
        <v>4291852.2623999994</v>
      </c>
    </row>
    <row r="25" spans="1:25" x14ac:dyDescent="0.25">
      <c r="A25" s="113">
        <v>20</v>
      </c>
      <c r="B25" s="48">
        <v>2019</v>
      </c>
      <c r="C25" s="10"/>
      <c r="D25" s="10"/>
      <c r="E25" s="10"/>
      <c r="F25" s="146">
        <f t="shared" si="16"/>
        <v>496260.33333333337</v>
      </c>
      <c r="G25" s="147">
        <f t="shared" si="17"/>
        <v>8029470.1769999992</v>
      </c>
      <c r="H25" s="10"/>
      <c r="I25" s="149">
        <f t="shared" si="15"/>
        <v>468908.51605408243</v>
      </c>
      <c r="L25" s="48">
        <v>2019</v>
      </c>
      <c r="M25" s="123">
        <f>M24-$R$46</f>
        <v>37599.5</v>
      </c>
      <c r="N25" s="129">
        <f t="shared" si="18"/>
        <v>15208.111111111111</v>
      </c>
      <c r="O25" s="86">
        <f>M25+N25</f>
        <v>52807.611111111109</v>
      </c>
      <c r="P25" s="86">
        <f t="shared" si="19"/>
        <v>412656.5</v>
      </c>
      <c r="Q25" s="111">
        <f t="shared" si="14"/>
        <v>15208.111111111124</v>
      </c>
      <c r="R25" s="86">
        <f t="shared" si="20"/>
        <v>380</v>
      </c>
      <c r="S25" s="86">
        <f t="shared" ref="S25:S35" si="23">S24+N25</f>
        <v>496260.33333333337</v>
      </c>
      <c r="T25" s="173">
        <f t="shared" ref="T25:T34" si="24">P25*V25</f>
        <v>8029470.1769999992</v>
      </c>
      <c r="U25" s="173">
        <f>T25*20%</f>
        <v>1605894.0353999999</v>
      </c>
      <c r="V25" s="99">
        <v>19.457999999999998</v>
      </c>
      <c r="W25" s="85"/>
      <c r="X25" s="86">
        <f t="shared" si="21"/>
        <v>2288399.0004449999</v>
      </c>
      <c r="Y25" s="168">
        <f t="shared" si="22"/>
        <v>4817682.1061999993</v>
      </c>
    </row>
    <row r="26" spans="1:25" x14ac:dyDescent="0.25">
      <c r="A26" s="113">
        <v>21</v>
      </c>
      <c r="B26" s="48">
        <v>2020</v>
      </c>
      <c r="C26" s="10"/>
      <c r="D26" s="10"/>
      <c r="E26" s="10"/>
      <c r="F26" s="146">
        <f t="shared" si="16"/>
        <v>511468.4444444445</v>
      </c>
      <c r="G26" s="147">
        <f t="shared" si="17"/>
        <v>8934880.0639999993</v>
      </c>
      <c r="H26" s="10"/>
      <c r="I26" s="149">
        <f t="shared" si="15"/>
        <v>480771.90151025075</v>
      </c>
      <c r="L26" s="150">
        <v>2020</v>
      </c>
      <c r="M26" s="123">
        <f>M25-$R$46</f>
        <v>0</v>
      </c>
      <c r="N26" s="132">
        <f t="shared" si="18"/>
        <v>15208.111111111111</v>
      </c>
      <c r="O26" s="133">
        <f>O25-$R$46+N26</f>
        <v>30416.222222222219</v>
      </c>
      <c r="P26" s="133">
        <f t="shared" si="19"/>
        <v>450256</v>
      </c>
      <c r="Q26" s="131">
        <f t="shared" si="14"/>
        <v>15208.111111111124</v>
      </c>
      <c r="R26" s="133">
        <f t="shared" si="20"/>
        <v>380</v>
      </c>
      <c r="S26" s="133">
        <f t="shared" si="23"/>
        <v>511468.4444444445</v>
      </c>
      <c r="T26" s="179">
        <f t="shared" si="24"/>
        <v>8934880.0639999993</v>
      </c>
      <c r="U26" s="179">
        <f t="shared" si="0"/>
        <v>1786976.0127999999</v>
      </c>
      <c r="V26" s="120">
        <v>19.843999999999998</v>
      </c>
      <c r="W26" s="134"/>
      <c r="X26" s="133">
        <f t="shared" si="21"/>
        <v>2546440.8182399999</v>
      </c>
      <c r="Y26" s="169">
        <f>T26*$P$51</f>
        <v>5360928.038399999</v>
      </c>
    </row>
    <row r="27" spans="1:25" x14ac:dyDescent="0.25">
      <c r="A27" s="113">
        <v>22</v>
      </c>
      <c r="B27" s="48">
        <v>2021</v>
      </c>
      <c r="C27" s="10"/>
      <c r="D27" s="10"/>
      <c r="E27" s="10"/>
      <c r="F27" s="146">
        <f t="shared" si="16"/>
        <v>526676.55555555562</v>
      </c>
      <c r="G27" s="147">
        <f t="shared" si="17"/>
        <v>9416338.9677777775</v>
      </c>
      <c r="H27" s="10"/>
      <c r="I27" s="149">
        <f t="shared" si="15"/>
        <v>492935.43061846017</v>
      </c>
      <c r="L27" s="48">
        <v>2021</v>
      </c>
      <c r="M27" s="85"/>
      <c r="N27" s="129">
        <f t="shared" si="18"/>
        <v>15208.111111111111</v>
      </c>
      <c r="O27" s="86">
        <f t="shared" ref="O27" si="25">O26-$R$46+N27</f>
        <v>8024.8333333333303</v>
      </c>
      <c r="P27" s="86">
        <f>P26+N23</f>
        <v>465464.11111111112</v>
      </c>
      <c r="Q27" s="111">
        <f t="shared" si="14"/>
        <v>15208.111111111124</v>
      </c>
      <c r="R27" s="86">
        <f t="shared" si="20"/>
        <v>380</v>
      </c>
      <c r="S27" s="86">
        <f t="shared" si="23"/>
        <v>526676.55555555562</v>
      </c>
      <c r="T27" s="173">
        <f t="shared" si="24"/>
        <v>9416338.9677777775</v>
      </c>
      <c r="U27" s="173">
        <f t="shared" si="0"/>
        <v>1883267.7935555556</v>
      </c>
      <c r="V27" s="99">
        <v>20.229999999999997</v>
      </c>
      <c r="W27" s="85"/>
      <c r="X27" s="86">
        <f t="shared" si="21"/>
        <v>2683656.605816667</v>
      </c>
      <c r="Y27" s="173">
        <f>T27*$P$51</f>
        <v>5649803.3806666667</v>
      </c>
    </row>
    <row r="28" spans="1:25" x14ac:dyDescent="0.25">
      <c r="A28" s="113">
        <v>23</v>
      </c>
      <c r="B28" s="48">
        <v>2022</v>
      </c>
      <c r="C28" s="10"/>
      <c r="D28" s="10"/>
      <c r="E28" s="10"/>
      <c r="F28" s="146">
        <f t="shared" si="16"/>
        <v>541884.66666666674</v>
      </c>
      <c r="G28" s="147">
        <f t="shared" si="17"/>
        <v>9909538.5333333313</v>
      </c>
      <c r="H28" s="10"/>
      <c r="I28" s="149">
        <f t="shared" si="15"/>
        <v>505406.69701310724</v>
      </c>
      <c r="L28" s="48">
        <v>2022</v>
      </c>
      <c r="M28" s="85"/>
      <c r="N28" s="129">
        <f t="shared" si="18"/>
        <v>15208.111111111111</v>
      </c>
      <c r="O28" s="86"/>
      <c r="P28" s="86">
        <f t="shared" ref="P28:P36" si="26">P27+N24</f>
        <v>480672.22222222225</v>
      </c>
      <c r="Q28" s="111">
        <f t="shared" si="14"/>
        <v>15208.111111111124</v>
      </c>
      <c r="R28" s="86">
        <f t="shared" si="20"/>
        <v>380</v>
      </c>
      <c r="S28" s="86">
        <f t="shared" si="23"/>
        <v>541884.66666666674</v>
      </c>
      <c r="T28" s="173">
        <f t="shared" si="24"/>
        <v>9909538.5333333313</v>
      </c>
      <c r="U28" s="173">
        <f>T28*20%</f>
        <v>1981907.7066666663</v>
      </c>
      <c r="V28" s="99">
        <v>20.615999999999996</v>
      </c>
      <c r="W28" s="85"/>
      <c r="X28" s="86">
        <f t="shared" si="21"/>
        <v>2824218.4819999998</v>
      </c>
      <c r="Y28" s="173">
        <f t="shared" si="22"/>
        <v>5945723.1199999982</v>
      </c>
    </row>
    <row r="29" spans="1:25" x14ac:dyDescent="0.25">
      <c r="A29" s="113">
        <v>24</v>
      </c>
      <c r="B29" s="48">
        <v>2023</v>
      </c>
      <c r="C29" s="10"/>
      <c r="D29" s="10"/>
      <c r="E29" s="10"/>
      <c r="F29" s="146">
        <f t="shared" si="16"/>
        <v>557092.77777777787</v>
      </c>
      <c r="G29" s="147">
        <f t="shared" si="17"/>
        <v>10414478.760666665</v>
      </c>
      <c r="H29" s="10"/>
      <c r="I29" s="149">
        <f t="shared" si="15"/>
        <v>518193.48644753889</v>
      </c>
      <c r="L29" s="48">
        <v>2023</v>
      </c>
      <c r="M29" s="85"/>
      <c r="N29" s="129">
        <f t="shared" si="18"/>
        <v>15208.111111111111</v>
      </c>
      <c r="O29" s="86"/>
      <c r="P29" s="86">
        <f t="shared" si="26"/>
        <v>495880.33333333337</v>
      </c>
      <c r="Q29" s="111">
        <f t="shared" si="14"/>
        <v>15208.111111111124</v>
      </c>
      <c r="R29" s="86">
        <f t="shared" si="20"/>
        <v>380</v>
      </c>
      <c r="S29" s="86">
        <f t="shared" si="23"/>
        <v>557092.77777777787</v>
      </c>
      <c r="T29" s="173">
        <f t="shared" si="24"/>
        <v>10414478.760666665</v>
      </c>
      <c r="U29" s="173">
        <f t="shared" si="0"/>
        <v>2082895.7521333331</v>
      </c>
      <c r="V29" s="99">
        <v>21.001999999999995</v>
      </c>
      <c r="W29" s="85"/>
      <c r="X29" s="86">
        <f t="shared" si="21"/>
        <v>2968126.44679</v>
      </c>
      <c r="Y29" s="173">
        <f t="shared" si="22"/>
        <v>6248687.2563999984</v>
      </c>
    </row>
    <row r="30" spans="1:25" x14ac:dyDescent="0.25">
      <c r="A30" s="113">
        <v>25</v>
      </c>
      <c r="B30" s="48">
        <v>2024</v>
      </c>
      <c r="C30" s="10"/>
      <c r="D30" s="10"/>
      <c r="E30" s="10"/>
      <c r="F30" s="146">
        <f t="shared" si="16"/>
        <v>572300.88888888899</v>
      </c>
      <c r="G30" s="147">
        <f t="shared" si="17"/>
        <v>10931159.649777776</v>
      </c>
      <c r="H30" s="10"/>
      <c r="I30" s="149">
        <f t="shared" si="15"/>
        <v>531303.78165466164</v>
      </c>
      <c r="L30" s="48">
        <v>2024</v>
      </c>
      <c r="M30" s="85"/>
      <c r="N30" s="129">
        <f t="shared" si="18"/>
        <v>15208.111111111111</v>
      </c>
      <c r="O30" s="86"/>
      <c r="P30" s="86">
        <f t="shared" si="26"/>
        <v>511088.4444444445</v>
      </c>
      <c r="Q30" s="111">
        <f t="shared" si="14"/>
        <v>15208.111111111124</v>
      </c>
      <c r="R30" s="86">
        <f t="shared" si="20"/>
        <v>380</v>
      </c>
      <c r="S30" s="86">
        <f t="shared" si="23"/>
        <v>572300.88888888899</v>
      </c>
      <c r="T30" s="173">
        <f t="shared" si="24"/>
        <v>10931159.649777776</v>
      </c>
      <c r="U30" s="173">
        <f t="shared" si="0"/>
        <v>2186231.9299555551</v>
      </c>
      <c r="V30" s="99">
        <v>21.387999999999995</v>
      </c>
      <c r="W30" s="85"/>
      <c r="X30" s="86">
        <f t="shared" si="21"/>
        <v>3115380.5001866664</v>
      </c>
      <c r="Y30" s="173">
        <f t="shared" si="22"/>
        <v>6558695.7898666654</v>
      </c>
    </row>
    <row r="31" spans="1:25" x14ac:dyDescent="0.25">
      <c r="A31" s="113">
        <v>26</v>
      </c>
      <c r="B31" s="48">
        <v>2025</v>
      </c>
      <c r="C31" s="10"/>
      <c r="D31" s="10"/>
      <c r="E31" s="10"/>
      <c r="F31" s="146">
        <f t="shared" si="16"/>
        <v>587509.00000000012</v>
      </c>
      <c r="G31" s="147">
        <f t="shared" si="17"/>
        <v>11459581.200666664</v>
      </c>
      <c r="H31" s="10"/>
      <c r="I31" s="149">
        <f t="shared" si="15"/>
        <v>544745.76733052463</v>
      </c>
      <c r="L31" s="48">
        <v>2025</v>
      </c>
      <c r="M31" s="85"/>
      <c r="N31" s="129">
        <f t="shared" si="18"/>
        <v>15208.111111111111</v>
      </c>
      <c r="O31" s="86"/>
      <c r="P31" s="86">
        <f t="shared" si="26"/>
        <v>526296.55555555562</v>
      </c>
      <c r="Q31" s="111">
        <f t="shared" si="14"/>
        <v>15208.111111111124</v>
      </c>
      <c r="R31" s="86">
        <f t="shared" si="20"/>
        <v>380</v>
      </c>
      <c r="S31" s="86">
        <f t="shared" si="23"/>
        <v>587509.00000000012</v>
      </c>
      <c r="T31" s="173">
        <f t="shared" si="24"/>
        <v>11459581.200666664</v>
      </c>
      <c r="U31" s="173">
        <f t="shared" si="0"/>
        <v>2291916.240133333</v>
      </c>
      <c r="V31" s="99">
        <v>21.773999999999994</v>
      </c>
      <c r="W31" s="85"/>
      <c r="X31" s="86">
        <f t="shared" si="21"/>
        <v>3265980.6421899996</v>
      </c>
      <c r="Y31" s="173">
        <f>T31*$P$51</f>
        <v>6875748.7203999981</v>
      </c>
    </row>
    <row r="32" spans="1:25" x14ac:dyDescent="0.25">
      <c r="A32" s="113">
        <v>27</v>
      </c>
      <c r="B32" s="48">
        <v>2026</v>
      </c>
      <c r="C32" s="10"/>
      <c r="D32" s="10"/>
      <c r="E32" s="10"/>
      <c r="F32" s="146">
        <f t="shared" si="16"/>
        <v>587509.00000000012</v>
      </c>
      <c r="G32" s="147">
        <f t="shared" si="17"/>
        <v>11999743.413333332</v>
      </c>
      <c r="H32" s="10"/>
      <c r="I32" s="149">
        <f t="shared" si="15"/>
        <v>558527.83524398692</v>
      </c>
      <c r="L32" s="48">
        <v>2026</v>
      </c>
      <c r="M32" s="85"/>
      <c r="N32" s="129"/>
      <c r="O32" s="86"/>
      <c r="P32" s="86">
        <f t="shared" si="26"/>
        <v>541504.66666666674</v>
      </c>
      <c r="Q32" s="111">
        <f t="shared" si="14"/>
        <v>0</v>
      </c>
      <c r="R32" s="86">
        <f t="shared" si="20"/>
        <v>380</v>
      </c>
      <c r="S32" s="86">
        <f t="shared" si="23"/>
        <v>587509.00000000012</v>
      </c>
      <c r="T32" s="173">
        <f t="shared" si="24"/>
        <v>11999743.413333332</v>
      </c>
      <c r="U32" s="173">
        <f t="shared" si="0"/>
        <v>2399948.6826666663</v>
      </c>
      <c r="V32" s="99">
        <v>22.159999999999993</v>
      </c>
      <c r="W32" s="85"/>
      <c r="X32" s="86">
        <f t="shared" si="21"/>
        <v>3419926.8728</v>
      </c>
      <c r="Y32" s="173">
        <f t="shared" si="22"/>
        <v>7199846.0479999995</v>
      </c>
    </row>
    <row r="33" spans="1:25" x14ac:dyDescent="0.25">
      <c r="A33" s="113">
        <v>28</v>
      </c>
      <c r="B33" s="48">
        <v>2027</v>
      </c>
      <c r="C33" s="10"/>
      <c r="D33" s="10"/>
      <c r="E33" s="10"/>
      <c r="F33" s="146">
        <f t="shared" si="16"/>
        <v>587509.00000000012</v>
      </c>
      <c r="G33" s="147">
        <f t="shared" si="17"/>
        <v>12551646.287777776</v>
      </c>
      <c r="H33" s="10"/>
      <c r="I33" s="149">
        <f t="shared" si="15"/>
        <v>572658.58947565989</v>
      </c>
      <c r="L33" s="48">
        <v>2027</v>
      </c>
      <c r="M33" s="85"/>
      <c r="N33" s="129"/>
      <c r="O33" s="86"/>
      <c r="P33" s="86">
        <f t="shared" si="26"/>
        <v>556712.77777777787</v>
      </c>
      <c r="Q33" s="111">
        <f t="shared" si="14"/>
        <v>0</v>
      </c>
      <c r="R33" s="86">
        <f t="shared" si="20"/>
        <v>380</v>
      </c>
      <c r="S33" s="86">
        <f t="shared" si="23"/>
        <v>587509.00000000012</v>
      </c>
      <c r="T33" s="173">
        <f t="shared" si="24"/>
        <v>12551646.287777776</v>
      </c>
      <c r="U33" s="173">
        <f t="shared" si="0"/>
        <v>2510329.2575555551</v>
      </c>
      <c r="V33" s="99">
        <v>22.545999999999992</v>
      </c>
      <c r="W33" s="85"/>
      <c r="X33" s="86">
        <f t="shared" si="21"/>
        <v>3577219.1920166663</v>
      </c>
      <c r="Y33" s="173">
        <f t="shared" si="22"/>
        <v>7530987.7726666657</v>
      </c>
    </row>
    <row r="34" spans="1:25" x14ac:dyDescent="0.25">
      <c r="A34" s="113">
        <v>29</v>
      </c>
      <c r="B34" s="48">
        <v>2028</v>
      </c>
      <c r="C34" s="10"/>
      <c r="D34" s="10"/>
      <c r="E34" s="10"/>
      <c r="F34" s="146">
        <f t="shared" si="16"/>
        <v>587509.00000000012</v>
      </c>
      <c r="G34" s="147">
        <f t="shared" si="17"/>
        <v>13115289.823999997</v>
      </c>
      <c r="H34" s="10"/>
      <c r="I34" s="149">
        <f t="shared" si="15"/>
        <v>587146.85178939416</v>
      </c>
      <c r="L34" s="48">
        <v>2028</v>
      </c>
      <c r="M34" s="85"/>
      <c r="N34" s="129"/>
      <c r="O34" s="86"/>
      <c r="P34" s="86">
        <f t="shared" si="26"/>
        <v>571920.88888888899</v>
      </c>
      <c r="Q34" s="111">
        <f t="shared" si="14"/>
        <v>0</v>
      </c>
      <c r="R34" s="86">
        <f t="shared" si="20"/>
        <v>380</v>
      </c>
      <c r="S34" s="86">
        <f t="shared" si="23"/>
        <v>587509.00000000012</v>
      </c>
      <c r="T34" s="173">
        <f t="shared" si="24"/>
        <v>13115289.823999997</v>
      </c>
      <c r="U34" s="173">
        <f t="shared" si="0"/>
        <v>2623057.9647999997</v>
      </c>
      <c r="V34" s="99">
        <v>22.931999999999992</v>
      </c>
      <c r="W34" s="85"/>
      <c r="X34" s="86">
        <f t="shared" si="21"/>
        <v>3737857.5998399998</v>
      </c>
      <c r="Y34" s="173">
        <f t="shared" si="22"/>
        <v>7869173.8943999978</v>
      </c>
    </row>
    <row r="35" spans="1:25" x14ac:dyDescent="0.25">
      <c r="A35" s="113">
        <v>30</v>
      </c>
      <c r="B35" s="48">
        <v>2029</v>
      </c>
      <c r="C35" s="10"/>
      <c r="D35" s="10"/>
      <c r="E35" s="10"/>
      <c r="F35" s="146">
        <f t="shared" si="16"/>
        <v>587509.00000000012</v>
      </c>
      <c r="G35" s="147">
        <f t="shared" si="17"/>
        <v>13690674.021999998</v>
      </c>
      <c r="H35" s="10"/>
      <c r="I35" s="149">
        <f t="shared" si="15"/>
        <v>602001.66713966592</v>
      </c>
      <c r="L35" s="48">
        <v>2029</v>
      </c>
      <c r="M35" s="85"/>
      <c r="N35" s="129"/>
      <c r="O35" s="86"/>
      <c r="P35" s="86">
        <f t="shared" si="26"/>
        <v>587129.00000000012</v>
      </c>
      <c r="Q35" s="111">
        <f t="shared" si="14"/>
        <v>0</v>
      </c>
      <c r="R35" s="86">
        <f t="shared" si="20"/>
        <v>380</v>
      </c>
      <c r="S35" s="86">
        <f t="shared" si="23"/>
        <v>587509.00000000012</v>
      </c>
      <c r="T35" s="173">
        <f>P35*V35</f>
        <v>13690674.021999998</v>
      </c>
      <c r="U35" s="173">
        <f t="shared" si="0"/>
        <v>2738134.8043999998</v>
      </c>
      <c r="V35" s="99">
        <v>23.317999999999991</v>
      </c>
      <c r="W35" s="130"/>
      <c r="X35" s="86">
        <f>T35*($P$52+$P$53+$P$54)</f>
        <v>3901842.0962699996</v>
      </c>
      <c r="Y35" s="173">
        <f>T35*$P$51</f>
        <v>8214404.4131999984</v>
      </c>
    </row>
    <row r="36" spans="1:25" x14ac:dyDescent="0.25">
      <c r="A36" s="113">
        <v>31</v>
      </c>
      <c r="B36" s="48">
        <v>2030</v>
      </c>
      <c r="C36" s="10"/>
      <c r="D36" s="10"/>
      <c r="E36" s="10"/>
      <c r="F36" s="146">
        <f t="shared" si="16"/>
        <v>587509.00000000012</v>
      </c>
      <c r="G36" s="147">
        <f t="shared" si="17"/>
        <v>13917305.815999998</v>
      </c>
      <c r="H36" s="170">
        <f>(G36*1000)/F36</f>
        <v>23688.668285932632</v>
      </c>
      <c r="I36" s="151">
        <f>F36*70%</f>
        <v>411256.30000000005</v>
      </c>
      <c r="L36" s="150">
        <v>2030</v>
      </c>
      <c r="M36" s="134"/>
      <c r="N36" s="132"/>
      <c r="O36" s="133"/>
      <c r="P36" s="133">
        <f t="shared" si="26"/>
        <v>587129.00000000012</v>
      </c>
      <c r="Q36" s="131">
        <f t="shared" si="14"/>
        <v>0</v>
      </c>
      <c r="R36" s="133">
        <f t="shared" si="20"/>
        <v>380</v>
      </c>
      <c r="S36" s="133">
        <f t="shared" ref="S36" si="27">O36+P36+R36</f>
        <v>587509.00000000012</v>
      </c>
      <c r="T36" s="179">
        <f>P36*V36</f>
        <v>13917305.815999998</v>
      </c>
      <c r="U36" s="179">
        <f t="shared" si="0"/>
        <v>2783461.1631999998</v>
      </c>
      <c r="V36" s="120">
        <v>23.70399999999999</v>
      </c>
      <c r="W36" s="135">
        <f>((V36/V22)^(1/14)-1)</f>
        <v>2.4248104864132092E-2</v>
      </c>
      <c r="X36" s="86">
        <f>T36*($P$52+$P$53+$P$54)</f>
        <v>3966432.1575599997</v>
      </c>
      <c r="Y36" s="173">
        <f>T36*$P$51</f>
        <v>8350383.4895999981</v>
      </c>
    </row>
    <row r="37" spans="1:25" x14ac:dyDescent="0.25">
      <c r="F37" s="50">
        <f>(F36/F22)^(1/14)-1</f>
        <v>1.9125715044162828E-2</v>
      </c>
      <c r="I37" s="50">
        <f>(I36/I21)^(1/15)-1</f>
        <v>-2.0811684138953845E-3</v>
      </c>
      <c r="L37" s="73"/>
      <c r="M37" s="73"/>
      <c r="N37" s="73"/>
      <c r="O37" s="73"/>
      <c r="P37" s="75"/>
      <c r="Q37" s="115" t="s">
        <v>89</v>
      </c>
      <c r="R37" s="115" t="s">
        <v>90</v>
      </c>
      <c r="S37" s="115" t="s">
        <v>91</v>
      </c>
      <c r="T37" s="138">
        <v>28</v>
      </c>
      <c r="U37" s="139">
        <v>110</v>
      </c>
      <c r="V37" s="139">
        <f>T37+U37</f>
        <v>138</v>
      </c>
      <c r="W37" s="73"/>
      <c r="X37" s="73"/>
      <c r="Y37" s="73"/>
    </row>
    <row r="38" spans="1:25" x14ac:dyDescent="0.25">
      <c r="A38" s="45" t="s">
        <v>40</v>
      </c>
      <c r="B38" s="45"/>
      <c r="L38" s="73"/>
      <c r="M38" s="73"/>
      <c r="N38" s="73"/>
      <c r="O38" s="73"/>
      <c r="P38" s="73"/>
      <c r="Q38" s="137">
        <v>28</v>
      </c>
      <c r="R38" s="140">
        <f>(P26/6000)-Q38</f>
        <v>47.042666666666662</v>
      </c>
      <c r="S38" s="137">
        <f>(P36/6000)-(Q38+R38)</f>
        <v>22.812166666666684</v>
      </c>
      <c r="T38" s="138">
        <f>SUM(Q38:S38)</f>
        <v>97.854833333333346</v>
      </c>
      <c r="U38" s="139">
        <f>T38-V37</f>
        <v>-40.145166666666654</v>
      </c>
      <c r="V38" s="139"/>
      <c r="W38" s="73"/>
      <c r="X38" s="73"/>
      <c r="Y38" s="73"/>
    </row>
    <row r="39" spans="1:25" x14ac:dyDescent="0.25">
      <c r="A39" s="32">
        <v>1</v>
      </c>
      <c r="B39" s="45" t="s">
        <v>41</v>
      </c>
      <c r="L39" s="73"/>
      <c r="M39" s="90" t="s">
        <v>57</v>
      </c>
      <c r="N39" s="90"/>
      <c r="O39" s="90"/>
      <c r="P39" s="73"/>
      <c r="Q39" s="73"/>
      <c r="R39" s="94">
        <f>R40/9</f>
        <v>15208.111111111111</v>
      </c>
      <c r="S39" s="88"/>
      <c r="T39" s="73"/>
      <c r="U39" s="73"/>
      <c r="V39" s="73"/>
      <c r="W39" s="73"/>
      <c r="X39" s="73"/>
      <c r="Y39" s="73"/>
    </row>
    <row r="40" spans="1:25" x14ac:dyDescent="0.25">
      <c r="A40" s="32">
        <v>2</v>
      </c>
      <c r="B40" s="45" t="s">
        <v>42</v>
      </c>
      <c r="L40" s="73"/>
      <c r="M40" s="90" t="s">
        <v>65</v>
      </c>
      <c r="N40" s="90"/>
      <c r="O40" s="90"/>
      <c r="P40" s="73"/>
      <c r="Q40" s="73"/>
      <c r="R40" s="94">
        <f>R44-R41</f>
        <v>136873</v>
      </c>
      <c r="S40" s="88" t="s">
        <v>54</v>
      </c>
      <c r="T40" s="73"/>
      <c r="U40" s="73"/>
      <c r="V40" s="73"/>
      <c r="W40" s="73"/>
      <c r="X40" s="73"/>
      <c r="Y40" s="73"/>
    </row>
    <row r="41" spans="1:25" x14ac:dyDescent="0.25">
      <c r="L41" s="73"/>
      <c r="M41" s="90" t="s">
        <v>56</v>
      </c>
      <c r="N41" s="90"/>
      <c r="O41" s="90"/>
      <c r="P41" s="73"/>
      <c r="Q41" s="73"/>
      <c r="R41" s="152">
        <f>S22</f>
        <v>450636</v>
      </c>
      <c r="S41" s="88"/>
      <c r="T41" s="73"/>
      <c r="U41" s="73"/>
      <c r="V41" s="73"/>
      <c r="W41" s="73"/>
      <c r="X41" s="73"/>
      <c r="Y41" s="73"/>
    </row>
    <row r="42" spans="1:25" x14ac:dyDescent="0.25">
      <c r="L42" s="73"/>
      <c r="M42" s="91"/>
      <c r="N42" s="92"/>
      <c r="O42" s="92"/>
      <c r="P42" s="73"/>
      <c r="Q42" s="73"/>
      <c r="R42" s="73"/>
      <c r="S42" s="73"/>
      <c r="T42" s="73"/>
      <c r="U42" s="73"/>
      <c r="V42" s="73"/>
      <c r="W42" s="73"/>
      <c r="X42" s="73"/>
      <c r="Y42" s="73"/>
    </row>
    <row r="43" spans="1:25" x14ac:dyDescent="0.25">
      <c r="L43" s="73"/>
      <c r="M43" s="73" t="s">
        <v>66</v>
      </c>
      <c r="N43" s="73"/>
      <c r="O43" s="73"/>
      <c r="P43" s="73"/>
      <c r="Q43" s="73"/>
      <c r="R43" s="7">
        <v>881661</v>
      </c>
      <c r="S43" s="73" t="s">
        <v>58</v>
      </c>
      <c r="T43" s="73"/>
      <c r="U43" s="73"/>
      <c r="V43" s="73"/>
      <c r="W43" s="73"/>
      <c r="X43" s="73"/>
      <c r="Y43" s="73"/>
    </row>
    <row r="44" spans="1:25" x14ac:dyDescent="0.25">
      <c r="L44" s="73"/>
      <c r="M44" s="73" t="s">
        <v>59</v>
      </c>
      <c r="N44" s="73"/>
      <c r="O44" s="73"/>
      <c r="P44" s="73"/>
      <c r="Q44" s="112">
        <f>S36/R43</f>
        <v>0.66636609762709265</v>
      </c>
      <c r="R44" s="180">
        <v>587509</v>
      </c>
      <c r="S44" s="93" t="s">
        <v>104</v>
      </c>
      <c r="T44" s="73"/>
      <c r="U44" s="73"/>
      <c r="V44" s="73"/>
      <c r="W44" s="73"/>
      <c r="X44" s="73"/>
      <c r="Y44" s="73"/>
    </row>
    <row r="45" spans="1:25" x14ac:dyDescent="0.25">
      <c r="L45" s="73"/>
      <c r="M45" s="73" t="s">
        <v>60</v>
      </c>
      <c r="N45" s="73"/>
      <c r="O45" s="73"/>
      <c r="P45" s="73"/>
      <c r="Q45" s="73"/>
      <c r="R45" s="154">
        <f>S22-S21</f>
        <v>26325</v>
      </c>
      <c r="S45" s="73"/>
      <c r="T45" s="73"/>
      <c r="U45" s="73"/>
      <c r="V45" s="73"/>
      <c r="W45" s="73"/>
      <c r="X45" s="73"/>
      <c r="Y45" s="73"/>
    </row>
    <row r="46" spans="1:25" x14ac:dyDescent="0.25">
      <c r="L46" s="73"/>
      <c r="M46" s="90" t="s">
        <v>61</v>
      </c>
      <c r="N46" s="90"/>
      <c r="O46" s="90"/>
      <c r="P46" s="73"/>
      <c r="Q46" s="73"/>
      <c r="R46" s="155">
        <f>O22/4</f>
        <v>37599.5</v>
      </c>
      <c r="S46" s="73"/>
      <c r="T46" s="73"/>
      <c r="U46" s="73"/>
      <c r="V46" s="73"/>
      <c r="W46" s="73"/>
      <c r="X46" s="73"/>
      <c r="Y46" s="73"/>
    </row>
    <row r="47" spans="1:25" x14ac:dyDescent="0.25">
      <c r="L47" s="73"/>
      <c r="M47" s="90" t="s">
        <v>62</v>
      </c>
      <c r="N47" s="90"/>
      <c r="O47" s="90"/>
      <c r="P47" s="73"/>
      <c r="Q47" s="73"/>
      <c r="R47" s="156">
        <f>R39</f>
        <v>15208.111111111111</v>
      </c>
      <c r="S47" s="73"/>
      <c r="T47" s="73"/>
      <c r="U47" s="73"/>
      <c r="V47" s="73"/>
      <c r="W47" s="73"/>
      <c r="X47" s="73"/>
      <c r="Y47" s="73"/>
    </row>
    <row r="48" spans="1:25" x14ac:dyDescent="0.25"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</row>
    <row r="49" spans="12:25" x14ac:dyDescent="0.25"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</row>
    <row r="50" spans="12:25" x14ac:dyDescent="0.25">
      <c r="L50" s="73"/>
      <c r="M50" s="92" t="s">
        <v>67</v>
      </c>
      <c r="N50" s="73"/>
      <c r="O50" s="73"/>
      <c r="P50" s="72"/>
      <c r="Q50" s="73">
        <v>10</v>
      </c>
      <c r="R50" s="73" t="s">
        <v>68</v>
      </c>
      <c r="S50" s="73"/>
      <c r="T50" s="73"/>
      <c r="U50" s="73"/>
      <c r="V50" s="73"/>
      <c r="W50" s="73"/>
      <c r="X50" s="73"/>
      <c r="Y50" s="73"/>
    </row>
    <row r="51" spans="12:25" x14ac:dyDescent="0.25">
      <c r="L51" s="73"/>
      <c r="M51" s="92" t="s">
        <v>69</v>
      </c>
      <c r="N51" s="73"/>
      <c r="O51" s="73"/>
      <c r="P51" s="107">
        <v>0.6</v>
      </c>
      <c r="Q51" s="73">
        <f>P51*$G$49</f>
        <v>0</v>
      </c>
      <c r="R51" s="73" t="s">
        <v>70</v>
      </c>
      <c r="S51" s="73" t="s">
        <v>71</v>
      </c>
      <c r="T51" s="73"/>
      <c r="U51" s="73"/>
      <c r="V51" s="73"/>
      <c r="W51" s="73"/>
      <c r="X51" s="73"/>
      <c r="Y51" s="73"/>
    </row>
    <row r="52" spans="12:25" x14ac:dyDescent="0.25">
      <c r="L52" s="73"/>
      <c r="M52" s="92" t="s">
        <v>72</v>
      </c>
      <c r="N52" s="73"/>
      <c r="O52" s="73"/>
      <c r="P52" s="107">
        <v>0.22</v>
      </c>
      <c r="Q52" s="73">
        <f t="shared" ref="Q52:Q56" si="28">P52*$G$49</f>
        <v>0</v>
      </c>
      <c r="R52" s="73" t="s">
        <v>68</v>
      </c>
      <c r="S52" s="73"/>
      <c r="T52" s="73"/>
      <c r="U52" s="73"/>
      <c r="V52" s="73"/>
      <c r="W52" s="73"/>
      <c r="X52" s="73"/>
      <c r="Y52" s="73"/>
    </row>
    <row r="53" spans="12:25" x14ac:dyDescent="0.25">
      <c r="L53" s="73"/>
      <c r="M53" s="92" t="s">
        <v>73</v>
      </c>
      <c r="N53" s="73"/>
      <c r="O53" s="73"/>
      <c r="P53" s="108">
        <v>5.0000000000000001E-3</v>
      </c>
      <c r="Q53" s="73">
        <f t="shared" si="28"/>
        <v>0</v>
      </c>
      <c r="R53" s="73" t="s">
        <v>68</v>
      </c>
      <c r="S53" s="73" t="s">
        <v>74</v>
      </c>
      <c r="T53" s="73"/>
      <c r="U53" s="73"/>
      <c r="V53" s="73"/>
      <c r="W53" s="73"/>
      <c r="X53" s="73"/>
      <c r="Y53" s="73"/>
    </row>
    <row r="54" spans="12:25" x14ac:dyDescent="0.25">
      <c r="L54" s="73"/>
      <c r="M54" s="92" t="s">
        <v>75</v>
      </c>
      <c r="N54" s="73"/>
      <c r="O54" s="73"/>
      <c r="P54" s="107">
        <v>0.06</v>
      </c>
      <c r="Q54" s="73">
        <f t="shared" si="28"/>
        <v>0</v>
      </c>
      <c r="R54" s="73" t="s">
        <v>68</v>
      </c>
      <c r="S54" s="73" t="s">
        <v>76</v>
      </c>
      <c r="T54" s="73"/>
      <c r="U54" s="73"/>
      <c r="V54" s="73"/>
      <c r="W54" s="73"/>
      <c r="X54" s="73"/>
      <c r="Y54" s="73"/>
    </row>
    <row r="55" spans="12:25" x14ac:dyDescent="0.25">
      <c r="L55" s="73"/>
      <c r="M55" s="92" t="s">
        <v>77</v>
      </c>
      <c r="N55" s="73"/>
      <c r="O55" s="73"/>
      <c r="P55" s="109">
        <v>0.13500000000000001</v>
      </c>
      <c r="Q55" s="73">
        <f t="shared" si="28"/>
        <v>0</v>
      </c>
      <c r="R55" s="73" t="s">
        <v>68</v>
      </c>
      <c r="S55" s="73" t="s">
        <v>78</v>
      </c>
      <c r="T55" s="73"/>
      <c r="U55" s="73"/>
      <c r="V55" s="73"/>
      <c r="W55" s="73"/>
      <c r="X55" s="73"/>
      <c r="Y55" s="73"/>
    </row>
    <row r="56" spans="12:25" x14ac:dyDescent="0.25">
      <c r="L56" s="73"/>
      <c r="M56" s="92" t="s">
        <v>79</v>
      </c>
      <c r="N56" s="73"/>
      <c r="O56" s="73"/>
      <c r="P56" s="109">
        <v>5.5E-2</v>
      </c>
      <c r="Q56" s="73">
        <f t="shared" si="28"/>
        <v>0</v>
      </c>
      <c r="R56" s="73" t="s">
        <v>68</v>
      </c>
      <c r="S56" s="73" t="s">
        <v>78</v>
      </c>
      <c r="T56" s="73"/>
      <c r="U56" s="73"/>
      <c r="V56" s="73"/>
      <c r="W56" s="73"/>
      <c r="X56" s="73"/>
      <c r="Y56" s="73"/>
    </row>
  </sheetData>
  <mergeCells count="3">
    <mergeCell ref="A4:A5"/>
    <mergeCell ref="B4:B5"/>
    <mergeCell ref="C4:E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zoomScale="80" zoomScaleNormal="80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R24" sqref="R24"/>
    </sheetView>
  </sheetViews>
  <sheetFormatPr defaultRowHeight="15" x14ac:dyDescent="0.25"/>
  <cols>
    <col min="3" max="3" width="11.5703125" bestFit="1" customWidth="1"/>
    <col min="4" max="4" width="10.5703125" bestFit="1" customWidth="1"/>
    <col min="5" max="5" width="9.5703125" bestFit="1" customWidth="1"/>
    <col min="6" max="6" width="11.5703125" bestFit="1" customWidth="1"/>
    <col min="7" max="7" width="13.28515625" bestFit="1" customWidth="1"/>
    <col min="8" max="8" width="15.42578125" bestFit="1" customWidth="1"/>
    <col min="9" max="9" width="11.5703125" bestFit="1" customWidth="1"/>
    <col min="12" max="12" width="9.140625" style="45"/>
    <col min="13" max="13" width="13.28515625" style="45" customWidth="1"/>
    <col min="14" max="14" width="10.5703125" style="45" bestFit="1" customWidth="1"/>
    <col min="15" max="15" width="14.5703125" style="45" customWidth="1"/>
    <col min="16" max="16" width="15.7109375" style="45" bestFit="1" customWidth="1"/>
    <col min="17" max="17" width="17.85546875" style="45" customWidth="1"/>
    <col min="18" max="18" width="14.85546875" style="45" customWidth="1"/>
    <col min="19" max="19" width="14.140625" style="45" customWidth="1"/>
    <col min="20" max="20" width="15.140625" style="45" customWidth="1"/>
    <col min="21" max="21" width="14" style="45" customWidth="1"/>
    <col min="22" max="22" width="15" style="45" customWidth="1"/>
    <col min="23" max="23" width="12.5703125" style="45" customWidth="1"/>
    <col min="24" max="24" width="13.28515625" style="45" bestFit="1" customWidth="1"/>
    <col min="25" max="25" width="14.5703125" style="45" customWidth="1"/>
  </cols>
  <sheetData>
    <row r="1" spans="1:25" x14ac:dyDescent="0.25">
      <c r="A1" s="1" t="s">
        <v>13</v>
      </c>
      <c r="B1" s="1"/>
      <c r="C1" s="1"/>
      <c r="D1" s="1"/>
      <c r="E1" s="1"/>
      <c r="F1" s="1"/>
      <c r="G1" s="1"/>
      <c r="H1" s="1"/>
    </row>
    <row r="2" spans="1:25" x14ac:dyDescent="0.25">
      <c r="A2" s="1" t="s">
        <v>17</v>
      </c>
      <c r="B2" s="1"/>
      <c r="C2" s="1"/>
      <c r="D2" s="1"/>
      <c r="E2" s="1"/>
      <c r="F2" s="1"/>
      <c r="G2" s="1"/>
      <c r="H2" s="1"/>
    </row>
    <row r="3" spans="1:25" x14ac:dyDescent="0.25">
      <c r="A3" s="1"/>
      <c r="B3" s="1"/>
      <c r="C3" s="1"/>
      <c r="D3" s="1"/>
      <c r="E3" s="1"/>
      <c r="F3" s="1"/>
      <c r="G3" s="1"/>
      <c r="H3" s="1"/>
    </row>
    <row r="4" spans="1:25" ht="45" x14ac:dyDescent="0.25">
      <c r="A4" s="183" t="s">
        <v>1</v>
      </c>
      <c r="B4" s="183" t="s">
        <v>2</v>
      </c>
      <c r="C4" s="189" t="s">
        <v>3</v>
      </c>
      <c r="D4" s="189"/>
      <c r="E4" s="189"/>
      <c r="F4" s="2" t="s">
        <v>4</v>
      </c>
      <c r="G4" s="2" t="s">
        <v>5</v>
      </c>
      <c r="H4" s="22" t="s">
        <v>6</v>
      </c>
      <c r="I4" s="8"/>
      <c r="L4" s="70" t="s">
        <v>2</v>
      </c>
      <c r="M4" s="70" t="s">
        <v>63</v>
      </c>
      <c r="N4" s="70" t="s">
        <v>46</v>
      </c>
      <c r="O4" s="70" t="s">
        <v>7</v>
      </c>
      <c r="P4" s="70" t="s">
        <v>8</v>
      </c>
      <c r="Q4" s="70" t="s">
        <v>47</v>
      </c>
      <c r="R4" s="70" t="s">
        <v>9</v>
      </c>
      <c r="S4" s="70" t="s">
        <v>38</v>
      </c>
      <c r="T4" s="71" t="s">
        <v>48</v>
      </c>
      <c r="U4" s="70" t="s">
        <v>49</v>
      </c>
      <c r="V4" s="70" t="s">
        <v>50</v>
      </c>
      <c r="W4" s="70" t="s">
        <v>51</v>
      </c>
      <c r="X4" s="70" t="s">
        <v>52</v>
      </c>
      <c r="Y4" s="70" t="s">
        <v>53</v>
      </c>
    </row>
    <row r="5" spans="1:25" x14ac:dyDescent="0.25">
      <c r="A5" s="183"/>
      <c r="B5" s="183"/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22" t="s">
        <v>12</v>
      </c>
      <c r="I5" s="8"/>
      <c r="L5" s="72"/>
      <c r="M5" s="73"/>
      <c r="N5" s="73"/>
      <c r="O5" s="74"/>
      <c r="P5" s="74"/>
      <c r="Q5" s="73"/>
      <c r="R5" s="74"/>
      <c r="S5" s="74"/>
      <c r="T5" s="74"/>
      <c r="U5" s="74"/>
      <c r="V5" s="83"/>
      <c r="W5" s="73"/>
      <c r="X5" s="74"/>
      <c r="Y5" s="75"/>
    </row>
    <row r="6" spans="1:25" x14ac:dyDescent="0.25">
      <c r="A6" s="6">
        <v>1</v>
      </c>
      <c r="B6" s="6">
        <v>2000</v>
      </c>
      <c r="C6" s="5"/>
      <c r="D6" s="5"/>
      <c r="E6" s="5"/>
      <c r="F6" s="5"/>
      <c r="G6" s="5"/>
      <c r="H6" s="22"/>
      <c r="I6" s="57">
        <f>F6</f>
        <v>0</v>
      </c>
      <c r="L6" s="113">
        <v>2000</v>
      </c>
      <c r="M6" s="73"/>
      <c r="N6" s="73"/>
      <c r="O6" s="74">
        <f>C6</f>
        <v>0</v>
      </c>
      <c r="P6" s="74">
        <f>D6</f>
        <v>0</v>
      </c>
      <c r="Q6" s="73"/>
      <c r="R6" s="74">
        <f>E6</f>
        <v>0</v>
      </c>
      <c r="S6" s="74">
        <f>F6</f>
        <v>0</v>
      </c>
      <c r="T6" s="74">
        <f>G6</f>
        <v>0</v>
      </c>
      <c r="U6" s="74">
        <f t="shared" ref="U6:U36" si="0">T6*20%</f>
        <v>0</v>
      </c>
      <c r="V6" s="83" t="e">
        <f>T6/P6</f>
        <v>#DIV/0!</v>
      </c>
      <c r="W6" s="73"/>
      <c r="X6" s="74">
        <f t="shared" ref="X6:X22" si="1">T6*($F$51+$F$54+$F$55)</f>
        <v>0</v>
      </c>
      <c r="Y6" s="75">
        <f t="shared" ref="Y6:Y21" si="2">T6*$F$50</f>
        <v>0</v>
      </c>
    </row>
    <row r="7" spans="1:25" x14ac:dyDescent="0.25">
      <c r="A7" s="6">
        <v>2</v>
      </c>
      <c r="B7" s="6">
        <v>2001</v>
      </c>
      <c r="C7" s="5"/>
      <c r="D7" s="5"/>
      <c r="E7" s="5"/>
      <c r="F7" s="5"/>
      <c r="G7" s="5"/>
      <c r="H7" s="22"/>
      <c r="I7" s="57">
        <f t="shared" ref="I7:I21" si="3">F7</f>
        <v>0</v>
      </c>
      <c r="L7" s="113">
        <v>2001</v>
      </c>
      <c r="M7" s="73"/>
      <c r="N7" s="73"/>
      <c r="O7" s="74">
        <f t="shared" ref="O7:O12" si="4">C7</f>
        <v>0</v>
      </c>
      <c r="P7" s="74">
        <f t="shared" ref="P7:P22" si="5">D7</f>
        <v>0</v>
      </c>
      <c r="Q7" s="73"/>
      <c r="R7" s="74">
        <f t="shared" ref="R7:T22" si="6">E7</f>
        <v>0</v>
      </c>
      <c r="S7" s="74">
        <f t="shared" si="6"/>
        <v>0</v>
      </c>
      <c r="T7" s="74">
        <f t="shared" si="6"/>
        <v>0</v>
      </c>
      <c r="U7" s="74">
        <f t="shared" si="0"/>
        <v>0</v>
      </c>
      <c r="V7" s="83" t="e">
        <f t="shared" ref="V7:V22" si="7">T7/P7</f>
        <v>#DIV/0!</v>
      </c>
      <c r="W7" s="73"/>
      <c r="X7" s="74">
        <f t="shared" si="1"/>
        <v>0</v>
      </c>
      <c r="Y7" s="75">
        <f t="shared" si="2"/>
        <v>0</v>
      </c>
    </row>
    <row r="8" spans="1:25" x14ac:dyDescent="0.25">
      <c r="A8" s="6">
        <v>3</v>
      </c>
      <c r="B8" s="6">
        <v>2002</v>
      </c>
      <c r="C8" s="5"/>
      <c r="D8" s="5"/>
      <c r="E8" s="5"/>
      <c r="F8" s="5"/>
      <c r="G8" s="5"/>
      <c r="H8" s="22"/>
      <c r="I8" s="57">
        <f t="shared" si="3"/>
        <v>0</v>
      </c>
      <c r="L8" s="113">
        <v>2002</v>
      </c>
      <c r="M8" s="73"/>
      <c r="N8" s="73"/>
      <c r="O8" s="74">
        <f t="shared" si="4"/>
        <v>0</v>
      </c>
      <c r="P8" s="74">
        <f t="shared" si="5"/>
        <v>0</v>
      </c>
      <c r="Q8" s="73"/>
      <c r="R8" s="74">
        <f t="shared" si="6"/>
        <v>0</v>
      </c>
      <c r="S8" s="74">
        <f t="shared" si="6"/>
        <v>0</v>
      </c>
      <c r="T8" s="74">
        <f t="shared" si="6"/>
        <v>0</v>
      </c>
      <c r="U8" s="74">
        <f t="shared" si="0"/>
        <v>0</v>
      </c>
      <c r="V8" s="83" t="e">
        <f t="shared" si="7"/>
        <v>#DIV/0!</v>
      </c>
      <c r="W8" s="73"/>
      <c r="X8" s="74">
        <f t="shared" si="1"/>
        <v>0</v>
      </c>
      <c r="Y8" s="75">
        <f t="shared" si="2"/>
        <v>0</v>
      </c>
    </row>
    <row r="9" spans="1:25" x14ac:dyDescent="0.25">
      <c r="A9" s="6">
        <v>4</v>
      </c>
      <c r="B9" s="6">
        <v>2003</v>
      </c>
      <c r="C9" s="5"/>
      <c r="D9" s="5"/>
      <c r="E9" s="5"/>
      <c r="F9" s="5">
        <v>52226.2</v>
      </c>
      <c r="G9" s="5">
        <v>403187</v>
      </c>
      <c r="H9" s="22"/>
      <c r="I9" s="57">
        <f t="shared" si="3"/>
        <v>52226.2</v>
      </c>
      <c r="L9" s="113">
        <v>2003</v>
      </c>
      <c r="M9" s="127"/>
      <c r="N9" s="127"/>
      <c r="O9" s="125">
        <f t="shared" si="4"/>
        <v>0</v>
      </c>
      <c r="P9" s="125">
        <f t="shared" si="5"/>
        <v>0</v>
      </c>
      <c r="Q9" s="123">
        <f>S9-S8</f>
        <v>52226.2</v>
      </c>
      <c r="R9" s="125">
        <f t="shared" si="6"/>
        <v>0</v>
      </c>
      <c r="S9" s="125">
        <f t="shared" si="6"/>
        <v>52226.2</v>
      </c>
      <c r="T9" s="125">
        <f t="shared" si="6"/>
        <v>403187</v>
      </c>
      <c r="U9" s="125">
        <f t="shared" si="0"/>
        <v>80637.400000000009</v>
      </c>
      <c r="V9" s="126" t="e">
        <f t="shared" si="7"/>
        <v>#DIV/0!</v>
      </c>
      <c r="W9" s="73"/>
      <c r="X9" s="74">
        <f t="shared" si="1"/>
        <v>0</v>
      </c>
      <c r="Y9" s="75">
        <f t="shared" si="2"/>
        <v>0</v>
      </c>
    </row>
    <row r="10" spans="1:25" x14ac:dyDescent="0.25">
      <c r="A10" s="6">
        <v>5</v>
      </c>
      <c r="B10" s="6">
        <v>2004</v>
      </c>
      <c r="C10" s="5"/>
      <c r="D10" s="5"/>
      <c r="E10" s="5"/>
      <c r="F10" s="5">
        <v>58641.5</v>
      </c>
      <c r="G10" s="5">
        <v>389338</v>
      </c>
      <c r="H10" s="22"/>
      <c r="I10" s="57">
        <f t="shared" si="3"/>
        <v>58641.5</v>
      </c>
      <c r="L10" s="113">
        <v>2004</v>
      </c>
      <c r="M10" s="127"/>
      <c r="N10" s="127"/>
      <c r="O10" s="125">
        <f t="shared" si="4"/>
        <v>0</v>
      </c>
      <c r="P10" s="125">
        <f t="shared" si="5"/>
        <v>0</v>
      </c>
      <c r="Q10" s="123">
        <f t="shared" ref="Q10:Q14" si="8">S10-S9</f>
        <v>6415.3000000000029</v>
      </c>
      <c r="R10" s="125">
        <f t="shared" si="6"/>
        <v>0</v>
      </c>
      <c r="S10" s="125">
        <f t="shared" si="6"/>
        <v>58641.5</v>
      </c>
      <c r="T10" s="125">
        <f t="shared" si="6"/>
        <v>389338</v>
      </c>
      <c r="U10" s="125">
        <f t="shared" si="0"/>
        <v>77867.600000000006</v>
      </c>
      <c r="V10" s="126" t="e">
        <f t="shared" si="7"/>
        <v>#DIV/0!</v>
      </c>
      <c r="W10" s="73"/>
      <c r="X10" s="74">
        <f t="shared" si="1"/>
        <v>0</v>
      </c>
      <c r="Y10" s="75">
        <f t="shared" si="2"/>
        <v>0</v>
      </c>
    </row>
    <row r="11" spans="1:25" x14ac:dyDescent="0.25">
      <c r="A11" s="6">
        <v>6</v>
      </c>
      <c r="B11" s="6">
        <v>2005</v>
      </c>
      <c r="C11" s="5"/>
      <c r="D11" s="5"/>
      <c r="E11" s="5"/>
      <c r="F11" s="5">
        <v>64469</v>
      </c>
      <c r="G11" s="5">
        <v>462474</v>
      </c>
      <c r="H11" s="22"/>
      <c r="I11" s="57">
        <f t="shared" si="3"/>
        <v>64469</v>
      </c>
      <c r="L11" s="113">
        <v>2005</v>
      </c>
      <c r="M11" s="127"/>
      <c r="N11" s="127"/>
      <c r="O11" s="125">
        <f t="shared" si="4"/>
        <v>0</v>
      </c>
      <c r="P11" s="125">
        <f t="shared" si="5"/>
        <v>0</v>
      </c>
      <c r="Q11" s="123">
        <f t="shared" si="8"/>
        <v>5827.5</v>
      </c>
      <c r="R11" s="125">
        <f t="shared" si="6"/>
        <v>0</v>
      </c>
      <c r="S11" s="125">
        <f t="shared" si="6"/>
        <v>64469</v>
      </c>
      <c r="T11" s="125">
        <f t="shared" si="6"/>
        <v>462474</v>
      </c>
      <c r="U11" s="125">
        <f t="shared" si="0"/>
        <v>92494.8</v>
      </c>
      <c r="V11" s="126" t="e">
        <f t="shared" si="7"/>
        <v>#DIV/0!</v>
      </c>
      <c r="W11" s="73"/>
      <c r="X11" s="74">
        <f t="shared" si="1"/>
        <v>0</v>
      </c>
      <c r="Y11" s="75">
        <f t="shared" si="2"/>
        <v>0</v>
      </c>
    </row>
    <row r="12" spans="1:25" x14ac:dyDescent="0.25">
      <c r="A12" s="6">
        <v>7</v>
      </c>
      <c r="B12" s="3">
        <v>2006</v>
      </c>
      <c r="C12" s="27"/>
      <c r="D12" s="27"/>
      <c r="E12" s="27"/>
      <c r="F12" s="27">
        <v>65918.5</v>
      </c>
      <c r="G12" s="27">
        <v>596129</v>
      </c>
      <c r="H12" s="4" t="e">
        <f t="shared" ref="H12:H19" si="9">(G12*1000)/D12</f>
        <v>#DIV/0!</v>
      </c>
      <c r="I12" s="57">
        <f t="shared" si="3"/>
        <v>65918.5</v>
      </c>
      <c r="L12" s="48">
        <v>2006</v>
      </c>
      <c r="M12" s="127"/>
      <c r="N12" s="127"/>
      <c r="O12" s="125">
        <f t="shared" si="4"/>
        <v>0</v>
      </c>
      <c r="P12" s="125">
        <f t="shared" si="5"/>
        <v>0</v>
      </c>
      <c r="Q12" s="123">
        <f t="shared" si="8"/>
        <v>1449.5</v>
      </c>
      <c r="R12" s="125">
        <f t="shared" si="6"/>
        <v>0</v>
      </c>
      <c r="S12" s="125">
        <f t="shared" si="6"/>
        <v>65918.5</v>
      </c>
      <c r="T12" s="125">
        <f t="shared" si="6"/>
        <v>596129</v>
      </c>
      <c r="U12" s="125">
        <f t="shared" si="0"/>
        <v>119225.8</v>
      </c>
      <c r="V12" s="126" t="e">
        <f t="shared" si="7"/>
        <v>#DIV/0!</v>
      </c>
      <c r="W12" s="73"/>
      <c r="X12" s="74">
        <f t="shared" si="1"/>
        <v>0</v>
      </c>
      <c r="Y12" s="75">
        <f t="shared" si="2"/>
        <v>0</v>
      </c>
    </row>
    <row r="13" spans="1:25" x14ac:dyDescent="0.25">
      <c r="A13" s="6">
        <v>8</v>
      </c>
      <c r="B13" s="3">
        <v>2007</v>
      </c>
      <c r="C13" s="27"/>
      <c r="D13" s="27"/>
      <c r="E13" s="27"/>
      <c r="F13" s="27">
        <v>66118.5</v>
      </c>
      <c r="G13" s="27">
        <v>653739</v>
      </c>
      <c r="H13" s="4" t="e">
        <f t="shared" si="9"/>
        <v>#DIV/0!</v>
      </c>
      <c r="I13" s="57">
        <f t="shared" si="3"/>
        <v>66118.5</v>
      </c>
      <c r="L13" s="48">
        <v>2007</v>
      </c>
      <c r="M13" s="127"/>
      <c r="N13" s="127"/>
      <c r="O13" s="125">
        <f t="shared" ref="O13:O22" si="10">C13</f>
        <v>0</v>
      </c>
      <c r="P13" s="125">
        <f t="shared" si="5"/>
        <v>0</v>
      </c>
      <c r="Q13" s="123">
        <f t="shared" si="8"/>
        <v>200</v>
      </c>
      <c r="R13" s="125">
        <f t="shared" si="6"/>
        <v>0</v>
      </c>
      <c r="S13" s="125">
        <f t="shared" si="6"/>
        <v>66118.5</v>
      </c>
      <c r="T13" s="125">
        <f t="shared" si="6"/>
        <v>653739</v>
      </c>
      <c r="U13" s="125">
        <f t="shared" si="0"/>
        <v>130747.8</v>
      </c>
      <c r="V13" s="126" t="e">
        <f t="shared" si="7"/>
        <v>#DIV/0!</v>
      </c>
      <c r="W13" s="73"/>
      <c r="X13" s="74">
        <f t="shared" si="1"/>
        <v>0</v>
      </c>
      <c r="Y13" s="75">
        <f t="shared" si="2"/>
        <v>0</v>
      </c>
    </row>
    <row r="14" spans="1:25" x14ac:dyDescent="0.25">
      <c r="A14" s="6">
        <v>9</v>
      </c>
      <c r="B14" s="3">
        <v>2008</v>
      </c>
      <c r="C14" s="27"/>
      <c r="D14" s="27"/>
      <c r="E14" s="27"/>
      <c r="F14" s="27">
        <v>66118.5</v>
      </c>
      <c r="G14" s="27">
        <v>645436</v>
      </c>
      <c r="H14" s="4" t="e">
        <f t="shared" si="9"/>
        <v>#DIV/0!</v>
      </c>
      <c r="I14" s="57">
        <f t="shared" si="3"/>
        <v>66118.5</v>
      </c>
      <c r="L14" s="48">
        <v>2008</v>
      </c>
      <c r="M14" s="127"/>
      <c r="N14" s="127"/>
      <c r="O14" s="125">
        <f t="shared" si="10"/>
        <v>0</v>
      </c>
      <c r="P14" s="125">
        <f t="shared" si="5"/>
        <v>0</v>
      </c>
      <c r="Q14" s="123">
        <f t="shared" si="8"/>
        <v>0</v>
      </c>
      <c r="R14" s="125">
        <f t="shared" si="6"/>
        <v>0</v>
      </c>
      <c r="S14" s="125">
        <f t="shared" si="6"/>
        <v>66118.5</v>
      </c>
      <c r="T14" s="125">
        <f t="shared" si="6"/>
        <v>645436</v>
      </c>
      <c r="U14" s="125">
        <f t="shared" si="0"/>
        <v>129087.20000000001</v>
      </c>
      <c r="V14" s="126" t="e">
        <f t="shared" si="7"/>
        <v>#DIV/0!</v>
      </c>
      <c r="W14" s="73"/>
      <c r="X14" s="74">
        <f t="shared" si="1"/>
        <v>0</v>
      </c>
      <c r="Y14" s="75">
        <f t="shared" si="2"/>
        <v>0</v>
      </c>
    </row>
    <row r="15" spans="1:25" x14ac:dyDescent="0.25">
      <c r="A15" s="6">
        <v>10</v>
      </c>
      <c r="B15" s="3">
        <v>2009</v>
      </c>
      <c r="C15" s="27"/>
      <c r="D15" s="27"/>
      <c r="E15" s="27"/>
      <c r="F15" s="27">
        <v>91111</v>
      </c>
      <c r="G15" s="27">
        <v>738037</v>
      </c>
      <c r="H15" s="4" t="e">
        <f t="shared" si="9"/>
        <v>#DIV/0!</v>
      </c>
      <c r="I15" s="57">
        <f t="shared" si="3"/>
        <v>91111</v>
      </c>
      <c r="L15" s="48">
        <v>2009</v>
      </c>
      <c r="M15" s="127"/>
      <c r="N15" s="127"/>
      <c r="O15" s="125">
        <f t="shared" si="10"/>
        <v>0</v>
      </c>
      <c r="P15" s="125">
        <f t="shared" si="5"/>
        <v>0</v>
      </c>
      <c r="Q15" s="123">
        <f>S15-S14</f>
        <v>24992.5</v>
      </c>
      <c r="R15" s="125">
        <f t="shared" si="6"/>
        <v>0</v>
      </c>
      <c r="S15" s="125">
        <f t="shared" si="6"/>
        <v>91111</v>
      </c>
      <c r="T15" s="125">
        <f t="shared" si="6"/>
        <v>738037</v>
      </c>
      <c r="U15" s="125">
        <f t="shared" si="0"/>
        <v>147607.4</v>
      </c>
      <c r="V15" s="126" t="e">
        <f t="shared" si="7"/>
        <v>#DIV/0!</v>
      </c>
      <c r="W15" s="73"/>
      <c r="X15" s="74">
        <f t="shared" si="1"/>
        <v>0</v>
      </c>
      <c r="Y15" s="75">
        <f t="shared" si="2"/>
        <v>0</v>
      </c>
    </row>
    <row r="16" spans="1:25" x14ac:dyDescent="0.25">
      <c r="A16" s="6">
        <v>11</v>
      </c>
      <c r="B16" s="3">
        <v>2010</v>
      </c>
      <c r="C16" s="27">
        <v>49097</v>
      </c>
      <c r="D16" s="27">
        <v>58066</v>
      </c>
      <c r="E16" s="27">
        <v>897</v>
      </c>
      <c r="F16" s="27">
        <f t="shared" ref="F16:F19" si="11">SUM(C16:E16)</f>
        <v>108060</v>
      </c>
      <c r="G16" s="27">
        <v>830648</v>
      </c>
      <c r="H16" s="4">
        <f t="shared" si="9"/>
        <v>14305.238866117867</v>
      </c>
      <c r="I16" s="57">
        <f t="shared" si="3"/>
        <v>108060</v>
      </c>
      <c r="L16" s="48">
        <v>2010</v>
      </c>
      <c r="M16" s="127"/>
      <c r="N16" s="127"/>
      <c r="O16" s="125">
        <f t="shared" si="10"/>
        <v>49097</v>
      </c>
      <c r="P16" s="125">
        <f t="shared" si="5"/>
        <v>58066</v>
      </c>
      <c r="Q16" s="123">
        <f t="shared" ref="Q16:Q21" si="12">S16-S15</f>
        <v>16949</v>
      </c>
      <c r="R16" s="125">
        <f t="shared" si="6"/>
        <v>897</v>
      </c>
      <c r="S16" s="125">
        <f t="shared" si="6"/>
        <v>108060</v>
      </c>
      <c r="T16" s="125">
        <f t="shared" si="6"/>
        <v>830648</v>
      </c>
      <c r="U16" s="125">
        <f t="shared" si="0"/>
        <v>166129.60000000001</v>
      </c>
      <c r="V16" s="126">
        <f t="shared" si="7"/>
        <v>14.305238866117866</v>
      </c>
      <c r="W16" s="73"/>
      <c r="X16" s="74">
        <f t="shared" si="1"/>
        <v>0</v>
      </c>
      <c r="Y16" s="75">
        <f t="shared" si="2"/>
        <v>0</v>
      </c>
    </row>
    <row r="17" spans="1:25" x14ac:dyDescent="0.25">
      <c r="A17" s="6">
        <v>12</v>
      </c>
      <c r="B17" s="3">
        <v>2011</v>
      </c>
      <c r="C17" s="27">
        <v>58126</v>
      </c>
      <c r="D17" s="27">
        <v>65383</v>
      </c>
      <c r="E17" s="27">
        <v>947</v>
      </c>
      <c r="F17" s="28">
        <f t="shared" si="11"/>
        <v>124456</v>
      </c>
      <c r="G17" s="28">
        <v>918679</v>
      </c>
      <c r="H17" s="24">
        <f t="shared" si="9"/>
        <v>14050.731841610204</v>
      </c>
      <c r="I17" s="57">
        <f t="shared" si="3"/>
        <v>124456</v>
      </c>
      <c r="L17" s="48">
        <v>2011</v>
      </c>
      <c r="M17" s="127"/>
      <c r="N17" s="127"/>
      <c r="O17" s="125">
        <f t="shared" si="10"/>
        <v>58126</v>
      </c>
      <c r="P17" s="125">
        <f t="shared" si="5"/>
        <v>65383</v>
      </c>
      <c r="Q17" s="123">
        <f t="shared" si="12"/>
        <v>16396</v>
      </c>
      <c r="R17" s="125">
        <f t="shared" si="6"/>
        <v>947</v>
      </c>
      <c r="S17" s="125">
        <f t="shared" si="6"/>
        <v>124456</v>
      </c>
      <c r="T17" s="125">
        <f t="shared" si="6"/>
        <v>918679</v>
      </c>
      <c r="U17" s="125">
        <f t="shared" si="0"/>
        <v>183735.80000000002</v>
      </c>
      <c r="V17" s="126">
        <f t="shared" si="7"/>
        <v>14.050731841610204</v>
      </c>
      <c r="W17" s="73"/>
      <c r="X17" s="74">
        <f t="shared" si="1"/>
        <v>0</v>
      </c>
      <c r="Y17" s="75">
        <f t="shared" si="2"/>
        <v>0</v>
      </c>
    </row>
    <row r="18" spans="1:25" x14ac:dyDescent="0.25">
      <c r="A18" s="6">
        <v>13</v>
      </c>
      <c r="B18" s="3">
        <v>2012</v>
      </c>
      <c r="C18" s="27">
        <v>88792</v>
      </c>
      <c r="D18" s="27">
        <v>67087</v>
      </c>
      <c r="E18" s="27">
        <v>1237</v>
      </c>
      <c r="F18" s="28">
        <f t="shared" si="11"/>
        <v>157116</v>
      </c>
      <c r="G18" s="28">
        <v>1004545</v>
      </c>
      <c r="H18" s="24">
        <f t="shared" si="9"/>
        <v>14973.765409095651</v>
      </c>
      <c r="I18" s="57">
        <f t="shared" si="3"/>
        <v>157116</v>
      </c>
      <c r="L18" s="48">
        <v>2012</v>
      </c>
      <c r="M18" s="127"/>
      <c r="N18" s="127"/>
      <c r="O18" s="125">
        <f t="shared" si="10"/>
        <v>88792</v>
      </c>
      <c r="P18" s="125">
        <f t="shared" si="5"/>
        <v>67087</v>
      </c>
      <c r="Q18" s="123">
        <f t="shared" si="12"/>
        <v>32660</v>
      </c>
      <c r="R18" s="125">
        <f t="shared" si="6"/>
        <v>1237</v>
      </c>
      <c r="S18" s="125">
        <f t="shared" si="6"/>
        <v>157116</v>
      </c>
      <c r="T18" s="125">
        <f t="shared" si="6"/>
        <v>1004545</v>
      </c>
      <c r="U18" s="125">
        <f t="shared" si="0"/>
        <v>200909</v>
      </c>
      <c r="V18" s="126">
        <f t="shared" si="7"/>
        <v>14.973765409095652</v>
      </c>
      <c r="W18" s="73"/>
      <c r="X18" s="74">
        <f t="shared" si="1"/>
        <v>0</v>
      </c>
      <c r="Y18" s="75">
        <f t="shared" si="2"/>
        <v>0</v>
      </c>
    </row>
    <row r="19" spans="1:25" x14ac:dyDescent="0.25">
      <c r="A19" s="6">
        <v>14</v>
      </c>
      <c r="B19" s="3">
        <v>2013</v>
      </c>
      <c r="C19" s="27">
        <v>109679</v>
      </c>
      <c r="D19" s="27">
        <v>70364</v>
      </c>
      <c r="E19" s="27">
        <v>1903</v>
      </c>
      <c r="F19" s="28">
        <f t="shared" si="11"/>
        <v>181946</v>
      </c>
      <c r="G19" s="28">
        <v>1043318</v>
      </c>
      <c r="H19" s="24">
        <f t="shared" si="9"/>
        <v>14827.440168267864</v>
      </c>
      <c r="I19" s="57">
        <f t="shared" si="3"/>
        <v>181946</v>
      </c>
      <c r="L19" s="48">
        <v>2013</v>
      </c>
      <c r="M19" s="127"/>
      <c r="N19" s="127"/>
      <c r="O19" s="125">
        <f t="shared" si="10"/>
        <v>109679</v>
      </c>
      <c r="P19" s="125">
        <f t="shared" si="5"/>
        <v>70364</v>
      </c>
      <c r="Q19" s="123">
        <f t="shared" si="12"/>
        <v>24830</v>
      </c>
      <c r="R19" s="125">
        <f t="shared" si="6"/>
        <v>1903</v>
      </c>
      <c r="S19" s="125">
        <f t="shared" si="6"/>
        <v>181946</v>
      </c>
      <c r="T19" s="125">
        <f t="shared" si="6"/>
        <v>1043318</v>
      </c>
      <c r="U19" s="125">
        <f t="shared" si="0"/>
        <v>208663.6</v>
      </c>
      <c r="V19" s="126">
        <f t="shared" si="7"/>
        <v>14.827440168267865</v>
      </c>
      <c r="W19" s="73"/>
      <c r="X19" s="74">
        <f t="shared" si="1"/>
        <v>0</v>
      </c>
      <c r="Y19" s="75">
        <f t="shared" si="2"/>
        <v>0</v>
      </c>
    </row>
    <row r="20" spans="1:25" x14ac:dyDescent="0.25">
      <c r="A20" s="6">
        <v>15</v>
      </c>
      <c r="B20" s="3">
        <v>2014</v>
      </c>
      <c r="C20" s="27">
        <v>90371</v>
      </c>
      <c r="D20" s="27">
        <v>89978</v>
      </c>
      <c r="E20" s="27">
        <v>1807</v>
      </c>
      <c r="F20" s="28">
        <f>SUM(C20:E20)</f>
        <v>182156</v>
      </c>
      <c r="G20" s="28">
        <v>1359492</v>
      </c>
      <c r="H20" s="24">
        <f>(G20*1000)/D20</f>
        <v>15109.160016893018</v>
      </c>
      <c r="I20" s="57">
        <f t="shared" si="3"/>
        <v>182156</v>
      </c>
      <c r="L20" s="48">
        <v>2014</v>
      </c>
      <c r="M20" s="127"/>
      <c r="N20" s="127"/>
      <c r="O20" s="125">
        <f t="shared" si="10"/>
        <v>90371</v>
      </c>
      <c r="P20" s="125">
        <f t="shared" si="5"/>
        <v>89978</v>
      </c>
      <c r="Q20" s="123">
        <f t="shared" si="12"/>
        <v>210</v>
      </c>
      <c r="R20" s="125">
        <f t="shared" si="6"/>
        <v>1807</v>
      </c>
      <c r="S20" s="125">
        <f t="shared" si="6"/>
        <v>182156</v>
      </c>
      <c r="T20" s="125">
        <f t="shared" si="6"/>
        <v>1359492</v>
      </c>
      <c r="U20" s="125">
        <f t="shared" si="0"/>
        <v>271898.40000000002</v>
      </c>
      <c r="V20" s="126">
        <f t="shared" si="7"/>
        <v>15.109160016893018</v>
      </c>
      <c r="W20" s="73"/>
      <c r="X20" s="74">
        <f t="shared" si="1"/>
        <v>0</v>
      </c>
      <c r="Y20" s="75">
        <f t="shared" si="2"/>
        <v>0</v>
      </c>
    </row>
    <row r="21" spans="1:25" x14ac:dyDescent="0.25">
      <c r="A21" s="6">
        <v>16</v>
      </c>
      <c r="B21" s="3">
        <v>2015</v>
      </c>
      <c r="C21" s="27"/>
      <c r="D21" s="27"/>
      <c r="E21" s="27"/>
      <c r="F21" s="28">
        <v>182145</v>
      </c>
      <c r="G21" s="19">
        <v>1364430</v>
      </c>
      <c r="H21" s="24" t="e">
        <f t="shared" ref="H21:H23" si="13">(G21*1000)/D21</f>
        <v>#DIV/0!</v>
      </c>
      <c r="I21" s="57">
        <f t="shared" si="3"/>
        <v>182145</v>
      </c>
      <c r="L21" s="48">
        <v>2015</v>
      </c>
      <c r="M21" s="127"/>
      <c r="N21" s="127"/>
      <c r="O21" s="125">
        <f t="shared" si="10"/>
        <v>0</v>
      </c>
      <c r="P21" s="125">
        <f t="shared" si="5"/>
        <v>0</v>
      </c>
      <c r="Q21" s="123">
        <f t="shared" si="12"/>
        <v>-11</v>
      </c>
      <c r="R21" s="125">
        <f t="shared" si="6"/>
        <v>0</v>
      </c>
      <c r="S21" s="125">
        <f t="shared" si="6"/>
        <v>182145</v>
      </c>
      <c r="T21" s="125">
        <f t="shared" si="6"/>
        <v>1364430</v>
      </c>
      <c r="U21" s="125">
        <f t="shared" si="0"/>
        <v>272886</v>
      </c>
      <c r="V21" s="126" t="e">
        <f t="shared" si="7"/>
        <v>#DIV/0!</v>
      </c>
      <c r="W21" s="73"/>
      <c r="X21" s="74">
        <f t="shared" si="1"/>
        <v>0</v>
      </c>
      <c r="Y21" s="75">
        <f t="shared" si="2"/>
        <v>0</v>
      </c>
    </row>
    <row r="22" spans="1:25" x14ac:dyDescent="0.25">
      <c r="A22" s="6">
        <v>17</v>
      </c>
      <c r="B22" s="3">
        <v>2016</v>
      </c>
      <c r="C22" s="27">
        <v>33786</v>
      </c>
      <c r="D22" s="27">
        <v>145929</v>
      </c>
      <c r="E22" s="27">
        <v>614</v>
      </c>
      <c r="F22" s="28">
        <f>SUM(C22:E22)</f>
        <v>180329</v>
      </c>
      <c r="G22" s="28">
        <v>2127991</v>
      </c>
      <c r="H22" s="24">
        <f t="shared" si="13"/>
        <v>14582.372249518601</v>
      </c>
      <c r="I22" s="63">
        <f>I21*1.0289</f>
        <v>187408.99049999999</v>
      </c>
      <c r="L22" s="48">
        <v>2016</v>
      </c>
      <c r="N22" s="124"/>
      <c r="O22" s="125">
        <f t="shared" si="10"/>
        <v>33786</v>
      </c>
      <c r="P22" s="125">
        <f t="shared" si="5"/>
        <v>145929</v>
      </c>
      <c r="Q22" s="123">
        <f t="shared" ref="Q22:Q36" si="14">S22-S21</f>
        <v>-1816</v>
      </c>
      <c r="R22" s="125">
        <f t="shared" si="6"/>
        <v>614</v>
      </c>
      <c r="S22" s="125">
        <f t="shared" si="6"/>
        <v>180329</v>
      </c>
      <c r="T22" s="125">
        <f t="shared" si="6"/>
        <v>2127991</v>
      </c>
      <c r="U22" s="125">
        <f t="shared" si="0"/>
        <v>425598.2</v>
      </c>
      <c r="V22" s="126">
        <f t="shared" si="7"/>
        <v>14.582372249518601</v>
      </c>
      <c r="W22" s="127"/>
      <c r="X22" s="125">
        <f t="shared" si="1"/>
        <v>0</v>
      </c>
      <c r="Y22" s="123">
        <f>T22*$F$50</f>
        <v>0</v>
      </c>
    </row>
    <row r="23" spans="1:25" x14ac:dyDescent="0.25">
      <c r="A23" s="6">
        <v>18</v>
      </c>
      <c r="B23" s="3">
        <v>2017</v>
      </c>
      <c r="C23" s="27"/>
      <c r="D23" s="27"/>
      <c r="E23" s="27"/>
      <c r="F23" s="37">
        <f>S23</f>
        <v>185070.88888888888</v>
      </c>
      <c r="G23" s="27">
        <f>T23</f>
        <v>2884660.5929999999</v>
      </c>
      <c r="H23" s="4" t="e">
        <f t="shared" si="13"/>
        <v>#DIV/0!</v>
      </c>
      <c r="I23" s="63">
        <f t="shared" ref="I23:I35" si="15">I22*1.0289</f>
        <v>192825.11032544996</v>
      </c>
      <c r="L23" s="48">
        <v>2017</v>
      </c>
      <c r="M23" s="123">
        <f>O22-$R$46</f>
        <v>25339.5</v>
      </c>
      <c r="N23" s="129">
        <f>R39</f>
        <v>4741.8888888888887</v>
      </c>
      <c r="O23" s="86">
        <f>M23+N23</f>
        <v>30081.388888888891</v>
      </c>
      <c r="P23" s="86">
        <f>P22+$R$46</f>
        <v>154375.5</v>
      </c>
      <c r="Q23" s="111">
        <f t="shared" si="14"/>
        <v>4741.888888888876</v>
      </c>
      <c r="R23" s="86">
        <f>R22</f>
        <v>614</v>
      </c>
      <c r="S23" s="86">
        <f>O23+P23+R23</f>
        <v>185070.88888888888</v>
      </c>
      <c r="T23" s="86">
        <f>P23*V23</f>
        <v>2884660.5929999999</v>
      </c>
      <c r="U23" s="86">
        <f t="shared" si="0"/>
        <v>576932.11860000005</v>
      </c>
      <c r="V23" s="99">
        <v>18.686</v>
      </c>
      <c r="W23" s="85"/>
      <c r="X23" s="86">
        <f t="shared" ref="X23:X34" si="16">T23*($P$52+$P$53+$P$54)</f>
        <v>822128.26900500001</v>
      </c>
      <c r="Y23" s="111">
        <f>T23*$P$51</f>
        <v>1932722.5973100001</v>
      </c>
    </row>
    <row r="24" spans="1:25" x14ac:dyDescent="0.25">
      <c r="A24" s="21">
        <v>19</v>
      </c>
      <c r="B24" s="3">
        <v>2018</v>
      </c>
      <c r="C24" s="4"/>
      <c r="D24" s="4"/>
      <c r="E24" s="4"/>
      <c r="F24" s="37">
        <f t="shared" ref="F24:F36" si="17">S24</f>
        <v>189812.77777777775</v>
      </c>
      <c r="G24" s="27">
        <f t="shared" ref="G24:G36" si="18">T24</f>
        <v>3105341.1839999999</v>
      </c>
      <c r="H24" s="4"/>
      <c r="I24" s="63">
        <f t="shared" si="15"/>
        <v>198397.75601385545</v>
      </c>
      <c r="L24" s="48">
        <v>2018</v>
      </c>
      <c r="M24" s="123">
        <f>M23-$R$46</f>
        <v>16893</v>
      </c>
      <c r="N24" s="129">
        <f t="shared" ref="N24:N31" si="19">N23</f>
        <v>4741.8888888888887</v>
      </c>
      <c r="O24" s="86">
        <f>M24+N24</f>
        <v>21634.888888888891</v>
      </c>
      <c r="P24" s="86">
        <f t="shared" ref="P24:P26" si="20">P23+$R$46</f>
        <v>162822</v>
      </c>
      <c r="Q24" s="111">
        <f t="shared" si="14"/>
        <v>4741.888888888876</v>
      </c>
      <c r="R24" s="86">
        <f t="shared" ref="R24:R36" si="21">R23</f>
        <v>614</v>
      </c>
      <c r="S24" s="86">
        <f>S23+N24</f>
        <v>189812.77777777775</v>
      </c>
      <c r="T24" s="86">
        <f t="shared" ref="T24:T35" si="22">P24*V24</f>
        <v>3105341.1839999999</v>
      </c>
      <c r="U24" s="86">
        <f t="shared" si="0"/>
        <v>621068.23679999996</v>
      </c>
      <c r="V24" s="99">
        <v>19.071999999999999</v>
      </c>
      <c r="W24" s="85"/>
      <c r="X24" s="86">
        <f t="shared" si="16"/>
        <v>885022.23744000006</v>
      </c>
      <c r="Y24" s="111">
        <f t="shared" ref="Y24:Y35" si="23">T24*$P$51</f>
        <v>2080578.5932800001</v>
      </c>
    </row>
    <row r="25" spans="1:25" x14ac:dyDescent="0.25">
      <c r="A25" s="21">
        <v>20</v>
      </c>
      <c r="B25" s="3">
        <v>2019</v>
      </c>
      <c r="C25" s="4"/>
      <c r="D25" s="4"/>
      <c r="E25" s="4"/>
      <c r="F25" s="37">
        <f t="shared" si="17"/>
        <v>194554.66666666663</v>
      </c>
      <c r="G25" s="27">
        <f t="shared" si="18"/>
        <v>3332542.4729999998</v>
      </c>
      <c r="H25" s="4"/>
      <c r="I25" s="63">
        <f t="shared" si="15"/>
        <v>204131.45116265587</v>
      </c>
      <c r="L25" s="48">
        <v>2019</v>
      </c>
      <c r="M25" s="123">
        <f t="shared" ref="M25:M26" si="24">M24-$R$46</f>
        <v>8446.5</v>
      </c>
      <c r="N25" s="129">
        <f t="shared" si="19"/>
        <v>4741.8888888888887</v>
      </c>
      <c r="O25" s="86">
        <f>M25+N25</f>
        <v>13188.388888888889</v>
      </c>
      <c r="P25" s="86">
        <f t="shared" si="20"/>
        <v>171268.5</v>
      </c>
      <c r="Q25" s="111">
        <f t="shared" si="14"/>
        <v>4741.888888888876</v>
      </c>
      <c r="R25" s="86">
        <f t="shared" si="21"/>
        <v>614</v>
      </c>
      <c r="S25" s="86">
        <f t="shared" ref="S25:S35" si="25">S24+N25</f>
        <v>194554.66666666663</v>
      </c>
      <c r="T25" s="86">
        <f t="shared" si="22"/>
        <v>3332542.4729999998</v>
      </c>
      <c r="U25" s="86">
        <f t="shared" si="0"/>
        <v>666508.49459999998</v>
      </c>
      <c r="V25" s="99">
        <v>19.457999999999998</v>
      </c>
      <c r="W25" s="85"/>
      <c r="X25" s="86">
        <f t="shared" si="16"/>
        <v>949774.60480500001</v>
      </c>
      <c r="Y25" s="111">
        <f t="shared" si="23"/>
        <v>2232803.4569100002</v>
      </c>
    </row>
    <row r="26" spans="1:25" x14ac:dyDescent="0.25">
      <c r="A26" s="21">
        <v>21</v>
      </c>
      <c r="B26" s="3">
        <v>2020</v>
      </c>
      <c r="C26" s="4"/>
      <c r="D26" s="4"/>
      <c r="E26" s="4"/>
      <c r="F26" s="37">
        <f t="shared" si="17"/>
        <v>199296.5555555555</v>
      </c>
      <c r="G26" s="27">
        <f t="shared" si="18"/>
        <v>3566264.4599999995</v>
      </c>
      <c r="H26" s="4"/>
      <c r="I26" s="63">
        <f t="shared" si="15"/>
        <v>210030.8501012566</v>
      </c>
      <c r="L26" s="150">
        <v>2020</v>
      </c>
      <c r="M26" s="123">
        <f t="shared" si="24"/>
        <v>0</v>
      </c>
      <c r="N26" s="132">
        <f t="shared" si="19"/>
        <v>4741.8888888888887</v>
      </c>
      <c r="O26" s="133">
        <f>O25-$R$46+N26</f>
        <v>9483.7777777777774</v>
      </c>
      <c r="P26" s="133">
        <f t="shared" si="20"/>
        <v>179715</v>
      </c>
      <c r="Q26" s="131">
        <f t="shared" si="14"/>
        <v>4741.888888888876</v>
      </c>
      <c r="R26" s="133">
        <f t="shared" si="21"/>
        <v>614</v>
      </c>
      <c r="S26" s="133">
        <f t="shared" si="25"/>
        <v>199296.5555555555</v>
      </c>
      <c r="T26" s="133">
        <f t="shared" si="22"/>
        <v>3566264.4599999995</v>
      </c>
      <c r="U26" s="133">
        <f t="shared" si="0"/>
        <v>713252.89199999999</v>
      </c>
      <c r="V26" s="120">
        <v>19.843999999999998</v>
      </c>
      <c r="W26" s="134"/>
      <c r="X26" s="133">
        <f t="shared" si="16"/>
        <v>1016385.3711</v>
      </c>
      <c r="Y26" s="131">
        <f t="shared" si="23"/>
        <v>2389397.1881999997</v>
      </c>
    </row>
    <row r="27" spans="1:25" x14ac:dyDescent="0.25">
      <c r="A27" s="21">
        <v>22</v>
      </c>
      <c r="B27" s="3">
        <v>2021</v>
      </c>
      <c r="C27" s="4"/>
      <c r="D27" s="4"/>
      <c r="E27" s="4"/>
      <c r="F27" s="37">
        <f t="shared" si="17"/>
        <v>204038.44444444438</v>
      </c>
      <c r="G27" s="27">
        <f t="shared" si="18"/>
        <v>3731562.8622222212</v>
      </c>
      <c r="H27" s="4"/>
      <c r="I27" s="63">
        <f t="shared" si="15"/>
        <v>216100.7416691829</v>
      </c>
      <c r="L27" s="48">
        <v>2021</v>
      </c>
      <c r="M27" s="85"/>
      <c r="N27" s="129">
        <f t="shared" si="19"/>
        <v>4741.8888888888887</v>
      </c>
      <c r="O27" s="86"/>
      <c r="P27" s="86">
        <f>P26+N23</f>
        <v>184456.88888888888</v>
      </c>
      <c r="Q27" s="111">
        <f t="shared" si="14"/>
        <v>4741.888888888876</v>
      </c>
      <c r="R27" s="86">
        <f t="shared" si="21"/>
        <v>614</v>
      </c>
      <c r="S27" s="86">
        <f t="shared" si="25"/>
        <v>204038.44444444438</v>
      </c>
      <c r="T27" s="86">
        <f t="shared" si="22"/>
        <v>3731562.8622222212</v>
      </c>
      <c r="U27" s="86">
        <f t="shared" si="0"/>
        <v>746312.57244444429</v>
      </c>
      <c r="V27" s="99">
        <v>20.229999999999997</v>
      </c>
      <c r="W27" s="85"/>
      <c r="X27" s="86">
        <f t="shared" si="16"/>
        <v>1063495.4157333332</v>
      </c>
      <c r="Y27" s="111">
        <f t="shared" si="23"/>
        <v>2500147.1176888882</v>
      </c>
    </row>
    <row r="28" spans="1:25" x14ac:dyDescent="0.25">
      <c r="A28" s="21">
        <v>23</v>
      </c>
      <c r="B28" s="3">
        <v>2022</v>
      </c>
      <c r="C28" s="4"/>
      <c r="D28" s="4"/>
      <c r="E28" s="4"/>
      <c r="F28" s="37">
        <f t="shared" si="17"/>
        <v>208780.33333333326</v>
      </c>
      <c r="G28" s="27">
        <f t="shared" si="18"/>
        <v>3900522.0026666652</v>
      </c>
      <c r="H28" s="4"/>
      <c r="I28" s="63">
        <f t="shared" si="15"/>
        <v>222346.05310342228</v>
      </c>
      <c r="L28" s="48">
        <v>2022</v>
      </c>
      <c r="M28" s="85"/>
      <c r="N28" s="129">
        <f t="shared" si="19"/>
        <v>4741.8888888888887</v>
      </c>
      <c r="O28" s="86"/>
      <c r="P28" s="86">
        <f t="shared" ref="P28:P36" si="26">P27+N24</f>
        <v>189198.77777777775</v>
      </c>
      <c r="Q28" s="111">
        <f t="shared" si="14"/>
        <v>4741.888888888876</v>
      </c>
      <c r="R28" s="86">
        <f t="shared" si="21"/>
        <v>614</v>
      </c>
      <c r="S28" s="86">
        <f t="shared" si="25"/>
        <v>208780.33333333326</v>
      </c>
      <c r="T28" s="86">
        <f t="shared" si="22"/>
        <v>3900522.0026666652</v>
      </c>
      <c r="U28" s="86">
        <f t="shared" si="0"/>
        <v>780104.40053333307</v>
      </c>
      <c r="V28" s="99">
        <v>20.615999999999996</v>
      </c>
      <c r="W28" s="85"/>
      <c r="X28" s="86">
        <f t="shared" si="16"/>
        <v>1111648.7707599998</v>
      </c>
      <c r="Y28" s="111">
        <f t="shared" si="23"/>
        <v>2613349.7417866657</v>
      </c>
    </row>
    <row r="29" spans="1:25" x14ac:dyDescent="0.25">
      <c r="A29" s="21">
        <v>24</v>
      </c>
      <c r="B29" s="3">
        <v>2023</v>
      </c>
      <c r="C29" s="4"/>
      <c r="D29" s="4"/>
      <c r="E29" s="4"/>
      <c r="F29" s="37">
        <f t="shared" si="17"/>
        <v>213522.22222222213</v>
      </c>
      <c r="G29" s="27">
        <f t="shared" si="18"/>
        <v>4073141.8813333316</v>
      </c>
      <c r="H29" s="4"/>
      <c r="I29" s="63">
        <f t="shared" si="15"/>
        <v>228771.85403811117</v>
      </c>
      <c r="L29" s="48">
        <v>2023</v>
      </c>
      <c r="M29" s="85"/>
      <c r="N29" s="129">
        <f t="shared" si="19"/>
        <v>4741.8888888888887</v>
      </c>
      <c r="O29" s="86"/>
      <c r="P29" s="86">
        <f t="shared" si="26"/>
        <v>193940.66666666663</v>
      </c>
      <c r="Q29" s="111">
        <f t="shared" si="14"/>
        <v>4741.888888888876</v>
      </c>
      <c r="R29" s="86">
        <f t="shared" si="21"/>
        <v>614</v>
      </c>
      <c r="S29" s="86">
        <f t="shared" si="25"/>
        <v>213522.22222222213</v>
      </c>
      <c r="T29" s="86">
        <f t="shared" si="22"/>
        <v>4073141.8813333316</v>
      </c>
      <c r="U29" s="86">
        <f t="shared" si="0"/>
        <v>814628.37626666634</v>
      </c>
      <c r="V29" s="99">
        <v>21.001999999999995</v>
      </c>
      <c r="W29" s="85"/>
      <c r="X29" s="86">
        <f t="shared" si="16"/>
        <v>1160845.4361799997</v>
      </c>
      <c r="Y29" s="111">
        <f t="shared" si="23"/>
        <v>2729005.0604933323</v>
      </c>
    </row>
    <row r="30" spans="1:25" x14ac:dyDescent="0.25">
      <c r="A30" s="21">
        <v>25</v>
      </c>
      <c r="B30" s="3">
        <v>2024</v>
      </c>
      <c r="C30" s="4"/>
      <c r="D30" s="4"/>
      <c r="E30" s="4"/>
      <c r="F30" s="37">
        <f t="shared" si="17"/>
        <v>218264.11111111101</v>
      </c>
      <c r="G30" s="27">
        <f t="shared" si="18"/>
        <v>4249422.4982222198</v>
      </c>
      <c r="H30" s="4"/>
      <c r="I30" s="63">
        <f t="shared" si="15"/>
        <v>235383.36061981256</v>
      </c>
      <c r="L30" s="48">
        <v>2024</v>
      </c>
      <c r="M30" s="85"/>
      <c r="N30" s="129">
        <f t="shared" si="19"/>
        <v>4741.8888888888887</v>
      </c>
      <c r="O30" s="86"/>
      <c r="P30" s="86">
        <f t="shared" si="26"/>
        <v>198682.5555555555</v>
      </c>
      <c r="Q30" s="111">
        <f t="shared" si="14"/>
        <v>4741.888888888876</v>
      </c>
      <c r="R30" s="86">
        <f t="shared" si="21"/>
        <v>614</v>
      </c>
      <c r="S30" s="86">
        <f t="shared" si="25"/>
        <v>218264.11111111101</v>
      </c>
      <c r="T30" s="86">
        <f t="shared" si="22"/>
        <v>4249422.4982222198</v>
      </c>
      <c r="U30" s="86">
        <f t="shared" si="0"/>
        <v>849884.49964444397</v>
      </c>
      <c r="V30" s="99">
        <v>21.387999999999995</v>
      </c>
      <c r="W30" s="85"/>
      <c r="X30" s="86">
        <f t="shared" si="16"/>
        <v>1211085.4119933327</v>
      </c>
      <c r="Y30" s="111">
        <f t="shared" si="23"/>
        <v>2847113.0738088875</v>
      </c>
    </row>
    <row r="31" spans="1:25" x14ac:dyDescent="0.25">
      <c r="A31" s="21">
        <v>26</v>
      </c>
      <c r="B31" s="3">
        <v>2025</v>
      </c>
      <c r="C31" s="4"/>
      <c r="D31" s="4"/>
      <c r="E31" s="4"/>
      <c r="F31" s="37">
        <f t="shared" si="17"/>
        <v>223005.99999999988</v>
      </c>
      <c r="G31" s="27">
        <f t="shared" si="18"/>
        <v>4429363.8533333307</v>
      </c>
      <c r="H31" s="4"/>
      <c r="I31" s="63">
        <f t="shared" si="15"/>
        <v>242185.93974172513</v>
      </c>
      <c r="L31" s="48">
        <v>2025</v>
      </c>
      <c r="M31" s="85"/>
      <c r="N31" s="129">
        <f t="shared" si="19"/>
        <v>4741.8888888888887</v>
      </c>
      <c r="O31" s="86"/>
      <c r="P31" s="86">
        <f t="shared" si="26"/>
        <v>203424.44444444438</v>
      </c>
      <c r="Q31" s="111">
        <f t="shared" si="14"/>
        <v>4741.888888888876</v>
      </c>
      <c r="R31" s="86">
        <f t="shared" si="21"/>
        <v>614</v>
      </c>
      <c r="S31" s="86">
        <f t="shared" si="25"/>
        <v>223005.99999999988</v>
      </c>
      <c r="T31" s="86">
        <f t="shared" si="22"/>
        <v>4429363.8533333307</v>
      </c>
      <c r="U31" s="86">
        <f t="shared" si="0"/>
        <v>885872.77066666621</v>
      </c>
      <c r="V31" s="99">
        <v>21.773999999999994</v>
      </c>
      <c r="W31" s="85"/>
      <c r="X31" s="86">
        <f t="shared" si="16"/>
        <v>1262368.6981999993</v>
      </c>
      <c r="Y31" s="111">
        <f t="shared" si="23"/>
        <v>2967673.7817333317</v>
      </c>
    </row>
    <row r="32" spans="1:25" x14ac:dyDescent="0.25">
      <c r="A32" s="21">
        <v>27</v>
      </c>
      <c r="B32" s="3">
        <v>2026</v>
      </c>
      <c r="C32" s="4"/>
      <c r="D32" s="4"/>
      <c r="E32" s="4"/>
      <c r="F32" s="37">
        <f t="shared" si="17"/>
        <v>223005.99999999988</v>
      </c>
      <c r="G32" s="27">
        <f t="shared" si="18"/>
        <v>4612965.9466666635</v>
      </c>
      <c r="H32" s="4"/>
      <c r="I32" s="63">
        <f t="shared" si="15"/>
        <v>249185.11340026098</v>
      </c>
      <c r="L32" s="48">
        <v>2026</v>
      </c>
      <c r="M32" s="85"/>
      <c r="N32" s="129"/>
      <c r="O32" s="86"/>
      <c r="P32" s="86">
        <f t="shared" si="26"/>
        <v>208166.33333333326</v>
      </c>
      <c r="Q32" s="111">
        <f t="shared" si="14"/>
        <v>0</v>
      </c>
      <c r="R32" s="86">
        <f t="shared" si="21"/>
        <v>614</v>
      </c>
      <c r="S32" s="86">
        <f t="shared" si="25"/>
        <v>223005.99999999988</v>
      </c>
      <c r="T32" s="86">
        <f t="shared" si="22"/>
        <v>4612965.9466666635</v>
      </c>
      <c r="U32" s="86">
        <f t="shared" si="0"/>
        <v>922593.1893333327</v>
      </c>
      <c r="V32" s="99">
        <v>22.159999999999993</v>
      </c>
      <c r="W32" s="85"/>
      <c r="X32" s="86">
        <f t="shared" si="16"/>
        <v>1314695.2947999993</v>
      </c>
      <c r="Y32" s="111">
        <f t="shared" si="23"/>
        <v>3090687.1842666646</v>
      </c>
    </row>
    <row r="33" spans="1:25" x14ac:dyDescent="0.25">
      <c r="A33" s="21">
        <v>28</v>
      </c>
      <c r="B33" s="3">
        <v>2027</v>
      </c>
      <c r="C33" s="4"/>
      <c r="D33" s="4"/>
      <c r="E33" s="4"/>
      <c r="F33" s="37">
        <f t="shared" si="17"/>
        <v>223005.99999999988</v>
      </c>
      <c r="G33" s="27">
        <f t="shared" si="18"/>
        <v>4800228.7782222182</v>
      </c>
      <c r="H33" s="4"/>
      <c r="I33" s="63">
        <f t="shared" si="15"/>
        <v>256386.5631775285</v>
      </c>
      <c r="L33" s="48">
        <v>2027</v>
      </c>
      <c r="M33" s="85"/>
      <c r="N33" s="129"/>
      <c r="O33" s="86"/>
      <c r="P33" s="86">
        <f t="shared" si="26"/>
        <v>212908.22222222213</v>
      </c>
      <c r="Q33" s="111">
        <f t="shared" si="14"/>
        <v>0</v>
      </c>
      <c r="R33" s="86">
        <f t="shared" si="21"/>
        <v>614</v>
      </c>
      <c r="S33" s="86">
        <f t="shared" si="25"/>
        <v>223005.99999999988</v>
      </c>
      <c r="T33" s="86">
        <f t="shared" si="22"/>
        <v>4800228.7782222182</v>
      </c>
      <c r="U33" s="86">
        <f t="shared" si="0"/>
        <v>960045.75564444368</v>
      </c>
      <c r="V33" s="99">
        <v>22.545999999999992</v>
      </c>
      <c r="W33" s="85"/>
      <c r="X33" s="86">
        <f t="shared" si="16"/>
        <v>1368065.2017933324</v>
      </c>
      <c r="Y33" s="111">
        <f t="shared" si="23"/>
        <v>3216153.2814088864</v>
      </c>
    </row>
    <row r="34" spans="1:25" x14ac:dyDescent="0.25">
      <c r="A34" s="21">
        <v>29</v>
      </c>
      <c r="B34" s="3">
        <v>2028</v>
      </c>
      <c r="C34" s="4"/>
      <c r="D34" s="4"/>
      <c r="E34" s="4"/>
      <c r="F34" s="37">
        <f t="shared" si="17"/>
        <v>223005.99999999988</v>
      </c>
      <c r="G34" s="27">
        <f t="shared" si="18"/>
        <v>4991152.3479999956</v>
      </c>
      <c r="H34" s="4"/>
      <c r="I34" s="63">
        <f t="shared" si="15"/>
        <v>263796.13485335908</v>
      </c>
      <c r="L34" s="48">
        <v>2028</v>
      </c>
      <c r="M34" s="85"/>
      <c r="N34" s="129"/>
      <c r="O34" s="86"/>
      <c r="P34" s="86">
        <f t="shared" si="26"/>
        <v>217650.11111111101</v>
      </c>
      <c r="Q34" s="111">
        <f t="shared" si="14"/>
        <v>0</v>
      </c>
      <c r="R34" s="86">
        <f t="shared" si="21"/>
        <v>614</v>
      </c>
      <c r="S34" s="86">
        <f t="shared" si="25"/>
        <v>223005.99999999988</v>
      </c>
      <c r="T34" s="86">
        <f t="shared" si="22"/>
        <v>4991152.3479999956</v>
      </c>
      <c r="U34" s="86">
        <f t="shared" si="0"/>
        <v>998230.46959999914</v>
      </c>
      <c r="V34" s="99">
        <v>22.931999999999992</v>
      </c>
      <c r="W34" s="85"/>
      <c r="X34" s="86">
        <f t="shared" si="16"/>
        <v>1422478.4191799988</v>
      </c>
      <c r="Y34" s="111">
        <f t="shared" si="23"/>
        <v>3344072.0731599974</v>
      </c>
    </row>
    <row r="35" spans="1:25" x14ac:dyDescent="0.25">
      <c r="A35" s="21">
        <v>30</v>
      </c>
      <c r="B35" s="3">
        <v>2029</v>
      </c>
      <c r="C35" s="4"/>
      <c r="D35" s="4"/>
      <c r="E35" s="4"/>
      <c r="F35" s="37">
        <f t="shared" si="17"/>
        <v>223005.99999999988</v>
      </c>
      <c r="G35" s="27">
        <f t="shared" si="18"/>
        <v>5185736.6559999948</v>
      </c>
      <c r="H35" s="4"/>
      <c r="I35" s="63">
        <f t="shared" si="15"/>
        <v>271419.84315062116</v>
      </c>
      <c r="L35" s="48">
        <v>2029</v>
      </c>
      <c r="M35" s="85"/>
      <c r="N35" s="129"/>
      <c r="O35" s="86"/>
      <c r="P35" s="86">
        <f t="shared" si="26"/>
        <v>222391.99999999988</v>
      </c>
      <c r="Q35" s="111">
        <f t="shared" si="14"/>
        <v>0</v>
      </c>
      <c r="R35" s="86">
        <f t="shared" si="21"/>
        <v>614</v>
      </c>
      <c r="S35" s="86">
        <f t="shared" si="25"/>
        <v>223005.99999999988</v>
      </c>
      <c r="T35" s="86">
        <f t="shared" si="22"/>
        <v>5185736.6559999948</v>
      </c>
      <c r="U35" s="86">
        <f t="shared" si="0"/>
        <v>1037147.331199999</v>
      </c>
      <c r="V35" s="99">
        <v>23.317999999999991</v>
      </c>
      <c r="W35" s="130"/>
      <c r="X35" s="86">
        <f>T35*($P$52+$P$53+$P$54)</f>
        <v>1477934.9469599987</v>
      </c>
      <c r="Y35" s="111">
        <f t="shared" si="23"/>
        <v>3474443.5595199969</v>
      </c>
    </row>
    <row r="36" spans="1:25" x14ac:dyDescent="0.25">
      <c r="A36" s="21">
        <v>31</v>
      </c>
      <c r="B36" s="3">
        <v>2030</v>
      </c>
      <c r="C36" s="4"/>
      <c r="D36" s="4"/>
      <c r="E36" s="4"/>
      <c r="F36" s="37">
        <f t="shared" si="17"/>
        <v>223005.99999999988</v>
      </c>
      <c r="G36" s="27">
        <f t="shared" si="18"/>
        <v>5271579.9679999948</v>
      </c>
      <c r="H36" s="4"/>
      <c r="I36" s="63">
        <f>F36*70%</f>
        <v>156104.1999999999</v>
      </c>
      <c r="L36" s="150">
        <v>2030</v>
      </c>
      <c r="M36" s="134"/>
      <c r="N36" s="132"/>
      <c r="O36" s="133"/>
      <c r="P36" s="133">
        <f t="shared" si="26"/>
        <v>222391.99999999988</v>
      </c>
      <c r="Q36" s="131">
        <f t="shared" si="14"/>
        <v>0</v>
      </c>
      <c r="R36" s="133">
        <f t="shared" si="21"/>
        <v>614</v>
      </c>
      <c r="S36" s="133">
        <f t="shared" ref="S36" si="27">O36+P36+R36</f>
        <v>223005.99999999988</v>
      </c>
      <c r="T36" s="133">
        <f>P36*V36</f>
        <v>5271579.9679999948</v>
      </c>
      <c r="U36" s="133">
        <f t="shared" si="0"/>
        <v>1054315.993599999</v>
      </c>
      <c r="V36" s="120">
        <v>23.70399999999999</v>
      </c>
      <c r="W36" s="135">
        <f>((V36/V22)^(1/14)-1)</f>
        <v>3.5311316936399884E-2</v>
      </c>
      <c r="X36" s="134"/>
      <c r="Y36" s="134"/>
    </row>
    <row r="37" spans="1:25" x14ac:dyDescent="0.25">
      <c r="F37" s="43">
        <f>(F36/F22)^(1/14)-1</f>
        <v>1.5288238692405143E-2</v>
      </c>
      <c r="I37" s="43">
        <f>(I36/I21)^(1/15)-1</f>
        <v>-1.0232576633818602E-2</v>
      </c>
      <c r="L37" s="73"/>
      <c r="M37" s="73"/>
      <c r="N37" s="73"/>
      <c r="O37" s="73"/>
      <c r="P37" s="75"/>
      <c r="Q37" s="115" t="s">
        <v>89</v>
      </c>
      <c r="R37" s="115" t="s">
        <v>90</v>
      </c>
      <c r="S37" s="115" t="s">
        <v>91</v>
      </c>
      <c r="T37" s="138">
        <v>16</v>
      </c>
      <c r="U37" s="139">
        <v>28</v>
      </c>
      <c r="V37" s="139">
        <f>T37+U37</f>
        <v>44</v>
      </c>
      <c r="W37" s="73"/>
      <c r="X37" s="73"/>
      <c r="Y37" s="73"/>
    </row>
    <row r="38" spans="1:25" x14ac:dyDescent="0.25">
      <c r="A38" s="1" t="s">
        <v>40</v>
      </c>
      <c r="B38" s="1"/>
      <c r="L38" s="73"/>
      <c r="M38" s="73"/>
      <c r="N38" s="73"/>
      <c r="O38" s="73"/>
      <c r="P38" s="73"/>
      <c r="Q38" s="137">
        <v>16</v>
      </c>
      <c r="R38" s="140">
        <f>(P26/6000)-Q38</f>
        <v>13.952500000000001</v>
      </c>
      <c r="S38" s="137">
        <f>(P36/6000)-(Q38+R38)</f>
        <v>7.1128333333333131</v>
      </c>
      <c r="T38" s="138">
        <f>SUM(Q38:S38)</f>
        <v>37.065333333333314</v>
      </c>
      <c r="U38" s="139">
        <f>T38-V37</f>
        <v>-6.9346666666666863</v>
      </c>
      <c r="V38" s="139"/>
      <c r="W38" s="73"/>
      <c r="X38" s="73"/>
      <c r="Y38" s="73"/>
    </row>
    <row r="39" spans="1:25" x14ac:dyDescent="0.25">
      <c r="A39" s="32">
        <v>1</v>
      </c>
      <c r="B39" s="1" t="s">
        <v>41</v>
      </c>
      <c r="L39" s="73"/>
      <c r="M39" s="90" t="s">
        <v>57</v>
      </c>
      <c r="N39" s="90"/>
      <c r="O39" s="90"/>
      <c r="P39" s="73"/>
      <c r="Q39" s="73"/>
      <c r="R39" s="94">
        <f>R40/9</f>
        <v>4741.8888888888887</v>
      </c>
      <c r="S39" s="88"/>
      <c r="T39" s="73"/>
      <c r="U39" s="73"/>
      <c r="V39" s="73"/>
      <c r="W39" s="73"/>
      <c r="X39" s="73"/>
      <c r="Y39" s="73"/>
    </row>
    <row r="40" spans="1:25" x14ac:dyDescent="0.25">
      <c r="A40" s="32">
        <v>2</v>
      </c>
      <c r="B40" s="1" t="s">
        <v>42</v>
      </c>
      <c r="L40" s="73"/>
      <c r="M40" s="90" t="s">
        <v>65</v>
      </c>
      <c r="N40" s="90"/>
      <c r="O40" s="90"/>
      <c r="P40" s="73"/>
      <c r="Q40" s="73"/>
      <c r="R40" s="94">
        <f>R44-R41</f>
        <v>42677</v>
      </c>
      <c r="S40" s="88" t="s">
        <v>54</v>
      </c>
      <c r="T40" s="73"/>
      <c r="U40" s="73"/>
      <c r="V40" s="73"/>
      <c r="W40" s="73"/>
      <c r="X40" s="73"/>
      <c r="Y40" s="73"/>
    </row>
    <row r="41" spans="1:25" x14ac:dyDescent="0.25">
      <c r="L41" s="73"/>
      <c r="M41" s="90" t="s">
        <v>56</v>
      </c>
      <c r="N41" s="90"/>
      <c r="O41" s="90"/>
      <c r="P41" s="73"/>
      <c r="Q41" s="73"/>
      <c r="R41" s="152">
        <f>S22</f>
        <v>180329</v>
      </c>
      <c r="S41" s="88"/>
      <c r="T41" s="73"/>
      <c r="U41" s="73"/>
      <c r="V41" s="73"/>
      <c r="W41" s="73"/>
      <c r="X41" s="73"/>
      <c r="Y41" s="73"/>
    </row>
    <row r="42" spans="1:25" x14ac:dyDescent="0.25">
      <c r="L42" s="73"/>
      <c r="M42" s="91"/>
      <c r="N42" s="92"/>
      <c r="O42" s="92"/>
      <c r="P42" s="73"/>
      <c r="Q42" s="73"/>
      <c r="R42" s="73"/>
      <c r="S42" s="73"/>
      <c r="T42" s="73"/>
      <c r="U42" s="73"/>
      <c r="V42" s="73"/>
      <c r="W42" s="73"/>
      <c r="X42" s="73"/>
      <c r="Y42" s="73"/>
    </row>
    <row r="43" spans="1:25" x14ac:dyDescent="0.25">
      <c r="L43" s="73"/>
      <c r="M43" s="73" t="s">
        <v>66</v>
      </c>
      <c r="N43" s="73"/>
      <c r="O43" s="73"/>
      <c r="P43" s="73"/>
      <c r="Q43" s="73"/>
      <c r="R43" s="7">
        <v>398945</v>
      </c>
      <c r="S43" s="73" t="s">
        <v>58</v>
      </c>
      <c r="T43" s="73"/>
      <c r="U43" s="73"/>
      <c r="V43" s="73"/>
      <c r="W43" s="73"/>
      <c r="X43" s="73"/>
      <c r="Y43" s="73"/>
    </row>
    <row r="44" spans="1:25" x14ac:dyDescent="0.25">
      <c r="L44" s="73"/>
      <c r="M44" s="73" t="s">
        <v>59</v>
      </c>
      <c r="N44" s="73"/>
      <c r="O44" s="73"/>
      <c r="P44" s="73"/>
      <c r="Q44" s="112">
        <f>S36/R43</f>
        <v>0.55898933436939902</v>
      </c>
      <c r="R44" s="180">
        <v>223006</v>
      </c>
      <c r="S44" s="93" t="s">
        <v>104</v>
      </c>
      <c r="T44" s="73"/>
      <c r="U44" s="73"/>
      <c r="V44" s="73"/>
      <c r="W44" s="73"/>
      <c r="X44" s="73"/>
      <c r="Y44" s="73"/>
    </row>
    <row r="45" spans="1:25" x14ac:dyDescent="0.25">
      <c r="L45" s="73"/>
      <c r="M45" s="73" t="s">
        <v>60</v>
      </c>
      <c r="N45" s="73"/>
      <c r="O45" s="73"/>
      <c r="P45" s="73"/>
      <c r="Q45" s="73"/>
      <c r="R45" s="154">
        <f>S22-S21</f>
        <v>-1816</v>
      </c>
      <c r="S45" s="73"/>
      <c r="T45" s="73"/>
      <c r="U45" s="73"/>
      <c r="V45" s="73"/>
      <c r="W45" s="73"/>
      <c r="X45" s="73"/>
      <c r="Y45" s="73"/>
    </row>
    <row r="46" spans="1:25" x14ac:dyDescent="0.25">
      <c r="L46" s="73"/>
      <c r="M46" s="90" t="s">
        <v>61</v>
      </c>
      <c r="N46" s="90"/>
      <c r="O46" s="90"/>
      <c r="P46" s="73"/>
      <c r="Q46" s="73"/>
      <c r="R46" s="155">
        <f>O22/4</f>
        <v>8446.5</v>
      </c>
      <c r="S46" s="73"/>
      <c r="T46" s="73"/>
      <c r="U46" s="73"/>
      <c r="V46" s="73"/>
      <c r="W46" s="73"/>
      <c r="X46" s="73"/>
      <c r="Y46" s="73"/>
    </row>
    <row r="47" spans="1:25" x14ac:dyDescent="0.25">
      <c r="L47" s="73"/>
      <c r="M47" s="90" t="s">
        <v>62</v>
      </c>
      <c r="N47" s="90"/>
      <c r="O47" s="90"/>
      <c r="P47" s="73"/>
      <c r="Q47" s="73"/>
      <c r="R47" s="156">
        <f>R39</f>
        <v>4741.8888888888887</v>
      </c>
      <c r="S47" s="73"/>
      <c r="T47" s="73"/>
      <c r="U47" s="73"/>
      <c r="V47" s="73"/>
      <c r="W47" s="73"/>
      <c r="X47" s="73"/>
      <c r="Y47" s="73"/>
    </row>
    <row r="48" spans="1:25" x14ac:dyDescent="0.25"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</row>
    <row r="49" spans="12:25" x14ac:dyDescent="0.25"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</row>
    <row r="50" spans="12:25" x14ac:dyDescent="0.25">
      <c r="L50" s="73"/>
      <c r="M50" s="92" t="s">
        <v>67</v>
      </c>
      <c r="N50" s="73"/>
      <c r="O50" s="73"/>
      <c r="P50" s="72"/>
      <c r="Q50" s="73">
        <v>10</v>
      </c>
      <c r="R50" s="73" t="s">
        <v>68</v>
      </c>
      <c r="S50" s="73"/>
      <c r="T50" s="73"/>
      <c r="U50" s="73"/>
      <c r="V50" s="73"/>
      <c r="W50" s="73"/>
      <c r="X50" s="73"/>
      <c r="Y50" s="73"/>
    </row>
    <row r="51" spans="12:25" x14ac:dyDescent="0.25">
      <c r="L51" s="73"/>
      <c r="M51" s="92" t="s">
        <v>69</v>
      </c>
      <c r="N51" s="73"/>
      <c r="O51" s="73"/>
      <c r="P51" s="107">
        <v>0.67</v>
      </c>
      <c r="Q51" s="73">
        <f>P51*$G$49</f>
        <v>0</v>
      </c>
      <c r="R51" s="73" t="s">
        <v>70</v>
      </c>
      <c r="S51" s="73" t="s">
        <v>71</v>
      </c>
      <c r="T51" s="73"/>
      <c r="U51" s="73"/>
      <c r="V51" s="73"/>
      <c r="W51" s="73"/>
      <c r="X51" s="73"/>
      <c r="Y51" s="73"/>
    </row>
    <row r="52" spans="12:25" x14ac:dyDescent="0.25">
      <c r="L52" s="73"/>
      <c r="M52" s="92" t="s">
        <v>72</v>
      </c>
      <c r="N52" s="73"/>
      <c r="O52" s="73"/>
      <c r="P52" s="107">
        <v>0.22</v>
      </c>
      <c r="Q52" s="73">
        <f t="shared" ref="Q52:Q56" si="28">P52*$G$49</f>
        <v>0</v>
      </c>
      <c r="R52" s="73" t="s">
        <v>68</v>
      </c>
      <c r="S52" s="73"/>
      <c r="T52" s="73"/>
      <c r="U52" s="73"/>
      <c r="V52" s="73"/>
      <c r="W52" s="73"/>
      <c r="X52" s="73"/>
      <c r="Y52" s="73"/>
    </row>
    <row r="53" spans="12:25" x14ac:dyDescent="0.25">
      <c r="L53" s="73"/>
      <c r="M53" s="92" t="s">
        <v>73</v>
      </c>
      <c r="N53" s="73"/>
      <c r="O53" s="73"/>
      <c r="P53" s="108">
        <v>5.0000000000000001E-3</v>
      </c>
      <c r="Q53" s="73">
        <f t="shared" si="28"/>
        <v>0</v>
      </c>
      <c r="R53" s="73" t="s">
        <v>68</v>
      </c>
      <c r="S53" s="73" t="s">
        <v>74</v>
      </c>
      <c r="T53" s="73"/>
      <c r="U53" s="73"/>
      <c r="V53" s="73"/>
      <c r="W53" s="73"/>
      <c r="X53" s="73"/>
      <c r="Y53" s="73"/>
    </row>
    <row r="54" spans="12:25" x14ac:dyDescent="0.25">
      <c r="L54" s="73"/>
      <c r="M54" s="92" t="s">
        <v>75</v>
      </c>
      <c r="N54" s="73"/>
      <c r="O54" s="73"/>
      <c r="P54" s="107">
        <v>0.06</v>
      </c>
      <c r="Q54" s="73">
        <f t="shared" si="28"/>
        <v>0</v>
      </c>
      <c r="R54" s="73" t="s">
        <v>68</v>
      </c>
      <c r="S54" s="73" t="s">
        <v>76</v>
      </c>
      <c r="T54" s="73"/>
      <c r="U54" s="73"/>
      <c r="V54" s="73"/>
      <c r="W54" s="73"/>
      <c r="X54" s="73"/>
      <c r="Y54" s="73"/>
    </row>
    <row r="55" spans="12:25" x14ac:dyDescent="0.25">
      <c r="L55" s="73"/>
      <c r="M55" s="92" t="s">
        <v>77</v>
      </c>
      <c r="N55" s="73"/>
      <c r="O55" s="73"/>
      <c r="P55" s="109">
        <v>0.13500000000000001</v>
      </c>
      <c r="Q55" s="73">
        <f t="shared" si="28"/>
        <v>0</v>
      </c>
      <c r="R55" s="73" t="s">
        <v>68</v>
      </c>
      <c r="S55" s="73" t="s">
        <v>78</v>
      </c>
      <c r="T55" s="73"/>
      <c r="U55" s="73"/>
      <c r="V55" s="73"/>
      <c r="W55" s="73"/>
      <c r="X55" s="73"/>
      <c r="Y55" s="73"/>
    </row>
    <row r="56" spans="12:25" x14ac:dyDescent="0.25">
      <c r="L56" s="73"/>
      <c r="M56" s="92" t="s">
        <v>79</v>
      </c>
      <c r="N56" s="73"/>
      <c r="O56" s="73"/>
      <c r="P56" s="109">
        <v>5.5E-2</v>
      </c>
      <c r="Q56" s="73">
        <f t="shared" si="28"/>
        <v>0</v>
      </c>
      <c r="R56" s="73" t="s">
        <v>68</v>
      </c>
      <c r="S56" s="73" t="s">
        <v>78</v>
      </c>
      <c r="T56" s="73"/>
      <c r="U56" s="73"/>
      <c r="V56" s="73"/>
      <c r="W56" s="73"/>
      <c r="X56" s="73"/>
      <c r="Y56" s="73"/>
    </row>
  </sheetData>
  <mergeCells count="3">
    <mergeCell ref="A4:A5"/>
    <mergeCell ref="B4:B5"/>
    <mergeCell ref="C4:E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zoomScale="85" zoomScaleNormal="85" workbookViewId="0">
      <pane xSplit="2" ySplit="5" topLeftCell="I21" activePane="bottomRight" state="frozen"/>
      <selection pane="topRight" activeCell="C1" sqref="C1"/>
      <selection pane="bottomLeft" activeCell="A6" sqref="A6"/>
      <selection pane="bottomRight" activeCell="S29" sqref="S29"/>
    </sheetView>
  </sheetViews>
  <sheetFormatPr defaultRowHeight="15" x14ac:dyDescent="0.25"/>
  <cols>
    <col min="1" max="1" width="4.5703125" customWidth="1"/>
    <col min="3" max="4" width="10.5703125" bestFit="1" customWidth="1"/>
    <col min="5" max="5" width="9.28515625" bestFit="1" customWidth="1"/>
    <col min="6" max="6" width="10.5703125" bestFit="1" customWidth="1"/>
    <col min="7" max="7" width="11.5703125" bestFit="1" customWidth="1"/>
    <col min="8" max="8" width="15.42578125" bestFit="1" customWidth="1"/>
    <col min="9" max="9" width="10.5703125" bestFit="1" customWidth="1"/>
    <col min="12" max="12" width="9.140625" style="45"/>
    <col min="13" max="13" width="13.28515625" style="45" customWidth="1"/>
    <col min="14" max="14" width="10.5703125" style="45" bestFit="1" customWidth="1"/>
    <col min="15" max="15" width="14.5703125" style="45" customWidth="1"/>
    <col min="16" max="16" width="15.7109375" style="45" bestFit="1" customWidth="1"/>
    <col min="17" max="17" width="17.85546875" style="45" customWidth="1"/>
    <col min="18" max="18" width="14.85546875" style="45" customWidth="1"/>
    <col min="19" max="19" width="14.140625" style="45" customWidth="1"/>
    <col min="20" max="20" width="15.140625" style="45" customWidth="1"/>
    <col min="21" max="21" width="14" style="45" customWidth="1"/>
    <col min="22" max="22" width="15" style="45" customWidth="1"/>
    <col min="23" max="23" width="12.5703125" style="45" customWidth="1"/>
    <col min="24" max="24" width="13.28515625" style="45" bestFit="1" customWidth="1"/>
    <col min="25" max="25" width="14.5703125" style="45" customWidth="1"/>
  </cols>
  <sheetData>
    <row r="1" spans="1:25" x14ac:dyDescent="0.25">
      <c r="A1" s="1" t="s">
        <v>13</v>
      </c>
      <c r="B1" s="1"/>
      <c r="C1" s="1"/>
      <c r="D1" s="1"/>
      <c r="E1" s="1"/>
      <c r="F1" s="1"/>
      <c r="G1" s="1"/>
      <c r="H1" s="1"/>
    </row>
    <row r="2" spans="1:25" x14ac:dyDescent="0.25">
      <c r="A2" s="1" t="s">
        <v>18</v>
      </c>
      <c r="B2" s="1"/>
      <c r="C2" s="1"/>
      <c r="D2" s="1"/>
      <c r="E2" s="1"/>
      <c r="F2" s="1"/>
      <c r="G2" s="1"/>
      <c r="H2" s="1"/>
    </row>
    <row r="3" spans="1:25" x14ac:dyDescent="0.25">
      <c r="A3" s="1"/>
      <c r="B3" s="1"/>
      <c r="C3" s="1"/>
      <c r="D3" s="1"/>
      <c r="E3" s="1"/>
      <c r="F3" s="1"/>
      <c r="G3" s="1"/>
      <c r="H3" s="1"/>
    </row>
    <row r="4" spans="1:25" ht="45" x14ac:dyDescent="0.25">
      <c r="A4" s="183" t="s">
        <v>1</v>
      </c>
      <c r="B4" s="183" t="s">
        <v>2</v>
      </c>
      <c r="C4" s="189" t="s">
        <v>3</v>
      </c>
      <c r="D4" s="189"/>
      <c r="E4" s="189"/>
      <c r="F4" s="2" t="s">
        <v>4</v>
      </c>
      <c r="G4" s="2" t="s">
        <v>5</v>
      </c>
      <c r="H4" s="2" t="s">
        <v>6</v>
      </c>
      <c r="I4" s="8"/>
      <c r="L4" s="70" t="s">
        <v>2</v>
      </c>
      <c r="M4" s="70" t="s">
        <v>63</v>
      </c>
      <c r="N4" s="70" t="s">
        <v>46</v>
      </c>
      <c r="O4" s="70" t="s">
        <v>7</v>
      </c>
      <c r="P4" s="70" t="s">
        <v>8</v>
      </c>
      <c r="Q4" s="70" t="s">
        <v>47</v>
      </c>
      <c r="R4" s="70" t="s">
        <v>9</v>
      </c>
      <c r="S4" s="70" t="s">
        <v>38</v>
      </c>
      <c r="T4" s="71" t="s">
        <v>48</v>
      </c>
      <c r="U4" s="70" t="s">
        <v>49</v>
      </c>
      <c r="V4" s="70" t="s">
        <v>50</v>
      </c>
      <c r="W4" s="70" t="s">
        <v>51</v>
      </c>
      <c r="X4" s="70" t="s">
        <v>52</v>
      </c>
      <c r="Y4" s="70" t="s">
        <v>53</v>
      </c>
    </row>
    <row r="5" spans="1:25" x14ac:dyDescent="0.25">
      <c r="A5" s="183"/>
      <c r="B5" s="183"/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12</v>
      </c>
      <c r="I5" s="8"/>
      <c r="L5" s="72"/>
      <c r="M5" s="73"/>
      <c r="N5" s="73"/>
      <c r="O5" s="74"/>
      <c r="P5" s="74"/>
      <c r="Q5" s="73"/>
      <c r="R5" s="74"/>
      <c r="S5" s="74"/>
      <c r="T5" s="74"/>
      <c r="U5" s="74"/>
      <c r="V5" s="83"/>
      <c r="W5" s="73"/>
      <c r="X5" s="74"/>
      <c r="Y5" s="75"/>
    </row>
    <row r="6" spans="1:25" x14ac:dyDescent="0.25">
      <c r="A6" s="6">
        <v>1</v>
      </c>
      <c r="B6" s="6">
        <v>2000</v>
      </c>
      <c r="C6" s="5"/>
      <c r="D6" s="5"/>
      <c r="E6" s="5"/>
      <c r="F6" s="5"/>
      <c r="G6" s="5"/>
      <c r="H6" s="5"/>
      <c r="I6" s="57">
        <f>F6</f>
        <v>0</v>
      </c>
      <c r="L6" s="113">
        <v>2000</v>
      </c>
      <c r="M6" s="73"/>
      <c r="N6" s="73"/>
      <c r="O6" s="74">
        <f>C6</f>
        <v>0</v>
      </c>
      <c r="P6" s="74">
        <f>D6</f>
        <v>0</v>
      </c>
      <c r="Q6" s="73"/>
      <c r="R6" s="74">
        <f>E6</f>
        <v>0</v>
      </c>
      <c r="S6" s="74">
        <f>F6</f>
        <v>0</v>
      </c>
      <c r="T6" s="74">
        <f>G6</f>
        <v>0</v>
      </c>
      <c r="U6" s="74">
        <f t="shared" ref="U6:U36" si="0">T6*20%</f>
        <v>0</v>
      </c>
      <c r="V6" s="83" t="e">
        <f>T6/P6</f>
        <v>#DIV/0!</v>
      </c>
      <c r="W6" s="73"/>
      <c r="X6" s="74">
        <f t="shared" ref="X6:X22" si="1">T6*($F$51+$F$54+$F$55)</f>
        <v>0</v>
      </c>
      <c r="Y6" s="75">
        <f t="shared" ref="Y6:Y21" si="2">T6*$F$50</f>
        <v>0</v>
      </c>
    </row>
    <row r="7" spans="1:25" x14ac:dyDescent="0.25">
      <c r="A7" s="6">
        <v>2</v>
      </c>
      <c r="B7" s="6">
        <v>2001</v>
      </c>
      <c r="C7" s="5"/>
      <c r="D7" s="5"/>
      <c r="E7" s="5"/>
      <c r="F7" s="5"/>
      <c r="G7" s="5"/>
      <c r="H7" s="5"/>
      <c r="I7" s="57">
        <f t="shared" ref="I7:I21" si="3">F7</f>
        <v>0</v>
      </c>
      <c r="L7" s="113">
        <v>2001</v>
      </c>
      <c r="M7" s="73"/>
      <c r="N7" s="73"/>
      <c r="O7" s="74">
        <f t="shared" ref="O7:O12" si="4">C7</f>
        <v>0</v>
      </c>
      <c r="P7" s="74">
        <f t="shared" ref="P7:P22" si="5">D7</f>
        <v>0</v>
      </c>
      <c r="Q7" s="73"/>
      <c r="R7" s="74">
        <f t="shared" ref="R7:T22" si="6">E7</f>
        <v>0</v>
      </c>
      <c r="S7" s="74">
        <f t="shared" si="6"/>
        <v>0</v>
      </c>
      <c r="T7" s="74">
        <f t="shared" si="6"/>
        <v>0</v>
      </c>
      <c r="U7" s="74">
        <f t="shared" si="0"/>
        <v>0</v>
      </c>
      <c r="V7" s="83" t="e">
        <f t="shared" ref="V7:V22" si="7">T7/P7</f>
        <v>#DIV/0!</v>
      </c>
      <c r="W7" s="73"/>
      <c r="X7" s="74">
        <f t="shared" si="1"/>
        <v>0</v>
      </c>
      <c r="Y7" s="75">
        <f t="shared" si="2"/>
        <v>0</v>
      </c>
    </row>
    <row r="8" spans="1:25" x14ac:dyDescent="0.25">
      <c r="A8" s="6">
        <v>3</v>
      </c>
      <c r="B8" s="6">
        <v>2002</v>
      </c>
      <c r="C8" s="5"/>
      <c r="D8" s="5"/>
      <c r="E8" s="5"/>
      <c r="F8" s="5"/>
      <c r="G8" s="5"/>
      <c r="H8" s="5"/>
      <c r="I8" s="57">
        <f t="shared" si="3"/>
        <v>0</v>
      </c>
      <c r="L8" s="113">
        <v>2002</v>
      </c>
      <c r="M8" s="73"/>
      <c r="N8" s="73"/>
      <c r="O8" s="74">
        <f t="shared" si="4"/>
        <v>0</v>
      </c>
      <c r="P8" s="74">
        <f t="shared" si="5"/>
        <v>0</v>
      </c>
      <c r="Q8" s="73"/>
      <c r="R8" s="74">
        <f t="shared" si="6"/>
        <v>0</v>
      </c>
      <c r="S8" s="74">
        <f t="shared" si="6"/>
        <v>0</v>
      </c>
      <c r="T8" s="74">
        <f t="shared" si="6"/>
        <v>0</v>
      </c>
      <c r="U8" s="74">
        <f t="shared" si="0"/>
        <v>0</v>
      </c>
      <c r="V8" s="83" t="e">
        <f t="shared" si="7"/>
        <v>#DIV/0!</v>
      </c>
      <c r="W8" s="73"/>
      <c r="X8" s="74">
        <f t="shared" si="1"/>
        <v>0</v>
      </c>
      <c r="Y8" s="75">
        <f t="shared" si="2"/>
        <v>0</v>
      </c>
    </row>
    <row r="9" spans="1:25" x14ac:dyDescent="0.25">
      <c r="A9" s="6">
        <v>4</v>
      </c>
      <c r="B9" s="6">
        <v>2003</v>
      </c>
      <c r="C9" s="5"/>
      <c r="D9" s="5"/>
      <c r="E9" s="5"/>
      <c r="F9" s="5">
        <v>11833.3</v>
      </c>
      <c r="G9" s="5">
        <v>78883</v>
      </c>
      <c r="H9" s="5"/>
      <c r="I9" s="57">
        <f t="shared" si="3"/>
        <v>11833.3</v>
      </c>
      <c r="L9" s="113">
        <v>2003</v>
      </c>
      <c r="M9" s="127"/>
      <c r="N9" s="127"/>
      <c r="O9" s="125">
        <f t="shared" si="4"/>
        <v>0</v>
      </c>
      <c r="P9" s="125">
        <f t="shared" si="5"/>
        <v>0</v>
      </c>
      <c r="Q9" s="123">
        <f>S9-S8</f>
        <v>11833.3</v>
      </c>
      <c r="R9" s="125">
        <f t="shared" si="6"/>
        <v>0</v>
      </c>
      <c r="S9" s="125">
        <f t="shared" si="6"/>
        <v>11833.3</v>
      </c>
      <c r="T9" s="125">
        <f t="shared" si="6"/>
        <v>78883</v>
      </c>
      <c r="U9" s="125">
        <f t="shared" si="0"/>
        <v>15776.6</v>
      </c>
      <c r="V9" s="126" t="e">
        <f t="shared" si="7"/>
        <v>#DIV/0!</v>
      </c>
      <c r="W9" s="73"/>
      <c r="X9" s="74">
        <f t="shared" si="1"/>
        <v>0</v>
      </c>
      <c r="Y9" s="75">
        <f t="shared" si="2"/>
        <v>0</v>
      </c>
    </row>
    <row r="10" spans="1:25" x14ac:dyDescent="0.25">
      <c r="A10" s="6">
        <v>5</v>
      </c>
      <c r="B10" s="6">
        <v>2004</v>
      </c>
      <c r="C10" s="5"/>
      <c r="D10" s="5"/>
      <c r="E10" s="5"/>
      <c r="F10" s="5">
        <v>14153</v>
      </c>
      <c r="G10" s="5">
        <v>236338</v>
      </c>
      <c r="H10" s="5"/>
      <c r="I10" s="57">
        <f t="shared" si="3"/>
        <v>14153</v>
      </c>
      <c r="L10" s="113">
        <v>2004</v>
      </c>
      <c r="M10" s="127"/>
      <c r="N10" s="127"/>
      <c r="O10" s="125">
        <f t="shared" si="4"/>
        <v>0</v>
      </c>
      <c r="P10" s="125">
        <f t="shared" si="5"/>
        <v>0</v>
      </c>
      <c r="Q10" s="123">
        <f t="shared" ref="Q10:Q14" si="8">S10-S9</f>
        <v>2319.7000000000007</v>
      </c>
      <c r="R10" s="125">
        <f t="shared" si="6"/>
        <v>0</v>
      </c>
      <c r="S10" s="125">
        <f t="shared" si="6"/>
        <v>14153</v>
      </c>
      <c r="T10" s="125">
        <f t="shared" si="6"/>
        <v>236338</v>
      </c>
      <c r="U10" s="125">
        <f t="shared" si="0"/>
        <v>47267.600000000006</v>
      </c>
      <c r="V10" s="126" t="e">
        <f t="shared" si="7"/>
        <v>#DIV/0!</v>
      </c>
      <c r="W10" s="73"/>
      <c r="X10" s="74">
        <f t="shared" si="1"/>
        <v>0</v>
      </c>
      <c r="Y10" s="75">
        <f t="shared" si="2"/>
        <v>0</v>
      </c>
    </row>
    <row r="11" spans="1:25" x14ac:dyDescent="0.25">
      <c r="A11" s="6">
        <v>6</v>
      </c>
      <c r="B11" s="6">
        <v>2005</v>
      </c>
      <c r="C11" s="5"/>
      <c r="D11" s="5"/>
      <c r="E11" s="5"/>
      <c r="F11" s="5">
        <v>14694.5</v>
      </c>
      <c r="G11" s="5">
        <v>203592.5</v>
      </c>
      <c r="H11" s="5"/>
      <c r="I11" s="57">
        <f t="shared" si="3"/>
        <v>14694.5</v>
      </c>
      <c r="L11" s="113">
        <v>2005</v>
      </c>
      <c r="M11" s="127"/>
      <c r="N11" s="127"/>
      <c r="O11" s="125">
        <f t="shared" si="4"/>
        <v>0</v>
      </c>
      <c r="P11" s="125">
        <f t="shared" si="5"/>
        <v>0</v>
      </c>
      <c r="Q11" s="123">
        <f t="shared" si="8"/>
        <v>541.5</v>
      </c>
      <c r="R11" s="125">
        <f t="shared" si="6"/>
        <v>0</v>
      </c>
      <c r="S11" s="125">
        <f t="shared" si="6"/>
        <v>14694.5</v>
      </c>
      <c r="T11" s="125">
        <f t="shared" si="6"/>
        <v>203592.5</v>
      </c>
      <c r="U11" s="125">
        <f t="shared" si="0"/>
        <v>40718.5</v>
      </c>
      <c r="V11" s="126" t="e">
        <f t="shared" si="7"/>
        <v>#DIV/0!</v>
      </c>
      <c r="W11" s="73"/>
      <c r="X11" s="74">
        <f t="shared" si="1"/>
        <v>0</v>
      </c>
      <c r="Y11" s="75">
        <f t="shared" si="2"/>
        <v>0</v>
      </c>
    </row>
    <row r="12" spans="1:25" x14ac:dyDescent="0.25">
      <c r="A12" s="6">
        <v>7</v>
      </c>
      <c r="B12" s="3">
        <v>2006</v>
      </c>
      <c r="C12" s="4"/>
      <c r="D12" s="4"/>
      <c r="E12" s="4"/>
      <c r="F12" s="4">
        <v>16829.5</v>
      </c>
      <c r="G12" s="4">
        <v>144130.5</v>
      </c>
      <c r="H12" s="4" t="e">
        <f t="shared" ref="H12:H19" si="9">(G12*1000)/D12</f>
        <v>#DIV/0!</v>
      </c>
      <c r="I12" s="57">
        <f t="shared" si="3"/>
        <v>16829.5</v>
      </c>
      <c r="L12" s="48">
        <v>2006</v>
      </c>
      <c r="M12" s="127"/>
      <c r="N12" s="127"/>
      <c r="O12" s="125">
        <f t="shared" si="4"/>
        <v>0</v>
      </c>
      <c r="P12" s="125">
        <f t="shared" si="5"/>
        <v>0</v>
      </c>
      <c r="Q12" s="123">
        <f t="shared" si="8"/>
        <v>2135</v>
      </c>
      <c r="R12" s="125">
        <f t="shared" si="6"/>
        <v>0</v>
      </c>
      <c r="S12" s="125">
        <f t="shared" si="6"/>
        <v>16829.5</v>
      </c>
      <c r="T12" s="125">
        <f t="shared" si="6"/>
        <v>144130.5</v>
      </c>
      <c r="U12" s="125">
        <f t="shared" si="0"/>
        <v>28826.100000000002</v>
      </c>
      <c r="V12" s="126" t="e">
        <f t="shared" si="7"/>
        <v>#DIV/0!</v>
      </c>
      <c r="W12" s="73"/>
      <c r="X12" s="74">
        <f t="shared" si="1"/>
        <v>0</v>
      </c>
      <c r="Y12" s="75">
        <f t="shared" si="2"/>
        <v>0</v>
      </c>
    </row>
    <row r="13" spans="1:25" x14ac:dyDescent="0.25">
      <c r="A13" s="6">
        <v>8</v>
      </c>
      <c r="B13" s="3">
        <v>2007</v>
      </c>
      <c r="C13" s="4"/>
      <c r="D13" s="4"/>
      <c r="E13" s="4"/>
      <c r="F13" s="4">
        <v>24075</v>
      </c>
      <c r="G13" s="4">
        <v>197227.5</v>
      </c>
      <c r="H13" s="4" t="e">
        <f t="shared" si="9"/>
        <v>#DIV/0!</v>
      </c>
      <c r="I13" s="57">
        <f t="shared" si="3"/>
        <v>24075</v>
      </c>
      <c r="L13" s="48">
        <v>2007</v>
      </c>
      <c r="M13" s="127"/>
      <c r="N13" s="127"/>
      <c r="O13" s="125">
        <f t="shared" ref="O13:O22" si="10">C13</f>
        <v>0</v>
      </c>
      <c r="P13" s="125">
        <f t="shared" si="5"/>
        <v>0</v>
      </c>
      <c r="Q13" s="123">
        <f t="shared" si="8"/>
        <v>7245.5</v>
      </c>
      <c r="R13" s="125">
        <f t="shared" si="6"/>
        <v>0</v>
      </c>
      <c r="S13" s="125">
        <f t="shared" si="6"/>
        <v>24075</v>
      </c>
      <c r="T13" s="125">
        <f t="shared" si="6"/>
        <v>197227.5</v>
      </c>
      <c r="U13" s="125">
        <f t="shared" si="0"/>
        <v>39445.5</v>
      </c>
      <c r="V13" s="126" t="e">
        <f t="shared" si="7"/>
        <v>#DIV/0!</v>
      </c>
      <c r="W13" s="73"/>
      <c r="X13" s="74">
        <f t="shared" si="1"/>
        <v>0</v>
      </c>
      <c r="Y13" s="75">
        <f t="shared" si="2"/>
        <v>0</v>
      </c>
    </row>
    <row r="14" spans="1:25" x14ac:dyDescent="0.25">
      <c r="A14" s="6">
        <v>9</v>
      </c>
      <c r="B14" s="3">
        <v>2008</v>
      </c>
      <c r="C14" s="4"/>
      <c r="D14" s="24"/>
      <c r="E14" s="24"/>
      <c r="F14" s="24">
        <v>28954</v>
      </c>
      <c r="G14" s="24">
        <v>218018.5</v>
      </c>
      <c r="H14" s="24" t="e">
        <f t="shared" si="9"/>
        <v>#DIV/0!</v>
      </c>
      <c r="I14" s="57">
        <f t="shared" si="3"/>
        <v>28954</v>
      </c>
      <c r="L14" s="48">
        <v>2008</v>
      </c>
      <c r="M14" s="127"/>
      <c r="N14" s="127"/>
      <c r="O14" s="125">
        <f t="shared" si="10"/>
        <v>0</v>
      </c>
      <c r="P14" s="125">
        <f t="shared" si="5"/>
        <v>0</v>
      </c>
      <c r="Q14" s="123">
        <f t="shared" si="8"/>
        <v>4879</v>
      </c>
      <c r="R14" s="125">
        <f t="shared" si="6"/>
        <v>0</v>
      </c>
      <c r="S14" s="125">
        <f t="shared" si="6"/>
        <v>28954</v>
      </c>
      <c r="T14" s="125">
        <f t="shared" si="6"/>
        <v>218018.5</v>
      </c>
      <c r="U14" s="125">
        <f t="shared" si="0"/>
        <v>43603.700000000004</v>
      </c>
      <c r="V14" s="126" t="e">
        <f t="shared" si="7"/>
        <v>#DIV/0!</v>
      </c>
      <c r="W14" s="73"/>
      <c r="X14" s="74">
        <f t="shared" si="1"/>
        <v>0</v>
      </c>
      <c r="Y14" s="75">
        <f t="shared" si="2"/>
        <v>0</v>
      </c>
    </row>
    <row r="15" spans="1:25" x14ac:dyDescent="0.25">
      <c r="A15" s="6">
        <v>10</v>
      </c>
      <c r="B15" s="3">
        <v>2009</v>
      </c>
      <c r="C15" s="4"/>
      <c r="D15" s="24"/>
      <c r="E15" s="24"/>
      <c r="F15" s="24">
        <v>37542.5</v>
      </c>
      <c r="G15" s="24">
        <v>236409</v>
      </c>
      <c r="H15" s="24" t="e">
        <f t="shared" si="9"/>
        <v>#DIV/0!</v>
      </c>
      <c r="I15" s="57">
        <f t="shared" si="3"/>
        <v>37542.5</v>
      </c>
      <c r="L15" s="48">
        <v>2009</v>
      </c>
      <c r="M15" s="127"/>
      <c r="N15" s="127"/>
      <c r="O15" s="125">
        <f t="shared" si="10"/>
        <v>0</v>
      </c>
      <c r="P15" s="125">
        <f t="shared" si="5"/>
        <v>0</v>
      </c>
      <c r="Q15" s="123">
        <f>S15-S14</f>
        <v>8588.5</v>
      </c>
      <c r="R15" s="125">
        <f t="shared" si="6"/>
        <v>0</v>
      </c>
      <c r="S15" s="125">
        <f t="shared" si="6"/>
        <v>37542.5</v>
      </c>
      <c r="T15" s="125">
        <f t="shared" si="6"/>
        <v>236409</v>
      </c>
      <c r="U15" s="125">
        <f t="shared" si="0"/>
        <v>47281.8</v>
      </c>
      <c r="V15" s="126" t="e">
        <f t="shared" si="7"/>
        <v>#DIV/0!</v>
      </c>
      <c r="W15" s="73"/>
      <c r="X15" s="74">
        <f t="shared" si="1"/>
        <v>0</v>
      </c>
      <c r="Y15" s="75">
        <f t="shared" si="2"/>
        <v>0</v>
      </c>
    </row>
    <row r="16" spans="1:25" x14ac:dyDescent="0.25">
      <c r="A16" s="6">
        <v>11</v>
      </c>
      <c r="B16" s="3">
        <v>2010</v>
      </c>
      <c r="C16" s="4">
        <v>22869</v>
      </c>
      <c r="D16" s="24">
        <v>18516</v>
      </c>
      <c r="E16" s="24">
        <v>29</v>
      </c>
      <c r="F16" s="24">
        <f t="shared" ref="F16:F19" si="11">SUM(C16:E16)</f>
        <v>41414</v>
      </c>
      <c r="G16" s="24">
        <v>341863</v>
      </c>
      <c r="H16" s="24">
        <f t="shared" si="9"/>
        <v>18463.112983365736</v>
      </c>
      <c r="I16" s="57">
        <f t="shared" si="3"/>
        <v>41414</v>
      </c>
      <c r="L16" s="48">
        <v>2010</v>
      </c>
      <c r="M16" s="127"/>
      <c r="N16" s="127"/>
      <c r="O16" s="125">
        <f t="shared" si="10"/>
        <v>22869</v>
      </c>
      <c r="P16" s="125">
        <f t="shared" si="5"/>
        <v>18516</v>
      </c>
      <c r="Q16" s="123">
        <f t="shared" ref="Q16:Q21" si="12">S16-S15</f>
        <v>3871.5</v>
      </c>
      <c r="R16" s="125">
        <f t="shared" si="6"/>
        <v>29</v>
      </c>
      <c r="S16" s="125">
        <f t="shared" si="6"/>
        <v>41414</v>
      </c>
      <c r="T16" s="125">
        <f t="shared" si="6"/>
        <v>341863</v>
      </c>
      <c r="U16" s="125">
        <f t="shared" si="0"/>
        <v>68372.600000000006</v>
      </c>
      <c r="V16" s="126">
        <f t="shared" si="7"/>
        <v>18.463112983365736</v>
      </c>
      <c r="W16" s="73"/>
      <c r="X16" s="74">
        <f t="shared" si="1"/>
        <v>0</v>
      </c>
      <c r="Y16" s="75">
        <f t="shared" si="2"/>
        <v>0</v>
      </c>
    </row>
    <row r="17" spans="1:25" x14ac:dyDescent="0.25">
      <c r="A17" s="6">
        <v>12</v>
      </c>
      <c r="B17" s="3">
        <v>2011</v>
      </c>
      <c r="C17" s="4">
        <v>33389</v>
      </c>
      <c r="D17" s="24">
        <v>23078</v>
      </c>
      <c r="E17" s="24">
        <v>60</v>
      </c>
      <c r="F17" s="24">
        <f t="shared" si="11"/>
        <v>56527</v>
      </c>
      <c r="G17" s="24">
        <v>513640</v>
      </c>
      <c r="H17" s="24">
        <f t="shared" si="9"/>
        <v>22256.694687581246</v>
      </c>
      <c r="I17" s="57">
        <f t="shared" si="3"/>
        <v>56527</v>
      </c>
      <c r="L17" s="48">
        <v>2011</v>
      </c>
      <c r="M17" s="127"/>
      <c r="N17" s="127"/>
      <c r="O17" s="125">
        <f t="shared" si="10"/>
        <v>33389</v>
      </c>
      <c r="P17" s="125">
        <f t="shared" si="5"/>
        <v>23078</v>
      </c>
      <c r="Q17" s="123">
        <f t="shared" si="12"/>
        <v>15113</v>
      </c>
      <c r="R17" s="125">
        <f t="shared" si="6"/>
        <v>60</v>
      </c>
      <c r="S17" s="125">
        <f t="shared" si="6"/>
        <v>56527</v>
      </c>
      <c r="T17" s="125">
        <f t="shared" si="6"/>
        <v>513640</v>
      </c>
      <c r="U17" s="125">
        <f t="shared" si="0"/>
        <v>102728</v>
      </c>
      <c r="V17" s="126">
        <f t="shared" si="7"/>
        <v>22.256694687581245</v>
      </c>
      <c r="W17" s="73"/>
      <c r="X17" s="74">
        <f t="shared" si="1"/>
        <v>0</v>
      </c>
      <c r="Y17" s="75">
        <f t="shared" si="2"/>
        <v>0</v>
      </c>
    </row>
    <row r="18" spans="1:25" x14ac:dyDescent="0.25">
      <c r="A18" s="6">
        <v>13</v>
      </c>
      <c r="B18" s="3">
        <v>2012</v>
      </c>
      <c r="C18" s="4">
        <v>20562</v>
      </c>
      <c r="D18" s="24">
        <v>27977</v>
      </c>
      <c r="E18" s="24">
        <v>56</v>
      </c>
      <c r="F18" s="24">
        <f t="shared" si="11"/>
        <v>48595</v>
      </c>
      <c r="G18" s="24">
        <v>471882</v>
      </c>
      <c r="H18" s="24">
        <f t="shared" si="9"/>
        <v>16866.78342924545</v>
      </c>
      <c r="I18" s="57">
        <f t="shared" si="3"/>
        <v>48595</v>
      </c>
      <c r="L18" s="48">
        <v>2012</v>
      </c>
      <c r="M18" s="127"/>
      <c r="N18" s="127"/>
      <c r="O18" s="125">
        <f t="shared" si="10"/>
        <v>20562</v>
      </c>
      <c r="P18" s="125">
        <f t="shared" si="5"/>
        <v>27977</v>
      </c>
      <c r="Q18" s="123">
        <f t="shared" si="12"/>
        <v>-7932</v>
      </c>
      <c r="R18" s="125">
        <f t="shared" si="6"/>
        <v>56</v>
      </c>
      <c r="S18" s="125">
        <f t="shared" si="6"/>
        <v>48595</v>
      </c>
      <c r="T18" s="125">
        <f t="shared" si="6"/>
        <v>471882</v>
      </c>
      <c r="U18" s="125">
        <f t="shared" si="0"/>
        <v>94376.400000000009</v>
      </c>
      <c r="V18" s="126">
        <f t="shared" si="7"/>
        <v>16.866783429245451</v>
      </c>
      <c r="W18" s="73"/>
      <c r="X18" s="74">
        <f t="shared" si="1"/>
        <v>0</v>
      </c>
      <c r="Y18" s="75">
        <f t="shared" si="2"/>
        <v>0</v>
      </c>
    </row>
    <row r="19" spans="1:25" x14ac:dyDescent="0.25">
      <c r="A19" s="6">
        <v>14</v>
      </c>
      <c r="B19" s="3">
        <v>2013</v>
      </c>
      <c r="C19" s="4">
        <v>14365</v>
      </c>
      <c r="D19" s="24">
        <v>34334</v>
      </c>
      <c r="E19" s="24">
        <v>0</v>
      </c>
      <c r="F19" s="24">
        <f t="shared" si="11"/>
        <v>48699</v>
      </c>
      <c r="G19" s="24">
        <v>367266</v>
      </c>
      <c r="H19" s="24">
        <f t="shared" si="9"/>
        <v>10696.860255140677</v>
      </c>
      <c r="I19" s="57">
        <f t="shared" si="3"/>
        <v>48699</v>
      </c>
      <c r="L19" s="48">
        <v>2013</v>
      </c>
      <c r="M19" s="127"/>
      <c r="N19" s="127"/>
      <c r="O19" s="125">
        <f t="shared" si="10"/>
        <v>14365</v>
      </c>
      <c r="P19" s="125">
        <f t="shared" si="5"/>
        <v>34334</v>
      </c>
      <c r="Q19" s="123">
        <f t="shared" si="12"/>
        <v>104</v>
      </c>
      <c r="R19" s="125">
        <f t="shared" si="6"/>
        <v>0</v>
      </c>
      <c r="S19" s="125">
        <f t="shared" si="6"/>
        <v>48699</v>
      </c>
      <c r="T19" s="125">
        <f t="shared" si="6"/>
        <v>367266</v>
      </c>
      <c r="U19" s="125">
        <f t="shared" si="0"/>
        <v>73453.2</v>
      </c>
      <c r="V19" s="126">
        <f t="shared" si="7"/>
        <v>10.696860255140678</v>
      </c>
      <c r="W19" s="73"/>
      <c r="X19" s="74">
        <f t="shared" si="1"/>
        <v>0</v>
      </c>
      <c r="Y19" s="75">
        <f t="shared" si="2"/>
        <v>0</v>
      </c>
    </row>
    <row r="20" spans="1:25" x14ac:dyDescent="0.25">
      <c r="A20" s="6">
        <v>15</v>
      </c>
      <c r="B20" s="3">
        <v>2014</v>
      </c>
      <c r="C20" s="4">
        <v>13720</v>
      </c>
      <c r="D20" s="24">
        <v>34720</v>
      </c>
      <c r="E20" s="24">
        <v>0</v>
      </c>
      <c r="F20" s="24">
        <f t="shared" ref="F20:F22" si="13">SUM(C20:E20)</f>
        <v>48440</v>
      </c>
      <c r="G20" s="24">
        <v>444662</v>
      </c>
      <c r="H20" s="24">
        <f>(G20*1000)/D20</f>
        <v>12807.085253456222</v>
      </c>
      <c r="I20" s="57">
        <f t="shared" si="3"/>
        <v>48440</v>
      </c>
      <c r="L20" s="48">
        <v>2014</v>
      </c>
      <c r="M20" s="127"/>
      <c r="N20" s="127"/>
      <c r="O20" s="125">
        <f t="shared" si="10"/>
        <v>13720</v>
      </c>
      <c r="P20" s="125">
        <f t="shared" si="5"/>
        <v>34720</v>
      </c>
      <c r="Q20" s="123">
        <f t="shared" si="12"/>
        <v>-259</v>
      </c>
      <c r="R20" s="125">
        <f t="shared" si="6"/>
        <v>0</v>
      </c>
      <c r="S20" s="125">
        <f t="shared" si="6"/>
        <v>48440</v>
      </c>
      <c r="T20" s="125">
        <f t="shared" si="6"/>
        <v>444662</v>
      </c>
      <c r="U20" s="125">
        <f t="shared" si="0"/>
        <v>88932.400000000009</v>
      </c>
      <c r="V20" s="126">
        <f t="shared" si="7"/>
        <v>12.807085253456222</v>
      </c>
      <c r="W20" s="73"/>
      <c r="X20" s="74">
        <f t="shared" si="1"/>
        <v>0</v>
      </c>
      <c r="Y20" s="75">
        <f t="shared" si="2"/>
        <v>0</v>
      </c>
    </row>
    <row r="21" spans="1:25" x14ac:dyDescent="0.25">
      <c r="A21" s="6">
        <v>16</v>
      </c>
      <c r="B21" s="3">
        <v>2015</v>
      </c>
      <c r="C21" s="4"/>
      <c r="D21" s="24"/>
      <c r="E21" s="24"/>
      <c r="F21" s="24">
        <v>48865</v>
      </c>
      <c r="G21" s="19">
        <v>462616</v>
      </c>
      <c r="H21" s="24" t="e">
        <f t="shared" ref="H21:H23" si="14">(G21*1000)/D21</f>
        <v>#DIV/0!</v>
      </c>
      <c r="I21" s="57">
        <f t="shared" si="3"/>
        <v>48865</v>
      </c>
      <c r="L21" s="48">
        <v>2015</v>
      </c>
      <c r="M21" s="127"/>
      <c r="N21" s="127"/>
      <c r="O21" s="125">
        <f t="shared" si="10"/>
        <v>0</v>
      </c>
      <c r="P21" s="125">
        <f t="shared" si="5"/>
        <v>0</v>
      </c>
      <c r="Q21" s="123">
        <f t="shared" si="12"/>
        <v>425</v>
      </c>
      <c r="R21" s="125">
        <f t="shared" si="6"/>
        <v>0</v>
      </c>
      <c r="S21" s="125">
        <f t="shared" si="6"/>
        <v>48865</v>
      </c>
      <c r="T21" s="125">
        <f t="shared" si="6"/>
        <v>462616</v>
      </c>
      <c r="U21" s="125">
        <f t="shared" si="0"/>
        <v>92523.200000000012</v>
      </c>
      <c r="V21" s="126" t="e">
        <f t="shared" si="7"/>
        <v>#DIV/0!</v>
      </c>
      <c r="W21" s="73"/>
      <c r="X21" s="74">
        <f t="shared" si="1"/>
        <v>0</v>
      </c>
      <c r="Y21" s="75">
        <f t="shared" si="2"/>
        <v>0</v>
      </c>
    </row>
    <row r="22" spans="1:25" x14ac:dyDescent="0.25">
      <c r="A22" s="6">
        <v>17</v>
      </c>
      <c r="B22" s="3">
        <v>2016</v>
      </c>
      <c r="C22" s="4">
        <v>7396</v>
      </c>
      <c r="D22" s="24">
        <v>39766</v>
      </c>
      <c r="E22" s="24"/>
      <c r="F22" s="24">
        <f t="shared" si="13"/>
        <v>47162</v>
      </c>
      <c r="G22" s="24">
        <v>453259</v>
      </c>
      <c r="H22" s="24">
        <f t="shared" si="14"/>
        <v>11398.154202082182</v>
      </c>
      <c r="I22" s="61">
        <f>I21*1.0098</f>
        <v>49343.877</v>
      </c>
      <c r="L22" s="48">
        <v>2016</v>
      </c>
      <c r="N22" s="124"/>
      <c r="O22" s="125">
        <f t="shared" si="10"/>
        <v>7396</v>
      </c>
      <c r="P22" s="125">
        <f t="shared" si="5"/>
        <v>39766</v>
      </c>
      <c r="Q22" s="123">
        <f t="shared" ref="Q22:Q36" si="15">S22-S21</f>
        <v>-1703</v>
      </c>
      <c r="R22" s="125">
        <f t="shared" si="6"/>
        <v>0</v>
      </c>
      <c r="S22" s="125">
        <f t="shared" si="6"/>
        <v>47162</v>
      </c>
      <c r="T22" s="125">
        <f t="shared" si="6"/>
        <v>453259</v>
      </c>
      <c r="U22" s="125">
        <f t="shared" si="0"/>
        <v>90651.8</v>
      </c>
      <c r="V22" s="126">
        <f t="shared" si="7"/>
        <v>11.39815420208218</v>
      </c>
      <c r="W22" s="127"/>
      <c r="X22" s="125">
        <f t="shared" si="1"/>
        <v>0</v>
      </c>
      <c r="Y22" s="123">
        <f>T22*$F$50</f>
        <v>0</v>
      </c>
    </row>
    <row r="23" spans="1:25" x14ac:dyDescent="0.25">
      <c r="A23" s="6">
        <v>18</v>
      </c>
      <c r="B23" s="3">
        <v>2017</v>
      </c>
      <c r="C23" s="4"/>
      <c r="D23" s="24"/>
      <c r="E23" s="24"/>
      <c r="F23" s="37">
        <f>S23</f>
        <v>46091</v>
      </c>
      <c r="G23" s="24">
        <f>T23</f>
        <v>777617.89</v>
      </c>
      <c r="H23" s="24" t="e">
        <f t="shared" si="14"/>
        <v>#DIV/0!</v>
      </c>
      <c r="I23" s="61">
        <f t="shared" ref="I23:I35" si="16">I22*1.0098</f>
        <v>49827.446994600003</v>
      </c>
      <c r="L23" s="48">
        <v>2017</v>
      </c>
      <c r="M23" s="123">
        <f>O22-$R$46</f>
        <v>5547</v>
      </c>
      <c r="N23" s="129">
        <f>R39</f>
        <v>-1071</v>
      </c>
      <c r="O23" s="86">
        <f>M23+N23</f>
        <v>4476</v>
      </c>
      <c r="P23" s="86">
        <f>P22+$R$46</f>
        <v>41615</v>
      </c>
      <c r="Q23" s="111">
        <f t="shared" si="15"/>
        <v>-1071</v>
      </c>
      <c r="R23" s="86">
        <v>0</v>
      </c>
      <c r="S23" s="86">
        <f>O23+P23+R23</f>
        <v>46091</v>
      </c>
      <c r="T23" s="86">
        <f>P23*V23</f>
        <v>777617.89</v>
      </c>
      <c r="U23" s="86">
        <f t="shared" si="0"/>
        <v>155523.57800000001</v>
      </c>
      <c r="V23" s="99">
        <v>18.686</v>
      </c>
      <c r="W23" s="85"/>
      <c r="X23" s="86">
        <f t="shared" ref="X23:X34" si="17">T23*($P$52+$P$53+$P$54)</f>
        <v>221621.09865000003</v>
      </c>
      <c r="Y23" s="111">
        <f>T23*$P$51</f>
        <v>521003.98630000005</v>
      </c>
    </row>
    <row r="24" spans="1:25" x14ac:dyDescent="0.25">
      <c r="A24" s="21">
        <v>19</v>
      </c>
      <c r="B24" s="3">
        <v>2018</v>
      </c>
      <c r="C24" s="4"/>
      <c r="D24" s="4"/>
      <c r="E24" s="4"/>
      <c r="F24" s="37">
        <f t="shared" ref="F24:F36" si="18">S24</f>
        <v>45020</v>
      </c>
      <c r="G24" s="24">
        <f t="shared" ref="G24:G36" si="19">T24</f>
        <v>828945.40799999994</v>
      </c>
      <c r="H24" s="4"/>
      <c r="I24" s="61">
        <f t="shared" si="16"/>
        <v>50315.755975147084</v>
      </c>
      <c r="L24" s="48">
        <v>2018</v>
      </c>
      <c r="M24" s="123">
        <f>M23-$R$46</f>
        <v>3698</v>
      </c>
      <c r="N24" s="129">
        <f t="shared" ref="N24:N31" si="20">N23</f>
        <v>-1071</v>
      </c>
      <c r="O24" s="86">
        <f>M24+N24</f>
        <v>2627</v>
      </c>
      <c r="P24" s="86">
        <f t="shared" ref="P24:P26" si="21">P23+$R$46</f>
        <v>43464</v>
      </c>
      <c r="Q24" s="111">
        <f t="shared" si="15"/>
        <v>-1071</v>
      </c>
      <c r="R24" s="86">
        <f t="shared" ref="R24:R36" si="22">R23</f>
        <v>0</v>
      </c>
      <c r="S24" s="86">
        <f>S23+N24</f>
        <v>45020</v>
      </c>
      <c r="T24" s="86">
        <f t="shared" ref="T24:T35" si="23">P24*V24</f>
        <v>828945.40799999994</v>
      </c>
      <c r="U24" s="86">
        <f t="shared" si="0"/>
        <v>165789.0816</v>
      </c>
      <c r="V24" s="99">
        <v>19.071999999999999</v>
      </c>
      <c r="W24" s="85"/>
      <c r="X24" s="86">
        <f t="shared" si="17"/>
        <v>236249.44128</v>
      </c>
      <c r="Y24" s="111">
        <f t="shared" ref="Y24:Y35" si="24">T24*$P$51</f>
        <v>555393.42336000002</v>
      </c>
    </row>
    <row r="25" spans="1:25" x14ac:dyDescent="0.25">
      <c r="A25" s="21">
        <v>20</v>
      </c>
      <c r="B25" s="3">
        <v>2019</v>
      </c>
      <c r="C25" s="4"/>
      <c r="D25" s="4"/>
      <c r="E25" s="4"/>
      <c r="F25" s="37">
        <f t="shared" si="18"/>
        <v>43949</v>
      </c>
      <c r="G25" s="24">
        <f t="shared" si="19"/>
        <v>881700.35399999993</v>
      </c>
      <c r="H25" s="4"/>
      <c r="I25" s="61">
        <f t="shared" si="16"/>
        <v>50808.850383703524</v>
      </c>
      <c r="L25" s="48">
        <v>2019</v>
      </c>
      <c r="M25" s="123">
        <f t="shared" ref="M25:M26" si="25">M24-$R$46</f>
        <v>1849</v>
      </c>
      <c r="N25" s="129">
        <f t="shared" si="20"/>
        <v>-1071</v>
      </c>
      <c r="O25" s="86">
        <f>M25+N25</f>
        <v>778</v>
      </c>
      <c r="P25" s="86">
        <f t="shared" si="21"/>
        <v>45313</v>
      </c>
      <c r="Q25" s="111">
        <f t="shared" si="15"/>
        <v>-1071</v>
      </c>
      <c r="R25" s="86">
        <f t="shared" si="22"/>
        <v>0</v>
      </c>
      <c r="S25" s="86">
        <f t="shared" ref="S25:S35" si="26">S24+N25</f>
        <v>43949</v>
      </c>
      <c r="T25" s="86">
        <f t="shared" si="23"/>
        <v>881700.35399999993</v>
      </c>
      <c r="U25" s="86">
        <f t="shared" si="0"/>
        <v>176340.07079999999</v>
      </c>
      <c r="V25" s="99">
        <v>19.457999999999998</v>
      </c>
      <c r="W25" s="85"/>
      <c r="X25" s="86">
        <f t="shared" si="17"/>
        <v>251284.60089</v>
      </c>
      <c r="Y25" s="111">
        <f t="shared" si="24"/>
        <v>590739.23717999994</v>
      </c>
    </row>
    <row r="26" spans="1:25" x14ac:dyDescent="0.25">
      <c r="A26" s="21">
        <v>21</v>
      </c>
      <c r="B26" s="3">
        <v>2020</v>
      </c>
      <c r="C26" s="4"/>
      <c r="D26" s="4"/>
      <c r="E26" s="4"/>
      <c r="F26" s="37">
        <f t="shared" si="18"/>
        <v>42878</v>
      </c>
      <c r="G26" s="24">
        <f t="shared" si="19"/>
        <v>935882.72799999989</v>
      </c>
      <c r="H26" s="4"/>
      <c r="I26" s="61">
        <f t="shared" si="16"/>
        <v>51306.777117463818</v>
      </c>
      <c r="L26" s="150">
        <v>2020</v>
      </c>
      <c r="M26" s="123">
        <f t="shared" si="25"/>
        <v>0</v>
      </c>
      <c r="N26" s="132">
        <f t="shared" si="20"/>
        <v>-1071</v>
      </c>
      <c r="O26" s="133">
        <f>O25-$R$46+N26</f>
        <v>-2142</v>
      </c>
      <c r="P26" s="133">
        <f t="shared" si="21"/>
        <v>47162</v>
      </c>
      <c r="Q26" s="131">
        <f t="shared" si="15"/>
        <v>-1071</v>
      </c>
      <c r="R26" s="133">
        <f t="shared" si="22"/>
        <v>0</v>
      </c>
      <c r="S26" s="133">
        <f t="shared" si="26"/>
        <v>42878</v>
      </c>
      <c r="T26" s="133">
        <f t="shared" si="23"/>
        <v>935882.72799999989</v>
      </c>
      <c r="U26" s="133">
        <f t="shared" si="0"/>
        <v>187176.54559999998</v>
      </c>
      <c r="V26" s="120">
        <v>19.843999999999998</v>
      </c>
      <c r="W26" s="134"/>
      <c r="X26" s="133">
        <f t="shared" si="17"/>
        <v>266726.57747999998</v>
      </c>
      <c r="Y26" s="131">
        <f t="shared" si="24"/>
        <v>627041.42775999999</v>
      </c>
    </row>
    <row r="27" spans="1:25" x14ac:dyDescent="0.25">
      <c r="A27" s="21">
        <v>22</v>
      </c>
      <c r="B27" s="3">
        <v>2021</v>
      </c>
      <c r="C27" s="4"/>
      <c r="D27" s="4"/>
      <c r="E27" s="4"/>
      <c r="F27" s="37">
        <f t="shared" si="18"/>
        <v>41807</v>
      </c>
      <c r="G27" s="24">
        <f t="shared" si="19"/>
        <v>932420.92999999982</v>
      </c>
      <c r="H27" s="4"/>
      <c r="I27" s="61">
        <f t="shared" si="16"/>
        <v>51809.583533214965</v>
      </c>
      <c r="L27" s="48">
        <v>2021</v>
      </c>
      <c r="M27" s="85"/>
      <c r="N27" s="129">
        <f t="shared" si="20"/>
        <v>-1071</v>
      </c>
      <c r="O27" s="86">
        <f t="shared" ref="O27:O28" si="27">O26-$R$46+N27</f>
        <v>-5062</v>
      </c>
      <c r="P27" s="86">
        <f>P26+N23</f>
        <v>46091</v>
      </c>
      <c r="Q27" s="111">
        <f t="shared" si="15"/>
        <v>-1071</v>
      </c>
      <c r="R27" s="86">
        <f t="shared" si="22"/>
        <v>0</v>
      </c>
      <c r="S27" s="86">
        <f t="shared" si="26"/>
        <v>41807</v>
      </c>
      <c r="T27" s="86">
        <f t="shared" si="23"/>
        <v>932420.92999999982</v>
      </c>
      <c r="U27" s="86">
        <f t="shared" si="0"/>
        <v>186484.18599999999</v>
      </c>
      <c r="V27" s="99">
        <v>20.229999999999997</v>
      </c>
      <c r="W27" s="85"/>
      <c r="X27" s="86">
        <f t="shared" si="17"/>
        <v>265739.96505</v>
      </c>
      <c r="Y27" s="111">
        <f t="shared" si="24"/>
        <v>624722.02309999987</v>
      </c>
    </row>
    <row r="28" spans="1:25" x14ac:dyDescent="0.25">
      <c r="A28" s="21">
        <v>23</v>
      </c>
      <c r="B28" s="3">
        <v>2022</v>
      </c>
      <c r="C28" s="4"/>
      <c r="D28" s="4"/>
      <c r="E28" s="4"/>
      <c r="F28" s="37">
        <f t="shared" si="18"/>
        <v>40736</v>
      </c>
      <c r="G28" s="24">
        <f t="shared" si="19"/>
        <v>928132.31999999983</v>
      </c>
      <c r="H28" s="4"/>
      <c r="I28" s="61">
        <f t="shared" si="16"/>
        <v>52317.31745184047</v>
      </c>
      <c r="L28" s="48">
        <v>2022</v>
      </c>
      <c r="M28" s="85"/>
      <c r="N28" s="129">
        <f t="shared" si="20"/>
        <v>-1071</v>
      </c>
      <c r="O28" s="86">
        <f t="shared" si="27"/>
        <v>-7982</v>
      </c>
      <c r="P28" s="86">
        <f t="shared" ref="P28:P36" si="28">P27+N24</f>
        <v>45020</v>
      </c>
      <c r="Q28" s="111">
        <f t="shared" si="15"/>
        <v>-1071</v>
      </c>
      <c r="R28" s="86">
        <f t="shared" si="22"/>
        <v>0</v>
      </c>
      <c r="S28" s="86">
        <f t="shared" si="26"/>
        <v>40736</v>
      </c>
      <c r="T28" s="86">
        <f t="shared" si="23"/>
        <v>928132.31999999983</v>
      </c>
      <c r="U28" s="86">
        <f t="shared" si="0"/>
        <v>185626.46399999998</v>
      </c>
      <c r="V28" s="99">
        <v>20.615999999999996</v>
      </c>
      <c r="W28" s="85"/>
      <c r="X28" s="86">
        <f t="shared" si="17"/>
        <v>264517.71119999996</v>
      </c>
      <c r="Y28" s="111">
        <f t="shared" si="24"/>
        <v>621848.65439999988</v>
      </c>
    </row>
    <row r="29" spans="1:25" x14ac:dyDescent="0.25">
      <c r="A29" s="21">
        <v>24</v>
      </c>
      <c r="B29" s="3">
        <v>2023</v>
      </c>
      <c r="C29" s="4"/>
      <c r="D29" s="4"/>
      <c r="E29" s="4"/>
      <c r="F29" s="37">
        <f t="shared" si="18"/>
        <v>39665</v>
      </c>
      <c r="G29" s="24">
        <f t="shared" si="19"/>
        <v>923016.89799999981</v>
      </c>
      <c r="H29" s="4"/>
      <c r="I29" s="61">
        <f t="shared" si="16"/>
        <v>52830.027162868508</v>
      </c>
      <c r="L29" s="48">
        <v>2023</v>
      </c>
      <c r="M29" s="85"/>
      <c r="N29" s="129">
        <f t="shared" si="20"/>
        <v>-1071</v>
      </c>
      <c r="O29" s="86"/>
      <c r="P29" s="86">
        <f t="shared" si="28"/>
        <v>43949</v>
      </c>
      <c r="Q29" s="111">
        <f t="shared" si="15"/>
        <v>-1071</v>
      </c>
      <c r="R29" s="86">
        <f t="shared" si="22"/>
        <v>0</v>
      </c>
      <c r="S29" s="86">
        <f t="shared" si="26"/>
        <v>39665</v>
      </c>
      <c r="T29" s="86">
        <f t="shared" si="23"/>
        <v>923016.89799999981</v>
      </c>
      <c r="U29" s="86">
        <f t="shared" si="0"/>
        <v>184603.37959999999</v>
      </c>
      <c r="V29" s="99">
        <v>21.001999999999995</v>
      </c>
      <c r="W29" s="85"/>
      <c r="X29" s="86">
        <f t="shared" si="17"/>
        <v>263059.81592999998</v>
      </c>
      <c r="Y29" s="111">
        <f t="shared" si="24"/>
        <v>618421.3216599999</v>
      </c>
    </row>
    <row r="30" spans="1:25" x14ac:dyDescent="0.25">
      <c r="A30" s="21">
        <v>25</v>
      </c>
      <c r="B30" s="3">
        <v>2024</v>
      </c>
      <c r="C30" s="4"/>
      <c r="D30" s="4"/>
      <c r="E30" s="4"/>
      <c r="F30" s="37">
        <f t="shared" si="18"/>
        <v>38594</v>
      </c>
      <c r="G30" s="24">
        <f t="shared" si="19"/>
        <v>917074.66399999976</v>
      </c>
      <c r="H30" s="4"/>
      <c r="I30" s="61">
        <f t="shared" si="16"/>
        <v>53347.761429064623</v>
      </c>
      <c r="L30" s="48">
        <v>2024</v>
      </c>
      <c r="M30" s="85"/>
      <c r="N30" s="129">
        <f t="shared" si="20"/>
        <v>-1071</v>
      </c>
      <c r="O30" s="86"/>
      <c r="P30" s="86">
        <f t="shared" si="28"/>
        <v>42878</v>
      </c>
      <c r="Q30" s="111">
        <f t="shared" si="15"/>
        <v>-1071</v>
      </c>
      <c r="R30" s="86">
        <f t="shared" si="22"/>
        <v>0</v>
      </c>
      <c r="S30" s="86">
        <f t="shared" si="26"/>
        <v>38594</v>
      </c>
      <c r="T30" s="86">
        <f t="shared" si="23"/>
        <v>917074.66399999976</v>
      </c>
      <c r="U30" s="86">
        <f t="shared" si="0"/>
        <v>183414.93279999995</v>
      </c>
      <c r="V30" s="99">
        <v>21.387999999999995</v>
      </c>
      <c r="W30" s="85"/>
      <c r="X30" s="86">
        <f t="shared" si="17"/>
        <v>261366.27923999995</v>
      </c>
      <c r="Y30" s="111">
        <f t="shared" si="24"/>
        <v>614440.02487999992</v>
      </c>
    </row>
    <row r="31" spans="1:25" x14ac:dyDescent="0.25">
      <c r="A31" s="21">
        <v>26</v>
      </c>
      <c r="B31" s="3">
        <v>2025</v>
      </c>
      <c r="C31" s="4"/>
      <c r="D31" s="4"/>
      <c r="E31" s="4"/>
      <c r="F31" s="37">
        <f t="shared" si="18"/>
        <v>37523</v>
      </c>
      <c r="G31" s="24">
        <f t="shared" si="19"/>
        <v>910305.61799999978</v>
      </c>
      <c r="H31" s="4"/>
      <c r="I31" s="61">
        <f t="shared" si="16"/>
        <v>53870.569491069458</v>
      </c>
      <c r="L31" s="48">
        <v>2025</v>
      </c>
      <c r="M31" s="85"/>
      <c r="N31" s="129">
        <f t="shared" si="20"/>
        <v>-1071</v>
      </c>
      <c r="O31" s="86"/>
      <c r="P31" s="86">
        <f t="shared" si="28"/>
        <v>41807</v>
      </c>
      <c r="Q31" s="111">
        <f t="shared" si="15"/>
        <v>-1071</v>
      </c>
      <c r="R31" s="86">
        <f t="shared" si="22"/>
        <v>0</v>
      </c>
      <c r="S31" s="86">
        <f t="shared" si="26"/>
        <v>37523</v>
      </c>
      <c r="T31" s="86">
        <f t="shared" si="23"/>
        <v>910305.61799999978</v>
      </c>
      <c r="U31" s="86">
        <f t="shared" si="0"/>
        <v>182061.12359999996</v>
      </c>
      <c r="V31" s="99">
        <v>21.773999999999994</v>
      </c>
      <c r="W31" s="85"/>
      <c r="X31" s="86">
        <f t="shared" si="17"/>
        <v>259437.10112999997</v>
      </c>
      <c r="Y31" s="111">
        <f t="shared" si="24"/>
        <v>609904.76405999984</v>
      </c>
    </row>
    <row r="32" spans="1:25" x14ac:dyDescent="0.25">
      <c r="A32" s="21">
        <v>27</v>
      </c>
      <c r="B32" s="3">
        <v>2026</v>
      </c>
      <c r="C32" s="4"/>
      <c r="D32" s="4"/>
      <c r="E32" s="4"/>
      <c r="F32" s="37">
        <f t="shared" si="18"/>
        <v>37523</v>
      </c>
      <c r="G32" s="24">
        <f t="shared" si="19"/>
        <v>902709.75999999966</v>
      </c>
      <c r="H32" s="4"/>
      <c r="I32" s="61">
        <f t="shared" si="16"/>
        <v>54398.501072081941</v>
      </c>
      <c r="L32" s="48">
        <v>2026</v>
      </c>
      <c r="M32" s="85"/>
      <c r="N32" s="129"/>
      <c r="O32" s="86"/>
      <c r="P32" s="86">
        <f t="shared" si="28"/>
        <v>40736</v>
      </c>
      <c r="Q32" s="111">
        <f t="shared" si="15"/>
        <v>0</v>
      </c>
      <c r="R32" s="86">
        <f t="shared" si="22"/>
        <v>0</v>
      </c>
      <c r="S32" s="86">
        <f t="shared" si="26"/>
        <v>37523</v>
      </c>
      <c r="T32" s="86">
        <f t="shared" si="23"/>
        <v>902709.75999999966</v>
      </c>
      <c r="U32" s="86">
        <f t="shared" si="0"/>
        <v>180541.95199999993</v>
      </c>
      <c r="V32" s="99">
        <v>22.159999999999993</v>
      </c>
      <c r="W32" s="85"/>
      <c r="X32" s="86">
        <f t="shared" si="17"/>
        <v>257272.28159999993</v>
      </c>
      <c r="Y32" s="111">
        <f t="shared" si="24"/>
        <v>604815.53919999977</v>
      </c>
    </row>
    <row r="33" spans="1:25" x14ac:dyDescent="0.25">
      <c r="A33" s="21">
        <v>28</v>
      </c>
      <c r="B33" s="3">
        <v>2027</v>
      </c>
      <c r="C33" s="4"/>
      <c r="D33" s="4"/>
      <c r="E33" s="4"/>
      <c r="F33" s="37">
        <f t="shared" si="18"/>
        <v>37523</v>
      </c>
      <c r="G33" s="24">
        <f t="shared" si="19"/>
        <v>894287.08999999973</v>
      </c>
      <c r="H33" s="4"/>
      <c r="I33" s="61">
        <f t="shared" si="16"/>
        <v>54931.606382588347</v>
      </c>
      <c r="L33" s="48">
        <v>2027</v>
      </c>
      <c r="M33" s="85"/>
      <c r="N33" s="129"/>
      <c r="O33" s="86"/>
      <c r="P33" s="86">
        <f t="shared" si="28"/>
        <v>39665</v>
      </c>
      <c r="Q33" s="111">
        <f t="shared" si="15"/>
        <v>0</v>
      </c>
      <c r="R33" s="86">
        <f t="shared" si="22"/>
        <v>0</v>
      </c>
      <c r="S33" s="86">
        <f t="shared" si="26"/>
        <v>37523</v>
      </c>
      <c r="T33" s="86">
        <f t="shared" si="23"/>
        <v>894287.08999999973</v>
      </c>
      <c r="U33" s="86">
        <f t="shared" si="0"/>
        <v>178857.41799999995</v>
      </c>
      <c r="V33" s="99">
        <v>22.545999999999992</v>
      </c>
      <c r="W33" s="85"/>
      <c r="X33" s="86">
        <f t="shared" si="17"/>
        <v>254871.82064999995</v>
      </c>
      <c r="Y33" s="111">
        <f t="shared" si="24"/>
        <v>599172.35029999982</v>
      </c>
    </row>
    <row r="34" spans="1:25" x14ac:dyDescent="0.25">
      <c r="A34" s="21">
        <v>29</v>
      </c>
      <c r="B34" s="3">
        <v>2028</v>
      </c>
      <c r="C34" s="4"/>
      <c r="D34" s="4"/>
      <c r="E34" s="4"/>
      <c r="F34" s="37">
        <f t="shared" si="18"/>
        <v>37523</v>
      </c>
      <c r="G34" s="24">
        <f t="shared" si="19"/>
        <v>885037.60799999966</v>
      </c>
      <c r="H34" s="4"/>
      <c r="I34" s="61">
        <f t="shared" si="16"/>
        <v>55469.936125137712</v>
      </c>
      <c r="L34" s="48">
        <v>2028</v>
      </c>
      <c r="M34" s="85"/>
      <c r="N34" s="129"/>
      <c r="O34" s="86"/>
      <c r="P34" s="86">
        <f t="shared" si="28"/>
        <v>38594</v>
      </c>
      <c r="Q34" s="111">
        <f t="shared" si="15"/>
        <v>0</v>
      </c>
      <c r="R34" s="86">
        <f t="shared" si="22"/>
        <v>0</v>
      </c>
      <c r="S34" s="86">
        <f t="shared" si="26"/>
        <v>37523</v>
      </c>
      <c r="T34" s="86">
        <f t="shared" si="23"/>
        <v>885037.60799999966</v>
      </c>
      <c r="U34" s="86">
        <f t="shared" si="0"/>
        <v>177007.52159999995</v>
      </c>
      <c r="V34" s="99">
        <v>22.931999999999992</v>
      </c>
      <c r="W34" s="85"/>
      <c r="X34" s="86">
        <f t="shared" si="17"/>
        <v>252235.71827999994</v>
      </c>
      <c r="Y34" s="111">
        <f t="shared" si="24"/>
        <v>592975.19735999976</v>
      </c>
    </row>
    <row r="35" spans="1:25" x14ac:dyDescent="0.25">
      <c r="A35" s="21">
        <v>30</v>
      </c>
      <c r="B35" s="3">
        <v>2029</v>
      </c>
      <c r="C35" s="4"/>
      <c r="D35" s="4"/>
      <c r="E35" s="4"/>
      <c r="F35" s="37">
        <f t="shared" si="18"/>
        <v>37523</v>
      </c>
      <c r="G35" s="24">
        <f t="shared" si="19"/>
        <v>874961.31399999966</v>
      </c>
      <c r="H35" s="4"/>
      <c r="I35" s="61">
        <f t="shared" si="16"/>
        <v>56013.541499164065</v>
      </c>
      <c r="L35" s="48">
        <v>2029</v>
      </c>
      <c r="M35" s="85"/>
      <c r="N35" s="129"/>
      <c r="O35" s="86"/>
      <c r="P35" s="86">
        <f t="shared" si="28"/>
        <v>37523</v>
      </c>
      <c r="Q35" s="111">
        <f t="shared" si="15"/>
        <v>0</v>
      </c>
      <c r="R35" s="86">
        <f t="shared" si="22"/>
        <v>0</v>
      </c>
      <c r="S35" s="86">
        <f t="shared" si="26"/>
        <v>37523</v>
      </c>
      <c r="T35" s="86">
        <f t="shared" si="23"/>
        <v>874961.31399999966</v>
      </c>
      <c r="U35" s="86">
        <f t="shared" si="0"/>
        <v>174992.26279999994</v>
      </c>
      <c r="V35" s="99">
        <v>23.317999999999991</v>
      </c>
      <c r="W35" s="130"/>
      <c r="X35" s="86">
        <f>T35*($P$52+$P$53+$P$54)</f>
        <v>249363.97448999994</v>
      </c>
      <c r="Y35" s="111">
        <f t="shared" si="24"/>
        <v>586224.08037999982</v>
      </c>
    </row>
    <row r="36" spans="1:25" x14ac:dyDescent="0.25">
      <c r="A36" s="21">
        <v>31</v>
      </c>
      <c r="B36" s="3">
        <v>2030</v>
      </c>
      <c r="C36" s="4"/>
      <c r="D36" s="4"/>
      <c r="E36" s="4"/>
      <c r="F36" s="37">
        <f t="shared" si="18"/>
        <v>37523</v>
      </c>
      <c r="G36" s="24">
        <f t="shared" si="19"/>
        <v>889445.19199999957</v>
      </c>
      <c r="H36" s="4"/>
      <c r="I36" s="61">
        <f>F36*70%</f>
        <v>26266.1</v>
      </c>
      <c r="L36" s="150">
        <v>2030</v>
      </c>
      <c r="M36" s="134"/>
      <c r="N36" s="132"/>
      <c r="O36" s="133"/>
      <c r="P36" s="133">
        <f t="shared" si="28"/>
        <v>37523</v>
      </c>
      <c r="Q36" s="131">
        <f t="shared" si="15"/>
        <v>0</v>
      </c>
      <c r="R36" s="133">
        <f t="shared" si="22"/>
        <v>0</v>
      </c>
      <c r="S36" s="133">
        <f t="shared" ref="S36" si="29">O36+P36+R36</f>
        <v>37523</v>
      </c>
      <c r="T36" s="133">
        <f>P36*V36</f>
        <v>889445.19199999957</v>
      </c>
      <c r="U36" s="133">
        <f t="shared" si="0"/>
        <v>177889.03839999993</v>
      </c>
      <c r="V36" s="120">
        <v>23.70399999999999</v>
      </c>
      <c r="W36" s="135">
        <f>((V36/V22)^(1/14)-1)</f>
        <v>5.3691229139402497E-2</v>
      </c>
      <c r="X36" s="134"/>
      <c r="Y36" s="134"/>
    </row>
    <row r="37" spans="1:25" x14ac:dyDescent="0.25">
      <c r="F37" s="43">
        <f>(F36/F22)^(1/14)-1</f>
        <v>-1.6198400663199775E-2</v>
      </c>
      <c r="I37" s="43">
        <f>(I36/I21)^(1/15)-1</f>
        <v>-4.0540797483047952E-2</v>
      </c>
      <c r="L37" s="73"/>
      <c r="M37" s="73"/>
      <c r="N37" s="73"/>
      <c r="O37" s="73"/>
      <c r="P37" s="75"/>
      <c r="Q37" s="115" t="s">
        <v>89</v>
      </c>
      <c r="R37" s="115" t="s">
        <v>90</v>
      </c>
      <c r="S37" s="115" t="s">
        <v>91</v>
      </c>
      <c r="T37" s="138">
        <v>6</v>
      </c>
      <c r="U37" s="139">
        <v>5</v>
      </c>
      <c r="V37" s="139">
        <f>T37+U37</f>
        <v>11</v>
      </c>
      <c r="W37" s="73"/>
      <c r="X37" s="73"/>
      <c r="Y37" s="73"/>
    </row>
    <row r="38" spans="1:25" x14ac:dyDescent="0.25">
      <c r="L38" s="73"/>
      <c r="M38" s="73"/>
      <c r="N38" s="73"/>
      <c r="O38" s="73"/>
      <c r="P38" s="73"/>
      <c r="Q38" s="137">
        <v>6</v>
      </c>
      <c r="R38" s="140">
        <f>(P26/6000)-Q38</f>
        <v>1.8603333333333332</v>
      </c>
      <c r="S38" s="137">
        <f>(P36/6000)-(Q38+R38)</f>
        <v>-1.6064999999999996</v>
      </c>
      <c r="T38" s="138">
        <f>SUM(Q38:S38)</f>
        <v>6.2538333333333336</v>
      </c>
      <c r="U38" s="139">
        <f>T38-V37</f>
        <v>-4.7461666666666664</v>
      </c>
      <c r="V38" s="139"/>
      <c r="W38" s="73"/>
      <c r="X38" s="73"/>
      <c r="Y38" s="73"/>
    </row>
    <row r="39" spans="1:25" x14ac:dyDescent="0.25">
      <c r="A39" s="1" t="s">
        <v>40</v>
      </c>
      <c r="B39" s="1"/>
      <c r="L39" s="73"/>
      <c r="M39" s="90" t="s">
        <v>57</v>
      </c>
      <c r="N39" s="90"/>
      <c r="O39" s="90"/>
      <c r="P39" s="73"/>
      <c r="Q39" s="73"/>
      <c r="R39" s="94">
        <f>R40/9</f>
        <v>-1071</v>
      </c>
      <c r="S39" s="88"/>
      <c r="T39" s="73"/>
      <c r="U39" s="73"/>
      <c r="V39" s="73"/>
      <c r="W39" s="73"/>
      <c r="X39" s="73"/>
      <c r="Y39" s="73"/>
    </row>
    <row r="40" spans="1:25" x14ac:dyDescent="0.25">
      <c r="A40" s="32">
        <v>1</v>
      </c>
      <c r="B40" s="1" t="s">
        <v>41</v>
      </c>
      <c r="L40" s="73"/>
      <c r="M40" s="90" t="s">
        <v>65</v>
      </c>
      <c r="N40" s="90"/>
      <c r="O40" s="90"/>
      <c r="P40" s="73"/>
      <c r="Q40" s="73"/>
      <c r="R40" s="94">
        <f>R44-R41</f>
        <v>-9639</v>
      </c>
      <c r="S40" s="88" t="s">
        <v>54</v>
      </c>
      <c r="T40" s="73"/>
      <c r="U40" s="73"/>
      <c r="V40" s="73"/>
      <c r="W40" s="73"/>
      <c r="X40" s="73"/>
      <c r="Y40" s="73"/>
    </row>
    <row r="41" spans="1:25" x14ac:dyDescent="0.25">
      <c r="A41" s="32">
        <v>2</v>
      </c>
      <c r="B41" s="1" t="s">
        <v>42</v>
      </c>
      <c r="L41" s="73"/>
      <c r="M41" s="90" t="s">
        <v>56</v>
      </c>
      <c r="N41" s="90"/>
      <c r="O41" s="90"/>
      <c r="P41" s="73"/>
      <c r="Q41" s="73"/>
      <c r="R41" s="152">
        <f>S22</f>
        <v>47162</v>
      </c>
      <c r="S41" s="88"/>
      <c r="T41" s="73"/>
      <c r="U41" s="73"/>
      <c r="V41" s="73"/>
      <c r="W41" s="73"/>
      <c r="X41" s="73"/>
      <c r="Y41" s="73"/>
    </row>
    <row r="42" spans="1:25" x14ac:dyDescent="0.25">
      <c r="L42" s="73"/>
      <c r="M42" s="91"/>
      <c r="N42" s="92"/>
      <c r="O42" s="92"/>
      <c r="P42" s="73"/>
      <c r="Q42" s="73"/>
      <c r="R42" s="73"/>
      <c r="S42" s="73"/>
      <c r="T42" s="73"/>
      <c r="U42" s="73"/>
      <c r="V42" s="73"/>
      <c r="W42" s="73"/>
      <c r="X42" s="73"/>
      <c r="Y42" s="73"/>
    </row>
    <row r="43" spans="1:25" x14ac:dyDescent="0.25">
      <c r="L43" s="73"/>
      <c r="M43" s="73" t="s">
        <v>66</v>
      </c>
      <c r="N43" s="73"/>
      <c r="O43" s="73"/>
      <c r="P43" s="73"/>
      <c r="Q43" s="73"/>
      <c r="R43" s="7">
        <v>80758</v>
      </c>
      <c r="S43" s="73" t="s">
        <v>58</v>
      </c>
      <c r="T43" s="73"/>
      <c r="U43" s="73"/>
      <c r="V43" s="73"/>
      <c r="W43" s="73"/>
      <c r="X43" s="73"/>
      <c r="Y43" s="73"/>
    </row>
    <row r="44" spans="1:25" x14ac:dyDescent="0.25">
      <c r="L44" s="73"/>
      <c r="M44" s="73" t="s">
        <v>59</v>
      </c>
      <c r="N44" s="73"/>
      <c r="O44" s="73"/>
      <c r="P44" s="73"/>
      <c r="Q44" s="112">
        <f>S36/R43</f>
        <v>0.46463508259243669</v>
      </c>
      <c r="R44" s="180">
        <v>37523</v>
      </c>
      <c r="S44" s="93" t="s">
        <v>104</v>
      </c>
      <c r="T44" s="73"/>
      <c r="U44" s="73"/>
      <c r="V44" s="73"/>
      <c r="W44" s="73"/>
      <c r="X44" s="73"/>
      <c r="Y44" s="73"/>
    </row>
    <row r="45" spans="1:25" x14ac:dyDescent="0.25">
      <c r="L45" s="73"/>
      <c r="M45" s="73" t="s">
        <v>60</v>
      </c>
      <c r="N45" s="73"/>
      <c r="O45" s="73"/>
      <c r="P45" s="73"/>
      <c r="Q45" s="73"/>
      <c r="R45" s="154">
        <f>S22-S21</f>
        <v>-1703</v>
      </c>
      <c r="S45" s="73"/>
      <c r="T45" s="73"/>
      <c r="U45" s="73"/>
      <c r="V45" s="73"/>
      <c r="W45" s="73"/>
      <c r="X45" s="73"/>
      <c r="Y45" s="73"/>
    </row>
    <row r="46" spans="1:25" x14ac:dyDescent="0.25">
      <c r="L46" s="73"/>
      <c r="M46" s="90" t="s">
        <v>61</v>
      </c>
      <c r="N46" s="90"/>
      <c r="O46" s="90"/>
      <c r="P46" s="73"/>
      <c r="Q46" s="73"/>
      <c r="R46" s="155">
        <f>O22/4</f>
        <v>1849</v>
      </c>
      <c r="S46" s="73"/>
      <c r="T46" s="73"/>
      <c r="U46" s="73"/>
      <c r="V46" s="73"/>
      <c r="W46" s="73"/>
      <c r="X46" s="73"/>
      <c r="Y46" s="73"/>
    </row>
    <row r="47" spans="1:25" x14ac:dyDescent="0.25">
      <c r="L47" s="73"/>
      <c r="M47" s="90" t="s">
        <v>62</v>
      </c>
      <c r="N47" s="90"/>
      <c r="O47" s="90"/>
      <c r="P47" s="73"/>
      <c r="Q47" s="73"/>
      <c r="R47" s="156">
        <f>R39</f>
        <v>-1071</v>
      </c>
      <c r="S47" s="73"/>
      <c r="T47" s="73"/>
      <c r="U47" s="73"/>
      <c r="V47" s="73"/>
      <c r="W47" s="73"/>
      <c r="X47" s="73"/>
      <c r="Y47" s="73"/>
    </row>
    <row r="48" spans="1:25" x14ac:dyDescent="0.25"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</row>
    <row r="49" spans="12:25" x14ac:dyDescent="0.25"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</row>
    <row r="50" spans="12:25" x14ac:dyDescent="0.25">
      <c r="L50" s="73"/>
      <c r="M50" s="92" t="s">
        <v>67</v>
      </c>
      <c r="N50" s="73"/>
      <c r="O50" s="73"/>
      <c r="P50" s="72"/>
      <c r="Q50" s="73">
        <v>10</v>
      </c>
      <c r="R50" s="73" t="s">
        <v>68</v>
      </c>
      <c r="S50" s="73"/>
      <c r="T50" s="73"/>
      <c r="U50" s="73"/>
      <c r="V50" s="73"/>
      <c r="W50" s="73"/>
      <c r="X50" s="73"/>
      <c r="Y50" s="73"/>
    </row>
    <row r="51" spans="12:25" x14ac:dyDescent="0.25">
      <c r="L51" s="73"/>
      <c r="M51" s="92" t="s">
        <v>69</v>
      </c>
      <c r="N51" s="73"/>
      <c r="O51" s="73"/>
      <c r="P51" s="107">
        <v>0.67</v>
      </c>
      <c r="Q51" s="73">
        <f>P51*$G$49</f>
        <v>0</v>
      </c>
      <c r="R51" s="73" t="s">
        <v>70</v>
      </c>
      <c r="S51" s="73" t="s">
        <v>71</v>
      </c>
      <c r="T51" s="73"/>
      <c r="U51" s="73"/>
      <c r="V51" s="73"/>
      <c r="W51" s="73"/>
      <c r="X51" s="73"/>
      <c r="Y51" s="73"/>
    </row>
    <row r="52" spans="12:25" x14ac:dyDescent="0.25">
      <c r="L52" s="73"/>
      <c r="M52" s="92" t="s">
        <v>72</v>
      </c>
      <c r="N52" s="73"/>
      <c r="O52" s="73"/>
      <c r="P52" s="107">
        <v>0.22</v>
      </c>
      <c r="Q52" s="73">
        <f t="shared" ref="Q52:Q56" si="30">P52*$G$49</f>
        <v>0</v>
      </c>
      <c r="R52" s="73" t="s">
        <v>68</v>
      </c>
      <c r="S52" s="73"/>
      <c r="T52" s="73"/>
      <c r="U52" s="73"/>
      <c r="V52" s="73"/>
      <c r="W52" s="73"/>
      <c r="X52" s="73"/>
      <c r="Y52" s="73"/>
    </row>
    <row r="53" spans="12:25" x14ac:dyDescent="0.25">
      <c r="L53" s="73"/>
      <c r="M53" s="92" t="s">
        <v>73</v>
      </c>
      <c r="N53" s="73"/>
      <c r="O53" s="73"/>
      <c r="P53" s="108">
        <v>5.0000000000000001E-3</v>
      </c>
      <c r="Q53" s="73">
        <f t="shared" si="30"/>
        <v>0</v>
      </c>
      <c r="R53" s="73" t="s">
        <v>68</v>
      </c>
      <c r="S53" s="73" t="s">
        <v>74</v>
      </c>
      <c r="T53" s="73"/>
      <c r="U53" s="73"/>
      <c r="V53" s="73"/>
      <c r="W53" s="73"/>
      <c r="X53" s="73"/>
      <c r="Y53" s="73"/>
    </row>
    <row r="54" spans="12:25" x14ac:dyDescent="0.25">
      <c r="L54" s="73"/>
      <c r="M54" s="92" t="s">
        <v>75</v>
      </c>
      <c r="N54" s="73"/>
      <c r="O54" s="73"/>
      <c r="P54" s="107">
        <v>0.06</v>
      </c>
      <c r="Q54" s="73">
        <f t="shared" si="30"/>
        <v>0</v>
      </c>
      <c r="R54" s="73" t="s">
        <v>68</v>
      </c>
      <c r="S54" s="73" t="s">
        <v>76</v>
      </c>
      <c r="T54" s="73"/>
      <c r="U54" s="73"/>
      <c r="V54" s="73"/>
      <c r="W54" s="73"/>
      <c r="X54" s="73"/>
      <c r="Y54" s="73"/>
    </row>
    <row r="55" spans="12:25" x14ac:dyDescent="0.25">
      <c r="L55" s="73"/>
      <c r="M55" s="92" t="s">
        <v>77</v>
      </c>
      <c r="N55" s="73"/>
      <c r="O55" s="73"/>
      <c r="P55" s="109">
        <v>0.13500000000000001</v>
      </c>
      <c r="Q55" s="73">
        <f t="shared" si="30"/>
        <v>0</v>
      </c>
      <c r="R55" s="73" t="s">
        <v>68</v>
      </c>
      <c r="S55" s="73" t="s">
        <v>78</v>
      </c>
      <c r="T55" s="73"/>
      <c r="U55" s="73"/>
      <c r="V55" s="73"/>
      <c r="W55" s="73"/>
      <c r="X55" s="73"/>
      <c r="Y55" s="73"/>
    </row>
    <row r="56" spans="12:25" x14ac:dyDescent="0.25">
      <c r="L56" s="73"/>
      <c r="M56" s="92" t="s">
        <v>79</v>
      </c>
      <c r="N56" s="73"/>
      <c r="O56" s="73"/>
      <c r="P56" s="109">
        <v>5.5E-2</v>
      </c>
      <c r="Q56" s="73">
        <f t="shared" si="30"/>
        <v>0</v>
      </c>
      <c r="R56" s="73" t="s">
        <v>68</v>
      </c>
      <c r="S56" s="73" t="s">
        <v>78</v>
      </c>
      <c r="T56" s="73"/>
      <c r="U56" s="73"/>
      <c r="V56" s="73"/>
      <c r="W56" s="73"/>
      <c r="X56" s="73"/>
      <c r="Y56" s="73"/>
    </row>
  </sheetData>
  <mergeCells count="3">
    <mergeCell ref="A4:A5"/>
    <mergeCell ref="B4:B5"/>
    <mergeCell ref="C4:E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KALTIM</vt:lpstr>
      <vt:lpstr>Estimasi Kebutuhan Pabrik</vt:lpstr>
      <vt:lpstr>KALTIM</vt:lpstr>
      <vt:lpstr>BERAU</vt:lpstr>
      <vt:lpstr>KUKAR</vt:lpstr>
      <vt:lpstr>KUBAR</vt:lpstr>
      <vt:lpstr>KUTIM</vt:lpstr>
      <vt:lpstr>PASER</vt:lpstr>
      <vt:lpstr>PPU</vt:lpstr>
      <vt:lpstr>SAMARINDA</vt:lpstr>
      <vt:lpstr>BONTANG</vt:lpstr>
      <vt:lpstr>BALIKPAPAN</vt:lpstr>
      <vt:lpstr>MAHULU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Iwied</dc:creator>
  <cp:lastModifiedBy>Iwied</cp:lastModifiedBy>
  <dcterms:created xsi:type="dcterms:W3CDTF">2017-01-27T01:45:00Z</dcterms:created>
  <dcterms:modified xsi:type="dcterms:W3CDTF">2017-12-07T05:48:12Z</dcterms:modified>
</cp:coreProperties>
</file>