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BAU_2010-2030_IW\Balikpapan\"/>
    </mc:Choice>
  </mc:AlternateContent>
  <bookViews>
    <workbookView xWindow="360" yWindow="45" windowWidth="21015" windowHeight="9975" tabRatio="843" activeTab="2"/>
  </bookViews>
  <sheets>
    <sheet name="timbulan sampah" sheetId="4" r:id="rId1"/>
    <sheet name="Fraksi pengelolaan sampah BaU" sheetId="1" r:id="rId2"/>
    <sheet name="Format Rekap" sheetId="7" r:id="rId3"/>
    <sheet name="Rekapitulasi BaU Emisi GRK" sheetId="3" r:id="rId4"/>
    <sheet name="Rekap BAU Emisi Industri Sawitt" sheetId="6" r:id="rId5"/>
    <sheet name="Frksi pengelolaan smph Mitigasi" sheetId="2" state="hidden" r:id="rId6"/>
    <sheet name="Rekaptlasi Mitigasi Emisi GRK" sheetId="5" state="hidden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D5" i="4" l="1"/>
  <c r="K6" i="7" l="1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5" i="7"/>
  <c r="C7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6" i="1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5" i="7"/>
  <c r="I81" i="3" l="1"/>
  <c r="F53" i="5" l="1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W24" i="7" s="1"/>
  <c r="B80" i="3"/>
  <c r="U24" i="7" s="1"/>
  <c r="D79" i="3"/>
  <c r="W23" i="7" s="1"/>
  <c r="B79" i="3"/>
  <c r="U23" i="7" s="1"/>
  <c r="D78" i="3"/>
  <c r="W22" i="7" s="1"/>
  <c r="B78" i="3"/>
  <c r="U22" i="7" s="1"/>
  <c r="D77" i="3"/>
  <c r="W21" i="7" s="1"/>
  <c r="B77" i="3"/>
  <c r="U21" i="7" s="1"/>
  <c r="D76" i="3"/>
  <c r="W20" i="7" s="1"/>
  <c r="B76" i="3"/>
  <c r="U20" i="7" s="1"/>
  <c r="D75" i="3"/>
  <c r="W19" i="7" s="1"/>
  <c r="B75" i="3"/>
  <c r="U19" i="7" s="1"/>
  <c r="D74" i="3"/>
  <c r="W18" i="7" s="1"/>
  <c r="B74" i="3"/>
  <c r="U18" i="7" s="1"/>
  <c r="D73" i="3"/>
  <c r="W17" i="7" s="1"/>
  <c r="B73" i="3"/>
  <c r="U17" i="7" s="1"/>
  <c r="D72" i="3"/>
  <c r="W16" i="7" s="1"/>
  <c r="B72" i="3"/>
  <c r="U16" i="7" s="1"/>
  <c r="D71" i="3"/>
  <c r="W15" i="7" s="1"/>
  <c r="B71" i="3"/>
  <c r="U15" i="7" s="1"/>
  <c r="D70" i="3"/>
  <c r="W14" i="7" s="1"/>
  <c r="B70" i="3"/>
  <c r="U14" i="7" s="1"/>
  <c r="D69" i="3"/>
  <c r="W13" i="7" s="1"/>
  <c r="B69" i="3"/>
  <c r="U13" i="7" s="1"/>
  <c r="D68" i="3"/>
  <c r="W12" i="7" s="1"/>
  <c r="B68" i="3"/>
  <c r="U12" i="7" s="1"/>
  <c r="D67" i="3"/>
  <c r="W11" i="7" s="1"/>
  <c r="B67" i="3"/>
  <c r="U11" i="7" s="1"/>
  <c r="D66" i="3"/>
  <c r="W10" i="7" s="1"/>
  <c r="B66" i="3"/>
  <c r="U10" i="7" s="1"/>
  <c r="D65" i="3"/>
  <c r="W9" i="7" s="1"/>
  <c r="B65" i="3"/>
  <c r="U9" i="7" s="1"/>
  <c r="D64" i="3"/>
  <c r="W8" i="7" s="1"/>
  <c r="B64" i="3"/>
  <c r="U8" i="7" s="1"/>
  <c r="D63" i="3"/>
  <c r="W7" i="7" s="1"/>
  <c r="B63" i="3"/>
  <c r="U7" i="7" s="1"/>
  <c r="D62" i="3"/>
  <c r="W6" i="7" s="1"/>
  <c r="B62" i="3"/>
  <c r="U6" i="7" s="1"/>
  <c r="D61" i="3"/>
  <c r="W5" i="7" s="1"/>
  <c r="B61" i="3"/>
  <c r="U5" i="7" s="1"/>
  <c r="D54" i="3"/>
  <c r="AH24" i="7" s="1"/>
  <c r="B54" i="3"/>
  <c r="AF24" i="7" s="1"/>
  <c r="D53" i="3"/>
  <c r="AH23" i="7" s="1"/>
  <c r="B53" i="3"/>
  <c r="AF23" i="7" s="1"/>
  <c r="D52" i="3"/>
  <c r="AH22" i="7" s="1"/>
  <c r="B52" i="3"/>
  <c r="AF22" i="7" s="1"/>
  <c r="D51" i="3"/>
  <c r="AH21" i="7" s="1"/>
  <c r="B51" i="3"/>
  <c r="AF21" i="7" s="1"/>
  <c r="D50" i="3"/>
  <c r="AH20" i="7" s="1"/>
  <c r="B50" i="3"/>
  <c r="AF20" i="7" s="1"/>
  <c r="D49" i="3"/>
  <c r="AH19" i="7" s="1"/>
  <c r="B49" i="3"/>
  <c r="AF19" i="7" s="1"/>
  <c r="D48" i="3"/>
  <c r="AH18" i="7" s="1"/>
  <c r="B48" i="3"/>
  <c r="AF18" i="7" s="1"/>
  <c r="D47" i="3"/>
  <c r="AH17" i="7" s="1"/>
  <c r="B47" i="3"/>
  <c r="AF17" i="7" s="1"/>
  <c r="D46" i="3"/>
  <c r="AH16" i="7" s="1"/>
  <c r="B46" i="3"/>
  <c r="AF16" i="7" s="1"/>
  <c r="D45" i="3"/>
  <c r="AH15" i="7" s="1"/>
  <c r="B45" i="3"/>
  <c r="AF15" i="7" s="1"/>
  <c r="D44" i="3"/>
  <c r="AH14" i="7" s="1"/>
  <c r="B44" i="3"/>
  <c r="AF14" i="7" s="1"/>
  <c r="D43" i="3"/>
  <c r="AH13" i="7" s="1"/>
  <c r="B43" i="3"/>
  <c r="AF13" i="7" s="1"/>
  <c r="D42" i="3"/>
  <c r="AH12" i="7" s="1"/>
  <c r="B42" i="3"/>
  <c r="AF12" i="7" s="1"/>
  <c r="D41" i="3"/>
  <c r="AH11" i="7" s="1"/>
  <c r="B41" i="3"/>
  <c r="AF11" i="7" s="1"/>
  <c r="D40" i="3"/>
  <c r="AH10" i="7" s="1"/>
  <c r="B40" i="3"/>
  <c r="AF10" i="7" s="1"/>
  <c r="D39" i="3"/>
  <c r="AH9" i="7" s="1"/>
  <c r="B39" i="3"/>
  <c r="AF9" i="7" s="1"/>
  <c r="D38" i="3"/>
  <c r="AH8" i="7" s="1"/>
  <c r="B38" i="3"/>
  <c r="AF8" i="7" s="1"/>
  <c r="D37" i="3"/>
  <c r="AH7" i="7" s="1"/>
  <c r="B37" i="3"/>
  <c r="AF7" i="7" s="1"/>
  <c r="D36" i="3"/>
  <c r="AH6" i="7" s="1"/>
  <c r="B36" i="3"/>
  <c r="AF6" i="7" s="1"/>
  <c r="D35" i="3"/>
  <c r="AH5" i="7" s="1"/>
  <c r="B35" i="3"/>
  <c r="AF5" i="7" s="1"/>
  <c r="M7" i="1" l="1"/>
  <c r="Q10" i="3" l="1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9" i="3"/>
  <c r="G10" i="3" l="1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9" i="3"/>
  <c r="B6" i="4" l="1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5" i="4"/>
  <c r="E5" i="4" s="1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X6" i="7" s="1"/>
  <c r="E63" i="3"/>
  <c r="X7" i="7" s="1"/>
  <c r="E64" i="3"/>
  <c r="X8" i="7" s="1"/>
  <c r="E65" i="3"/>
  <c r="X9" i="7" s="1"/>
  <c r="E66" i="3"/>
  <c r="X10" i="7" s="1"/>
  <c r="E67" i="3"/>
  <c r="X11" i="7" s="1"/>
  <c r="E68" i="3"/>
  <c r="X12" i="7" s="1"/>
  <c r="E69" i="3"/>
  <c r="X13" i="7" s="1"/>
  <c r="E70" i="3"/>
  <c r="X14" i="7" s="1"/>
  <c r="E71" i="3"/>
  <c r="X15" i="7" s="1"/>
  <c r="E72" i="3"/>
  <c r="X16" i="7" s="1"/>
  <c r="E73" i="3"/>
  <c r="X17" i="7" s="1"/>
  <c r="E74" i="3"/>
  <c r="X18" i="7" s="1"/>
  <c r="E75" i="3"/>
  <c r="X19" i="7" s="1"/>
  <c r="E76" i="3"/>
  <c r="X20" i="7" s="1"/>
  <c r="E77" i="3"/>
  <c r="X21" i="7" s="1"/>
  <c r="E78" i="3"/>
  <c r="X22" i="7" s="1"/>
  <c r="E79" i="3"/>
  <c r="X23" i="7" s="1"/>
  <c r="E80" i="3"/>
  <c r="X24" i="7" s="1"/>
  <c r="E81" i="3"/>
  <c r="C63" i="3"/>
  <c r="V7" i="7" s="1"/>
  <c r="C64" i="3"/>
  <c r="V8" i="7" s="1"/>
  <c r="C65" i="3"/>
  <c r="V9" i="7" s="1"/>
  <c r="C66" i="3"/>
  <c r="V10" i="7" s="1"/>
  <c r="C67" i="3"/>
  <c r="V11" i="7" s="1"/>
  <c r="C68" i="3"/>
  <c r="V12" i="7" s="1"/>
  <c r="C69" i="3"/>
  <c r="V13" i="7" s="1"/>
  <c r="C70" i="3"/>
  <c r="V14" i="7" s="1"/>
  <c r="C71" i="3"/>
  <c r="V15" i="7" s="1"/>
  <c r="C72" i="3"/>
  <c r="V16" i="7" s="1"/>
  <c r="C73" i="3"/>
  <c r="V17" i="7" s="1"/>
  <c r="C74" i="3"/>
  <c r="V18" i="7" s="1"/>
  <c r="C75" i="3"/>
  <c r="V19" i="7" s="1"/>
  <c r="C76" i="3"/>
  <c r="V20" i="7" s="1"/>
  <c r="C77" i="3"/>
  <c r="V21" i="7" s="1"/>
  <c r="C78" i="3"/>
  <c r="V22" i="7" s="1"/>
  <c r="C79" i="3"/>
  <c r="V23" i="7" s="1"/>
  <c r="C80" i="3"/>
  <c r="V24" i="7" s="1"/>
  <c r="C81" i="3"/>
  <c r="F81" i="3" s="1"/>
  <c r="C46" i="3"/>
  <c r="AG16" i="7" s="1"/>
  <c r="E46" i="3"/>
  <c r="AI16" i="7" s="1"/>
  <c r="C47" i="3"/>
  <c r="AG17" i="7" s="1"/>
  <c r="E47" i="3"/>
  <c r="AI17" i="7" s="1"/>
  <c r="C48" i="3"/>
  <c r="AG18" i="7" s="1"/>
  <c r="E48" i="3"/>
  <c r="AI18" i="7" s="1"/>
  <c r="C49" i="3"/>
  <c r="AG19" i="7" s="1"/>
  <c r="E49" i="3"/>
  <c r="AI19" i="7" s="1"/>
  <c r="C50" i="3"/>
  <c r="AG20" i="7" s="1"/>
  <c r="E50" i="3"/>
  <c r="AI20" i="7" s="1"/>
  <c r="C51" i="3"/>
  <c r="AG21" i="7" s="1"/>
  <c r="E51" i="3"/>
  <c r="AI21" i="7" s="1"/>
  <c r="C52" i="3"/>
  <c r="AG22" i="7" s="1"/>
  <c r="E52" i="3"/>
  <c r="AI22" i="7" s="1"/>
  <c r="C53" i="3"/>
  <c r="AG23" i="7" s="1"/>
  <c r="E53" i="3"/>
  <c r="AI23" i="7" s="1"/>
  <c r="C54" i="3"/>
  <c r="AG24" i="7" s="1"/>
  <c r="E54" i="3"/>
  <c r="AI24" i="7" s="1"/>
  <c r="C55" i="3"/>
  <c r="E55" i="3"/>
  <c r="F63" i="3" l="1"/>
  <c r="Y7" i="7" s="1"/>
  <c r="Z7" i="7" s="1"/>
  <c r="D33" i="7" s="1"/>
  <c r="F53" i="3"/>
  <c r="AJ23" i="7" s="1"/>
  <c r="AK23" i="7" s="1"/>
  <c r="E49" i="7" s="1"/>
  <c r="F49" i="3"/>
  <c r="AJ19" i="7" s="1"/>
  <c r="AK19" i="7" s="1"/>
  <c r="E45" i="7" s="1"/>
  <c r="F52" i="3"/>
  <c r="AJ22" i="7" s="1"/>
  <c r="AK22" i="7" s="1"/>
  <c r="E48" i="7" s="1"/>
  <c r="F48" i="3"/>
  <c r="AJ18" i="7" s="1"/>
  <c r="AK18" i="7" s="1"/>
  <c r="E44" i="7" s="1"/>
  <c r="F73" i="3"/>
  <c r="Y17" i="7" s="1"/>
  <c r="Z17" i="7" s="1"/>
  <c r="D43" i="7" s="1"/>
  <c r="F54" i="3"/>
  <c r="AJ24" i="7" s="1"/>
  <c r="AK24" i="7" s="1"/>
  <c r="E50" i="7" s="1"/>
  <c r="F77" i="3"/>
  <c r="Y21" i="7" s="1"/>
  <c r="Z21" i="7" s="1"/>
  <c r="D47" i="7" s="1"/>
  <c r="F80" i="3"/>
  <c r="Y24" i="7" s="1"/>
  <c r="Z24" i="7" s="1"/>
  <c r="D50" i="7" s="1"/>
  <c r="F72" i="3"/>
  <c r="Y16" i="7" s="1"/>
  <c r="Z16" i="7" s="1"/>
  <c r="D42" i="7" s="1"/>
  <c r="F79" i="3"/>
  <c r="Y23" i="7" s="1"/>
  <c r="Z23" i="7" s="1"/>
  <c r="D49" i="7" s="1"/>
  <c r="F78" i="3"/>
  <c r="Y22" i="7" s="1"/>
  <c r="Z22" i="7" s="1"/>
  <c r="D48" i="7" s="1"/>
  <c r="F71" i="3"/>
  <c r="Y15" i="7" s="1"/>
  <c r="Z15" i="7" s="1"/>
  <c r="D41" i="7" s="1"/>
  <c r="F70" i="3"/>
  <c r="Y14" i="7" s="1"/>
  <c r="Z14" i="7" s="1"/>
  <c r="D40" i="7" s="1"/>
  <c r="F66" i="3"/>
  <c r="Y10" i="7" s="1"/>
  <c r="Z10" i="7" s="1"/>
  <c r="D36" i="7" s="1"/>
  <c r="F65" i="3"/>
  <c r="Y9" i="7" s="1"/>
  <c r="Z9" i="7" s="1"/>
  <c r="D35" i="7" s="1"/>
  <c r="F64" i="3"/>
  <c r="Y8" i="7" s="1"/>
  <c r="Z8" i="7" s="1"/>
  <c r="D34" i="7" s="1"/>
  <c r="F69" i="3"/>
  <c r="Y13" i="7" s="1"/>
  <c r="Z13" i="7" s="1"/>
  <c r="D39" i="7" s="1"/>
  <c r="F68" i="3"/>
  <c r="Y12" i="7" s="1"/>
  <c r="Z12" i="7" s="1"/>
  <c r="D38" i="7" s="1"/>
  <c r="F67" i="3"/>
  <c r="Y11" i="7" s="1"/>
  <c r="Z11" i="7" s="1"/>
  <c r="D37" i="7" s="1"/>
  <c r="F76" i="3"/>
  <c r="Y20" i="7" s="1"/>
  <c r="Z20" i="7" s="1"/>
  <c r="D46" i="7" s="1"/>
  <c r="F75" i="3"/>
  <c r="Y19" i="7" s="1"/>
  <c r="Z19" i="7" s="1"/>
  <c r="D45" i="7" s="1"/>
  <c r="F74" i="3"/>
  <c r="Y18" i="7" s="1"/>
  <c r="Z18" i="7" s="1"/>
  <c r="D44" i="7" s="1"/>
  <c r="F51" i="3"/>
  <c r="AJ21" i="7" s="1"/>
  <c r="AK21" i="7" s="1"/>
  <c r="E47" i="7" s="1"/>
  <c r="F50" i="3"/>
  <c r="AJ20" i="7" s="1"/>
  <c r="AK20" i="7" s="1"/>
  <c r="E46" i="7" s="1"/>
  <c r="F46" i="3"/>
  <c r="AJ16" i="7" s="1"/>
  <c r="AK16" i="7" s="1"/>
  <c r="E42" i="7" s="1"/>
  <c r="F47" i="3"/>
  <c r="AJ17" i="7" s="1"/>
  <c r="AK17" i="7" s="1"/>
  <c r="E43" i="7" s="1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B16" i="7" s="1"/>
  <c r="J16" i="7" s="1"/>
  <c r="D17" i="4"/>
  <c r="E17" i="4" s="1"/>
  <c r="I41" i="1" s="1"/>
  <c r="B17" i="7" s="1"/>
  <c r="J17" i="7" s="1"/>
  <c r="D18" i="4"/>
  <c r="E18" i="4" s="1"/>
  <c r="I42" i="1" s="1"/>
  <c r="B18" i="7" s="1"/>
  <c r="J18" i="7" s="1"/>
  <c r="D19" i="4"/>
  <c r="E19" i="4" s="1"/>
  <c r="I43" i="1" s="1"/>
  <c r="B19" i="7" s="1"/>
  <c r="J19" i="7" s="1"/>
  <c r="D20" i="4"/>
  <c r="E20" i="4" s="1"/>
  <c r="I44" i="1" s="1"/>
  <c r="B20" i="7" s="1"/>
  <c r="J20" i="7" s="1"/>
  <c r="D21" i="4"/>
  <c r="E21" i="4" s="1"/>
  <c r="I45" i="1" s="1"/>
  <c r="B21" i="7" s="1"/>
  <c r="J21" i="7" s="1"/>
  <c r="D22" i="4"/>
  <c r="E22" i="4" s="1"/>
  <c r="I46" i="1" s="1"/>
  <c r="B22" i="7" s="1"/>
  <c r="J22" i="7" s="1"/>
  <c r="D23" i="4"/>
  <c r="E23" i="4" s="1"/>
  <c r="I47" i="1" s="1"/>
  <c r="B23" i="7" s="1"/>
  <c r="J23" i="7" s="1"/>
  <c r="D24" i="4"/>
  <c r="E24" i="4" s="1"/>
  <c r="I48" i="1" s="1"/>
  <c r="B24" i="7" s="1"/>
  <c r="J24" i="7" s="1"/>
  <c r="R22" i="7" l="1"/>
  <c r="L22" i="7"/>
  <c r="R21" i="7"/>
  <c r="L21" i="7"/>
  <c r="R18" i="7"/>
  <c r="L18" i="7"/>
  <c r="R23" i="7"/>
  <c r="L23" i="7"/>
  <c r="R17" i="7"/>
  <c r="L17" i="7"/>
  <c r="L20" i="7"/>
  <c r="R20" i="7"/>
  <c r="R19" i="7"/>
  <c r="L19" i="7"/>
  <c r="R24" i="7"/>
  <c r="L24" i="7"/>
  <c r="R16" i="7"/>
  <c r="L16" i="7"/>
  <c r="H41" i="1"/>
  <c r="F41" i="1"/>
  <c r="E41" i="1"/>
  <c r="B41" i="1"/>
  <c r="D17" i="7" s="1"/>
  <c r="G41" i="1"/>
  <c r="C41" i="1"/>
  <c r="D41" i="1"/>
  <c r="D40" i="1"/>
  <c r="H40" i="1"/>
  <c r="F40" i="1"/>
  <c r="G40" i="1"/>
  <c r="E40" i="1"/>
  <c r="B40" i="1"/>
  <c r="D16" i="7" s="1"/>
  <c r="C40" i="1"/>
  <c r="G47" i="1"/>
  <c r="E47" i="1"/>
  <c r="C47" i="1"/>
  <c r="D47" i="1"/>
  <c r="B47" i="1"/>
  <c r="D23" i="7" s="1"/>
  <c r="H47" i="1"/>
  <c r="F47" i="1"/>
  <c r="G43" i="1"/>
  <c r="E43" i="1"/>
  <c r="C43" i="1"/>
  <c r="D43" i="1"/>
  <c r="H43" i="1"/>
  <c r="F43" i="1"/>
  <c r="B43" i="1"/>
  <c r="D19" i="7" s="1"/>
  <c r="H45" i="1"/>
  <c r="F45" i="1"/>
  <c r="B45" i="1"/>
  <c r="D21" i="7" s="1"/>
  <c r="D45" i="1"/>
  <c r="G45" i="1"/>
  <c r="E45" i="1"/>
  <c r="C45" i="1"/>
  <c r="D48" i="1"/>
  <c r="G48" i="1"/>
  <c r="H48" i="1"/>
  <c r="F48" i="1"/>
  <c r="B48" i="1"/>
  <c r="D24" i="7" s="1"/>
  <c r="E48" i="1"/>
  <c r="C48" i="1"/>
  <c r="D44" i="1"/>
  <c r="H44" i="1"/>
  <c r="F44" i="1"/>
  <c r="E44" i="1"/>
  <c r="C44" i="1"/>
  <c r="B44" i="1"/>
  <c r="D20" i="7" s="1"/>
  <c r="G44" i="1"/>
  <c r="B46" i="1"/>
  <c r="D22" i="7" s="1"/>
  <c r="G46" i="1"/>
  <c r="E46" i="1"/>
  <c r="C46" i="1"/>
  <c r="H46" i="1"/>
  <c r="F46" i="1"/>
  <c r="D46" i="1"/>
  <c r="B42" i="1"/>
  <c r="D18" i="7" s="1"/>
  <c r="G42" i="1"/>
  <c r="E42" i="1"/>
  <c r="C42" i="1"/>
  <c r="F42" i="1"/>
  <c r="D42" i="1"/>
  <c r="H42" i="1"/>
  <c r="AC23" i="7" l="1"/>
  <c r="AE23" i="7" s="1"/>
  <c r="T23" i="7"/>
  <c r="AC19" i="7"/>
  <c r="AE19" i="7" s="1"/>
  <c r="T19" i="7"/>
  <c r="T18" i="7"/>
  <c r="AC18" i="7"/>
  <c r="AE18" i="7" s="1"/>
  <c r="AC21" i="7"/>
  <c r="AE21" i="7" s="1"/>
  <c r="T21" i="7"/>
  <c r="AC24" i="7"/>
  <c r="AE24" i="7" s="1"/>
  <c r="T24" i="7"/>
  <c r="T20" i="7"/>
  <c r="AC20" i="7"/>
  <c r="AE20" i="7" s="1"/>
  <c r="AC16" i="7"/>
  <c r="AE16" i="7" s="1"/>
  <c r="T16" i="7"/>
  <c r="T17" i="7"/>
  <c r="AC17" i="7"/>
  <c r="AE17" i="7" s="1"/>
  <c r="AC22" i="7"/>
  <c r="AE22" i="7" s="1"/>
  <c r="T22" i="7"/>
  <c r="J48" i="1"/>
  <c r="J44" i="1"/>
  <c r="J45" i="1"/>
  <c r="J40" i="1"/>
  <c r="J43" i="1"/>
  <c r="J41" i="1"/>
  <c r="J47" i="1"/>
  <c r="J46" i="1"/>
  <c r="J42" i="1"/>
  <c r="M15" i="1"/>
  <c r="M14" i="1" s="1"/>
  <c r="M13" i="1" s="1"/>
  <c r="M12" i="1" s="1"/>
  <c r="M11" i="1" s="1"/>
  <c r="M10" i="1" s="1"/>
  <c r="M9" i="1" s="1"/>
  <c r="M8" i="1" s="1"/>
  <c r="C62" i="3" l="1"/>
  <c r="E61" i="3"/>
  <c r="X5" i="7" s="1"/>
  <c r="C61" i="3"/>
  <c r="V5" i="7" s="1"/>
  <c r="E45" i="3"/>
  <c r="AI15" i="7" s="1"/>
  <c r="C45" i="3"/>
  <c r="AG15" i="7" s="1"/>
  <c r="E44" i="3"/>
  <c r="AI14" i="7" s="1"/>
  <c r="C44" i="3"/>
  <c r="AG14" i="7" s="1"/>
  <c r="E43" i="3"/>
  <c r="AI13" i="7" s="1"/>
  <c r="C43" i="3"/>
  <c r="AG13" i="7" s="1"/>
  <c r="E42" i="3"/>
  <c r="AI12" i="7" s="1"/>
  <c r="C42" i="3"/>
  <c r="AG12" i="7" s="1"/>
  <c r="E41" i="3"/>
  <c r="AI11" i="7" s="1"/>
  <c r="C41" i="3"/>
  <c r="AG11" i="7" s="1"/>
  <c r="E40" i="3"/>
  <c r="AI10" i="7" s="1"/>
  <c r="C40" i="3"/>
  <c r="AG10" i="7" s="1"/>
  <c r="E39" i="3"/>
  <c r="AI9" i="7" s="1"/>
  <c r="C39" i="3"/>
  <c r="AG9" i="7" s="1"/>
  <c r="E38" i="3"/>
  <c r="AI8" i="7" s="1"/>
  <c r="C38" i="3"/>
  <c r="AG8" i="7" s="1"/>
  <c r="E37" i="3"/>
  <c r="AI7" i="7" s="1"/>
  <c r="C37" i="3"/>
  <c r="AG7" i="7" s="1"/>
  <c r="E36" i="3"/>
  <c r="AI6" i="7" s="1"/>
  <c r="C36" i="3"/>
  <c r="AG6" i="7" s="1"/>
  <c r="E35" i="3"/>
  <c r="AI5" i="7" s="1"/>
  <c r="C35" i="3"/>
  <c r="AG5" i="7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B6" i="7" s="1"/>
  <c r="J6" i="7" s="1"/>
  <c r="D7" i="4"/>
  <c r="E7" i="4" s="1"/>
  <c r="I41" i="2" s="1"/>
  <c r="D8" i="4"/>
  <c r="E8" i="4" s="1"/>
  <c r="I32" i="1" s="1"/>
  <c r="D9" i="4"/>
  <c r="E9" i="4" s="1"/>
  <c r="I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I29" i="1"/>
  <c r="L7" i="4"/>
  <c r="L8" i="4" s="1"/>
  <c r="J7" i="4"/>
  <c r="J8" i="4" s="1"/>
  <c r="B29" i="1" l="1"/>
  <c r="D5" i="7" s="1"/>
  <c r="B5" i="7"/>
  <c r="J5" i="7" s="1"/>
  <c r="C32" i="1"/>
  <c r="B8" i="7"/>
  <c r="J8" i="7" s="1"/>
  <c r="R6" i="7"/>
  <c r="L6" i="7"/>
  <c r="C33" i="1"/>
  <c r="B9" i="7"/>
  <c r="J9" i="7" s="1"/>
  <c r="F62" i="3"/>
  <c r="Y6" i="7" s="1"/>
  <c r="Z6" i="7" s="1"/>
  <c r="D32" i="7" s="1"/>
  <c r="V6" i="7"/>
  <c r="F35" i="3"/>
  <c r="AJ5" i="7" s="1"/>
  <c r="AK5" i="7" s="1"/>
  <c r="E31" i="7" s="1"/>
  <c r="F61" i="3"/>
  <c r="Y5" i="7" s="1"/>
  <c r="Z5" i="7" s="1"/>
  <c r="D31" i="7" s="1"/>
  <c r="I39" i="2"/>
  <c r="F40" i="3"/>
  <c r="AJ10" i="7" s="1"/>
  <c r="AK10" i="7" s="1"/>
  <c r="E36" i="7" s="1"/>
  <c r="F27" i="5"/>
  <c r="F29" i="5"/>
  <c r="F65" i="5"/>
  <c r="F69" i="5"/>
  <c r="I49" i="2"/>
  <c r="I39" i="1"/>
  <c r="F26" i="5"/>
  <c r="F30" i="5"/>
  <c r="F70" i="5"/>
  <c r="F72" i="5"/>
  <c r="F37" i="3"/>
  <c r="AJ7" i="7" s="1"/>
  <c r="AK7" i="7" s="1"/>
  <c r="E33" i="7" s="1"/>
  <c r="F39" i="3"/>
  <c r="AJ9" i="7" s="1"/>
  <c r="AK9" i="7" s="1"/>
  <c r="E35" i="7" s="1"/>
  <c r="F43" i="3"/>
  <c r="AJ13" i="7" s="1"/>
  <c r="AK13" i="7" s="1"/>
  <c r="E39" i="7" s="1"/>
  <c r="F45" i="3"/>
  <c r="AJ15" i="7" s="1"/>
  <c r="AK15" i="7" s="1"/>
  <c r="E41" i="7" s="1"/>
  <c r="F42" i="3"/>
  <c r="AJ12" i="7" s="1"/>
  <c r="AK12" i="7" s="1"/>
  <c r="E38" i="7" s="1"/>
  <c r="F44" i="3"/>
  <c r="AJ14" i="7" s="1"/>
  <c r="AK14" i="7" s="1"/>
  <c r="E40" i="7" s="1"/>
  <c r="F36" i="3"/>
  <c r="AJ6" i="7" s="1"/>
  <c r="AK6" i="7" s="1"/>
  <c r="E32" i="7" s="1"/>
  <c r="D30" i="1"/>
  <c r="C30" i="1"/>
  <c r="I31" i="1"/>
  <c r="B7" i="7" s="1"/>
  <c r="J7" i="7" s="1"/>
  <c r="I40" i="2"/>
  <c r="I36" i="1"/>
  <c r="B12" i="7" s="1"/>
  <c r="J12" i="7" s="1"/>
  <c r="I35" i="1"/>
  <c r="B11" i="7" s="1"/>
  <c r="J11" i="7" s="1"/>
  <c r="F32" i="1"/>
  <c r="E32" i="1"/>
  <c r="I42" i="2"/>
  <c r="B30" i="1"/>
  <c r="D6" i="7" s="1"/>
  <c r="F30" i="1"/>
  <c r="E30" i="1"/>
  <c r="I34" i="1"/>
  <c r="B10" i="7" s="1"/>
  <c r="J10" i="7" s="1"/>
  <c r="I37" i="1"/>
  <c r="I47" i="2"/>
  <c r="F33" i="1"/>
  <c r="B33" i="1"/>
  <c r="D9" i="7" s="1"/>
  <c r="D33" i="1"/>
  <c r="G33" i="1"/>
  <c r="H33" i="1"/>
  <c r="I43" i="2"/>
  <c r="F31" i="5"/>
  <c r="F33" i="5"/>
  <c r="F63" i="5"/>
  <c r="I38" i="1"/>
  <c r="F35" i="5"/>
  <c r="F67" i="5"/>
  <c r="F38" i="3"/>
  <c r="AJ8" i="7" s="1"/>
  <c r="AK8" i="7" s="1"/>
  <c r="E34" i="7" s="1"/>
  <c r="F41" i="3"/>
  <c r="AJ11" i="7" s="1"/>
  <c r="AK11" i="7" s="1"/>
  <c r="E37" i="7" s="1"/>
  <c r="G30" i="1"/>
  <c r="F36" i="5"/>
  <c r="F66" i="5"/>
  <c r="F71" i="5"/>
  <c r="B32" i="1"/>
  <c r="D8" i="7" s="1"/>
  <c r="E33" i="1"/>
  <c r="G32" i="1"/>
  <c r="H32" i="1"/>
  <c r="D32" i="1"/>
  <c r="H30" i="1"/>
  <c r="C39" i="1" l="1"/>
  <c r="B15" i="7"/>
  <c r="J15" i="7" s="1"/>
  <c r="R8" i="7"/>
  <c r="L8" i="7"/>
  <c r="C38" i="1"/>
  <c r="B14" i="7"/>
  <c r="J14" i="7" s="1"/>
  <c r="R9" i="7"/>
  <c r="L9" i="7"/>
  <c r="C37" i="1"/>
  <c r="B13" i="7"/>
  <c r="J13" i="7" s="1"/>
  <c r="R11" i="7"/>
  <c r="L11" i="7"/>
  <c r="AC6" i="7"/>
  <c r="AE6" i="7" s="1"/>
  <c r="T6" i="7"/>
  <c r="L12" i="7"/>
  <c r="R12" i="7"/>
  <c r="L7" i="7"/>
  <c r="R7" i="7"/>
  <c r="R5" i="7"/>
  <c r="L5" i="7"/>
  <c r="L10" i="7"/>
  <c r="R10" i="7"/>
  <c r="J32" i="1"/>
  <c r="J30" i="1"/>
  <c r="J33" i="1"/>
  <c r="E29" i="1"/>
  <c r="F34" i="1"/>
  <c r="C34" i="1"/>
  <c r="F36" i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B36" i="1"/>
  <c r="D12" i="7" s="1"/>
  <c r="F31" i="1"/>
  <c r="H31" i="1"/>
  <c r="D36" i="1"/>
  <c r="B31" i="1"/>
  <c r="D7" i="7" s="1"/>
  <c r="E34" i="1"/>
  <c r="F35" i="1"/>
  <c r="B35" i="1"/>
  <c r="D11" i="7" s="1"/>
  <c r="D34" i="1"/>
  <c r="B34" i="1"/>
  <c r="D10" i="7" s="1"/>
  <c r="D38" i="1"/>
  <c r="B38" i="1"/>
  <c r="D14" i="7" s="1"/>
  <c r="E38" i="1"/>
  <c r="F38" i="1"/>
  <c r="G38" i="1"/>
  <c r="F37" i="1"/>
  <c r="D37" i="1"/>
  <c r="E37" i="1"/>
  <c r="B37" i="1"/>
  <c r="D13" i="7" s="1"/>
  <c r="G37" i="1"/>
  <c r="H37" i="1"/>
  <c r="H29" i="1"/>
  <c r="C29" i="1"/>
  <c r="G29" i="1"/>
  <c r="H38" i="1"/>
  <c r="E39" i="1"/>
  <c r="G39" i="1"/>
  <c r="F39" i="1"/>
  <c r="H39" i="1"/>
  <c r="D39" i="1"/>
  <c r="B39" i="1"/>
  <c r="D15" i="7" s="1"/>
  <c r="F29" i="1"/>
  <c r="I7" i="1"/>
  <c r="I8" i="1"/>
  <c r="I9" i="1"/>
  <c r="I10" i="1"/>
  <c r="I11" i="1"/>
  <c r="I12" i="1"/>
  <c r="I13" i="1"/>
  <c r="I14" i="1"/>
  <c r="I15" i="1"/>
  <c r="I16" i="1"/>
  <c r="T12" i="7" l="1"/>
  <c r="AC12" i="7"/>
  <c r="AE12" i="7" s="1"/>
  <c r="AC9" i="7"/>
  <c r="AE9" i="7" s="1"/>
  <c r="T9" i="7"/>
  <c r="T10" i="7"/>
  <c r="AC10" i="7"/>
  <c r="AE10" i="7" s="1"/>
  <c r="T11" i="7"/>
  <c r="AC11" i="7"/>
  <c r="AE11" i="7" s="1"/>
  <c r="AC7" i="7"/>
  <c r="AE7" i="7" s="1"/>
  <c r="T7" i="7"/>
  <c r="R13" i="7"/>
  <c r="L13" i="7"/>
  <c r="L15" i="7"/>
  <c r="R15" i="7"/>
  <c r="R14" i="7"/>
  <c r="L14" i="7"/>
  <c r="AC5" i="7"/>
  <c r="AE5" i="7" s="1"/>
  <c r="T5" i="7"/>
  <c r="AC8" i="7"/>
  <c r="AE8" i="7" s="1"/>
  <c r="T8" i="7"/>
  <c r="J39" i="1"/>
  <c r="J31" i="1"/>
  <c r="J29" i="1"/>
  <c r="J38" i="1"/>
  <c r="J37" i="1"/>
  <c r="J34" i="1"/>
  <c r="J36" i="1"/>
  <c r="J35" i="1"/>
  <c r="AC13" i="7" l="1"/>
  <c r="AE13" i="7" s="1"/>
  <c r="T13" i="7"/>
  <c r="AC14" i="7"/>
  <c r="AE14" i="7" s="1"/>
  <c r="T14" i="7"/>
  <c r="AC15" i="7"/>
  <c r="AE15" i="7" s="1"/>
  <c r="T15" i="7"/>
  <c r="L9" i="3"/>
  <c r="M9" i="3" l="1"/>
  <c r="M5" i="7"/>
  <c r="L10" i="3"/>
  <c r="M10" i="3" l="1"/>
  <c r="M6" i="7"/>
  <c r="N9" i="3"/>
  <c r="N5" i="7"/>
  <c r="L11" i="3"/>
  <c r="M11" i="3" l="1"/>
  <c r="M7" i="7"/>
  <c r="N10" i="3"/>
  <c r="N6" i="7"/>
  <c r="L12" i="3"/>
  <c r="M12" i="3" l="1"/>
  <c r="M8" i="7"/>
  <c r="N11" i="3"/>
  <c r="N7" i="7"/>
  <c r="L13" i="3"/>
  <c r="M13" i="3" l="1"/>
  <c r="M9" i="7"/>
  <c r="N12" i="3"/>
  <c r="N8" i="7"/>
  <c r="L14" i="3"/>
  <c r="M14" i="3" l="1"/>
  <c r="M10" i="7"/>
  <c r="N13" i="3"/>
  <c r="N9" i="7"/>
  <c r="L15" i="3"/>
  <c r="M15" i="3" l="1"/>
  <c r="M11" i="7"/>
  <c r="N14" i="3"/>
  <c r="N10" i="7"/>
  <c r="L16" i="3"/>
  <c r="M16" i="3" l="1"/>
  <c r="M12" i="7"/>
  <c r="N15" i="3"/>
  <c r="N11" i="7"/>
  <c r="L17" i="3"/>
  <c r="M17" i="3" l="1"/>
  <c r="M13" i="7"/>
  <c r="N16" i="3"/>
  <c r="N12" i="7"/>
  <c r="L18" i="3"/>
  <c r="M18" i="3" l="1"/>
  <c r="M14" i="7"/>
  <c r="N17" i="3"/>
  <c r="N13" i="7"/>
  <c r="L19" i="3"/>
  <c r="M19" i="3" l="1"/>
  <c r="M15" i="7"/>
  <c r="N18" i="3"/>
  <c r="N14" i="7"/>
  <c r="L20" i="3"/>
  <c r="M20" i="3" l="1"/>
  <c r="M16" i="7"/>
  <c r="N19" i="3"/>
  <c r="N15" i="7"/>
  <c r="L21" i="3"/>
  <c r="M21" i="3" l="1"/>
  <c r="M17" i="7"/>
  <c r="N20" i="3"/>
  <c r="N16" i="7"/>
  <c r="L22" i="3"/>
  <c r="M22" i="3" l="1"/>
  <c r="M18" i="7"/>
  <c r="N21" i="3"/>
  <c r="N17" i="7"/>
  <c r="L23" i="3"/>
  <c r="M23" i="3" l="1"/>
  <c r="M19" i="7"/>
  <c r="N22" i="3"/>
  <c r="N18" i="7"/>
  <c r="L24" i="3"/>
  <c r="M24" i="3" l="1"/>
  <c r="M20" i="7"/>
  <c r="N23" i="3"/>
  <c r="N19" i="7"/>
  <c r="L25" i="3"/>
  <c r="M25" i="3" l="1"/>
  <c r="M21" i="7"/>
  <c r="N24" i="3"/>
  <c r="N20" i="7"/>
  <c r="L26" i="3"/>
  <c r="M26" i="3" l="1"/>
  <c r="M22" i="7"/>
  <c r="N25" i="3"/>
  <c r="N21" i="7"/>
  <c r="L27" i="3"/>
  <c r="M27" i="3" l="1"/>
  <c r="M23" i="7"/>
  <c r="N26" i="3"/>
  <c r="N22" i="7"/>
  <c r="L28" i="3"/>
  <c r="M28" i="3" l="1"/>
  <c r="M24" i="7"/>
  <c r="N27" i="3"/>
  <c r="N23" i="7"/>
  <c r="H9" i="3"/>
  <c r="N28" i="3" l="1"/>
  <c r="N24" i="7"/>
  <c r="O5" i="7"/>
  <c r="C31" i="7" s="1"/>
  <c r="I9" i="3"/>
  <c r="H10" i="3"/>
  <c r="I10" i="3" l="1"/>
  <c r="O6" i="7"/>
  <c r="C32" i="7" s="1"/>
  <c r="H11" i="3"/>
  <c r="I11" i="3" l="1"/>
  <c r="O7" i="7"/>
  <c r="C33" i="7" s="1"/>
  <c r="H12" i="3"/>
  <c r="I12" i="3" l="1"/>
  <c r="O8" i="7"/>
  <c r="C34" i="7" s="1"/>
  <c r="H13" i="3"/>
  <c r="I13" i="3" l="1"/>
  <c r="O9" i="7"/>
  <c r="C35" i="7" s="1"/>
  <c r="H14" i="3"/>
  <c r="I14" i="3" l="1"/>
  <c r="O10" i="7"/>
  <c r="C36" i="7" s="1"/>
  <c r="H15" i="3"/>
  <c r="I15" i="3" l="1"/>
  <c r="O11" i="7"/>
  <c r="C37" i="7" s="1"/>
  <c r="H16" i="3"/>
  <c r="I16" i="3" l="1"/>
  <c r="O12" i="7"/>
  <c r="C38" i="7" s="1"/>
  <c r="H17" i="3"/>
  <c r="I17" i="3" l="1"/>
  <c r="O13" i="7"/>
  <c r="C39" i="7" s="1"/>
  <c r="H18" i="3"/>
  <c r="I18" i="3" l="1"/>
  <c r="O14" i="7"/>
  <c r="C40" i="7" s="1"/>
  <c r="H19" i="3"/>
  <c r="I19" i="3" l="1"/>
  <c r="O15" i="7"/>
  <c r="C41" i="7" s="1"/>
  <c r="H20" i="3"/>
  <c r="I20" i="3" l="1"/>
  <c r="O16" i="7"/>
  <c r="C42" i="7" s="1"/>
  <c r="H21" i="3"/>
  <c r="I21" i="3" l="1"/>
  <c r="O17" i="7"/>
  <c r="C43" i="7" s="1"/>
  <c r="H22" i="3"/>
  <c r="I22" i="3" l="1"/>
  <c r="O18" i="7"/>
  <c r="C44" i="7" s="1"/>
  <c r="H23" i="3"/>
  <c r="I23" i="3" l="1"/>
  <c r="O19" i="7"/>
  <c r="C45" i="7" s="1"/>
  <c r="H24" i="3"/>
  <c r="I24" i="3" l="1"/>
  <c r="O20" i="7"/>
  <c r="C46" i="7" s="1"/>
  <c r="H25" i="3"/>
  <c r="I25" i="3" l="1"/>
  <c r="O21" i="7"/>
  <c r="C47" i="7" s="1"/>
  <c r="H26" i="3"/>
  <c r="I26" i="3" l="1"/>
  <c r="O22" i="7"/>
  <c r="C48" i="7" s="1"/>
  <c r="H27" i="3"/>
  <c r="I27" i="3" l="1"/>
  <c r="O23" i="7"/>
  <c r="C49" i="7" s="1"/>
  <c r="H28" i="3"/>
  <c r="I28" i="3" l="1"/>
  <c r="O24" i="7"/>
  <c r="C50" i="7" s="1"/>
  <c r="B9" i="3"/>
  <c r="C9" i="3" l="1"/>
  <c r="E5" i="7"/>
  <c r="B10" i="3"/>
  <c r="C10" i="3" l="1"/>
  <c r="E6" i="7"/>
  <c r="F5" i="7"/>
  <c r="G5" i="7" s="1"/>
  <c r="B31" i="7" s="1"/>
  <c r="F31" i="7" s="1"/>
  <c r="D9" i="3"/>
  <c r="I61" i="3" s="1"/>
  <c r="J61" i="3" s="1"/>
  <c r="B11" i="3"/>
  <c r="C11" i="3" l="1"/>
  <c r="E7" i="7"/>
  <c r="D10" i="3"/>
  <c r="I62" i="3" s="1"/>
  <c r="J62" i="3" s="1"/>
  <c r="F6" i="7"/>
  <c r="G6" i="7" s="1"/>
  <c r="B32" i="7" s="1"/>
  <c r="F32" i="7" s="1"/>
  <c r="B12" i="3"/>
  <c r="C12" i="3" l="1"/>
  <c r="E8" i="7"/>
  <c r="D11" i="3"/>
  <c r="I63" i="3" s="1"/>
  <c r="J63" i="3" s="1"/>
  <c r="F7" i="7"/>
  <c r="G7" i="7" s="1"/>
  <c r="B33" i="7" s="1"/>
  <c r="F33" i="7" s="1"/>
  <c r="B13" i="3"/>
  <c r="C13" i="3" l="1"/>
  <c r="E9" i="7"/>
  <c r="D12" i="3"/>
  <c r="I64" i="3" s="1"/>
  <c r="J64" i="3" s="1"/>
  <c r="F8" i="7"/>
  <c r="G8" i="7" s="1"/>
  <c r="B34" i="7" s="1"/>
  <c r="F34" i="7" s="1"/>
  <c r="B14" i="3"/>
  <c r="C14" i="3" l="1"/>
  <c r="E10" i="7"/>
  <c r="D13" i="3"/>
  <c r="I65" i="3" s="1"/>
  <c r="J65" i="3" s="1"/>
  <c r="F9" i="7"/>
  <c r="G9" i="7" s="1"/>
  <c r="B35" i="7" s="1"/>
  <c r="F35" i="7" s="1"/>
  <c r="B16" i="3"/>
  <c r="B15" i="3"/>
  <c r="C15" i="3" l="1"/>
  <c r="E11" i="7"/>
  <c r="C16" i="3"/>
  <c r="E12" i="7"/>
  <c r="D14" i="3"/>
  <c r="I66" i="3" s="1"/>
  <c r="J66" i="3" s="1"/>
  <c r="F10" i="7"/>
  <c r="G10" i="7" s="1"/>
  <c r="B36" i="7" s="1"/>
  <c r="F36" i="7" s="1"/>
  <c r="B17" i="3"/>
  <c r="D16" i="3" l="1"/>
  <c r="I68" i="3" s="1"/>
  <c r="J68" i="3" s="1"/>
  <c r="F12" i="7"/>
  <c r="G12" i="7" s="1"/>
  <c r="B38" i="7" s="1"/>
  <c r="F38" i="7" s="1"/>
  <c r="C17" i="3"/>
  <c r="E13" i="7"/>
  <c r="D15" i="3"/>
  <c r="I67" i="3" s="1"/>
  <c r="J67" i="3" s="1"/>
  <c r="F11" i="7"/>
  <c r="G11" i="7" s="1"/>
  <c r="B37" i="7" s="1"/>
  <c r="F37" i="7" s="1"/>
  <c r="B18" i="3"/>
  <c r="C18" i="3" l="1"/>
  <c r="E14" i="7"/>
  <c r="D17" i="3"/>
  <c r="I69" i="3" s="1"/>
  <c r="J69" i="3" s="1"/>
  <c r="F13" i="7"/>
  <c r="G13" i="7" s="1"/>
  <c r="B39" i="7" s="1"/>
  <c r="F39" i="7" s="1"/>
  <c r="B19" i="3"/>
  <c r="C19" i="3" l="1"/>
  <c r="E15" i="7"/>
  <c r="D18" i="3"/>
  <c r="I70" i="3" s="1"/>
  <c r="J70" i="3" s="1"/>
  <c r="F14" i="7"/>
  <c r="G14" i="7" s="1"/>
  <c r="B40" i="7" s="1"/>
  <c r="F40" i="7" s="1"/>
  <c r="B20" i="3"/>
  <c r="D19" i="3" l="1"/>
  <c r="I71" i="3" s="1"/>
  <c r="J71" i="3" s="1"/>
  <c r="F15" i="7"/>
  <c r="G15" i="7" s="1"/>
  <c r="B41" i="7" s="1"/>
  <c r="F41" i="7" s="1"/>
  <c r="C20" i="3"/>
  <c r="E16" i="7"/>
  <c r="B21" i="3"/>
  <c r="C21" i="3" l="1"/>
  <c r="E17" i="7"/>
  <c r="D20" i="3"/>
  <c r="I72" i="3" s="1"/>
  <c r="J72" i="3" s="1"/>
  <c r="F16" i="7"/>
  <c r="G16" i="7" s="1"/>
  <c r="B42" i="7" s="1"/>
  <c r="F42" i="7" s="1"/>
  <c r="B23" i="3"/>
  <c r="B22" i="3"/>
  <c r="C23" i="3" l="1"/>
  <c r="E19" i="7"/>
  <c r="C22" i="3"/>
  <c r="E18" i="7"/>
  <c r="D21" i="3"/>
  <c r="I73" i="3" s="1"/>
  <c r="J73" i="3" s="1"/>
  <c r="F17" i="7"/>
  <c r="G17" i="7" s="1"/>
  <c r="B43" i="7" s="1"/>
  <c r="F43" i="7" s="1"/>
  <c r="B24" i="3"/>
  <c r="D22" i="3" l="1"/>
  <c r="I74" i="3" s="1"/>
  <c r="J74" i="3" s="1"/>
  <c r="F18" i="7"/>
  <c r="G18" i="7" s="1"/>
  <c r="B44" i="7" s="1"/>
  <c r="F44" i="7" s="1"/>
  <c r="C24" i="3"/>
  <c r="E20" i="7"/>
  <c r="D23" i="3"/>
  <c r="I75" i="3" s="1"/>
  <c r="J75" i="3" s="1"/>
  <c r="F19" i="7"/>
  <c r="G19" i="7" s="1"/>
  <c r="B45" i="7" s="1"/>
  <c r="F45" i="7" s="1"/>
  <c r="B25" i="3"/>
  <c r="C25" i="3" l="1"/>
  <c r="E21" i="7"/>
  <c r="D24" i="3"/>
  <c r="I76" i="3" s="1"/>
  <c r="J76" i="3" s="1"/>
  <c r="F20" i="7"/>
  <c r="G20" i="7" s="1"/>
  <c r="B46" i="7" s="1"/>
  <c r="F46" i="7" s="1"/>
  <c r="B26" i="3"/>
  <c r="C26" i="3" l="1"/>
  <c r="E22" i="7"/>
  <c r="D25" i="3"/>
  <c r="I77" i="3" s="1"/>
  <c r="J77" i="3" s="1"/>
  <c r="F21" i="7"/>
  <c r="G21" i="7" s="1"/>
  <c r="B47" i="7" s="1"/>
  <c r="F47" i="7" s="1"/>
  <c r="B27" i="3"/>
  <c r="C27" i="3" l="1"/>
  <c r="E23" i="7"/>
  <c r="D26" i="3"/>
  <c r="I78" i="3" s="1"/>
  <c r="J78" i="3" s="1"/>
  <c r="F22" i="7"/>
  <c r="G22" i="7" s="1"/>
  <c r="B48" i="7" s="1"/>
  <c r="F48" i="7" s="1"/>
  <c r="B28" i="3"/>
  <c r="C28" i="3" l="1"/>
  <c r="E24" i="7"/>
  <c r="D27" i="3"/>
  <c r="I79" i="3" s="1"/>
  <c r="J79" i="3" s="1"/>
  <c r="F23" i="7"/>
  <c r="G23" i="7" s="1"/>
  <c r="B49" i="7" s="1"/>
  <c r="F49" i="7" s="1"/>
  <c r="D28" i="3" l="1"/>
  <c r="I80" i="3" s="1"/>
  <c r="J80" i="3" s="1"/>
  <c r="F24" i="7"/>
  <c r="G24" i="7" s="1"/>
  <c r="B50" i="7" s="1"/>
  <c r="F50" i="7" s="1"/>
</calcChain>
</file>

<file path=xl/comments1.xml><?xml version="1.0" encoding="utf-8"?>
<comments xmlns="http://schemas.openxmlformats.org/spreadsheetml/2006/main">
  <authors>
    <author>Iwied</author>
  </authors>
  <commentLis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<sst xmlns="http://schemas.openxmlformats.org/spreadsheetml/2006/main" count="351" uniqueCount="180">
  <si>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</si>
  <si>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</si>
  <si>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</si>
  <si>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</si>
  <si>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</si>
  <si>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</si>
  <si>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</si>
  <si>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</si>
  <si>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</si>
  <si>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KONDISI Business As Usual (BaU)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</si>
  <si>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</si>
  <si>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</si>
  <si>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</si>
  <si>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</si>
  <si>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</si>
  <si>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</si>
  <si>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</si>
  <si>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</si>
  <si>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</si>
  <si>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</si>
  <si>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</si>
  <si>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</si>
  <si>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</si>
  <si>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</si>
  <si>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</si>
  <si>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</si>
  <si>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</si>
  <si>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</si>
  <si>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</si>
  <si>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</si>
  <si>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</si>
  <si>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</si>
  <si>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</si>
  <si>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</si>
  <si>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</si>
  <si>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</si>
  <si>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</si>
  <si>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</si>
  <si>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</si>
  <si>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</si>
  <si>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</si>
  <si>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</si>
  <si>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</si>
  <si>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</si>
  <si>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</si>
  <si>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</si>
  <si>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</si>
  <si>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</si>
  <si>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</si>
  <si>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</si>
  <si>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</si>
  <si>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</si>
  <si>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</si>
  <si>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</si>
  <si>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</si>
  <si>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</si>
  <si>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</si>
  <si>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</si>
  <si>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</si>
  <si>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</si>
  <si>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</si>
  <si>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</si>
  <si>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</si>
  <si>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</si>
  <si>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</si>
  <si>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</si>
  <si>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</si>
  <si>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</si>
  <si>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</si>
  <si>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</si>
  <si>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</si>
  <si>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</si>
  <si>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</si>
  <si>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</si>
  <si>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</si>
  <si>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</si>
  <si>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</si>
  <si>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</si>
  <si>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</si>
  <si>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</si>
  <si>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</si>
  <si>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</si>
  <si>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</si>
  <si>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</si>
  <si>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</si>
  <si>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</si>
  <si>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</si>
  <si>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</si>
  <si>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</si>
  <si>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</si>
  <si>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</si>
  <si>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</si>
  <si>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</si>
  <si>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</si>
  <si>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</si>
  <si>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</si>
  <si>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</si>
  <si>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</si>
  <si>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</si>
  <si>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</si>
  <si>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</si>
  <si>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</si>
  <si>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</si>
  <si>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</si>
  <si>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</si>
  <si>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</si>
  <si>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</si>
  <si>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</si>
  <si>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</si>
  <si>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</si>
  <si>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</si>
  <si>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</si>
  <si>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</si>
  <si>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</si>
  <si>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</si>
  <si>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</si>
  <si>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</si>
  <si>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</si>
  <si>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</si>
  <si>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</si>
  <si>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</si>
  <si>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</si>
  <si>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</si>
  <si>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</si>
  <si>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</si>
  <si>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</si>
  <si>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</si>
  <si>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</si>
  <si>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</si>
  <si>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</si>
  <si>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</si>
  <si>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</si>
  <si>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</si>
  <si>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</si>
  <si>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</si>
  <si>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</si>
  <si>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</si>
  <si>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</si>
  <si>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</si>
  <si>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</si>
  <si>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</si>
  <si>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</si>
  <si>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</si>
  <si>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</si>
  <si>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</si>
  <si>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</si>
  <si>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</si>
  <si>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</si>
  <si>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</si>
  <si>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</si>
  <si>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</si>
  <si>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</si>
  <si>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</si>
  <si>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1. Format Rekap BAU-Baseline dari Pengelolaan Sampah di TPA</t>
  </si>
  <si>
    <t>Timbulan Sampah (Gg)</t>
  </si>
  <si>
    <t>% Sampah masuk ke TPA</t>
  </si>
  <si>
    <t>Berat Sampah yang masuk ke TPA (Gg)</t>
  </si>
  <si>
    <t>Emisi GRK dari TPA</t>
  </si>
  <si>
    <t>Gg CH4</t>
  </si>
  <si>
    <t>Gg CO2-eq</t>
  </si>
  <si>
    <t>ton CO2-eq</t>
  </si>
  <si>
    <t>2. Format Rekap BAU-Baseline dari Sampah yang dibuang di Lahan Terbuka/Kebun/Lubang</t>
  </si>
  <si>
    <t>Berat Sampah yang dibuang sembarangan (Gg)</t>
  </si>
  <si>
    <t>% Sampah yang dibuang sembarangan</t>
  </si>
  <si>
    <t>% Sampah yang dibakar terbuka</t>
  </si>
  <si>
    <t>Gg N2O</t>
  </si>
  <si>
    <t>Total Gg CO2-eq</t>
  </si>
  <si>
    <t xml:space="preserve">Emisi GRK </t>
  </si>
  <si>
    <t>Berat Sampah yang dibakar terbuka (Gg)</t>
  </si>
  <si>
    <t>3. Format Rekap BAU-Baseline dari Sampah yang dibakar terbuka</t>
  </si>
  <si>
    <t>% Sampah yang dikomposkan</t>
  </si>
  <si>
    <t>Berat Sampah yang dikomposkan (Gg)</t>
  </si>
  <si>
    <t>4. Format Rekap BAU-Baseline dari Pengomposan Sampah</t>
  </si>
  <si>
    <t>TOTAL BAU BASELINE SEKTOR PERSAMPAHAN</t>
  </si>
  <si>
    <t>TAHUN</t>
  </si>
  <si>
    <t>Emisi TPA</t>
  </si>
  <si>
    <t>Emisi dari Dibuang Sembarangan</t>
  </si>
  <si>
    <t>Emisi dari Pembakaran Sampah</t>
  </si>
  <si>
    <t>Emisi dari Pengolahan Biologi (Kompos)</t>
  </si>
  <si>
    <t>Total Emisi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</si>
</sst>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67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15" fillId="2" borderId="11" xfId="0" applyFont="1" applyFill="1" applyBorder="1" applyAlignment="1">
      <alignment horizontal="center" vertical="center" wrapText="1"/>
    </xf>
    <xf numFmtId="0" fontId="15" fillId="15" borderId="10" xfId="0" applyFont="1" applyFill="1" applyBorder="1" applyAlignment="1">
      <alignment horizontal="center" vertical="center"/>
    </xf>
    <xf numFmtId="0" fontId="15" fillId="15" borderId="11" xfId="0" applyFont="1" applyFill="1" applyBorder="1" applyAlignment="1">
      <alignment horizontal="center" vertical="center" wrapText="1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0" borderId="1" xfId="0" applyNumberFormat="1" applyFont="1" applyBorder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0" fontId="41" fillId="16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50" fillId="13" borderId="1" xfId="0" applyFont="1" applyFill="1" applyBorder="1" applyAlignment="1">
      <alignment horizontal="center" vertical="center" wrapText="1"/>
    </xf>
    <xf numFmtId="168" fontId="1" fillId="8" borderId="1" xfId="1" applyNumberFormat="1" applyFont="1" applyFill="1" applyBorder="1" applyAlignment="1">
      <alignment vertical="center" wrapText="1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0" fontId="6" fillId="8" borderId="1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0" xfId="0" applyNumberFormat="1" applyAlignment="1">
      <alignment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horizontal="center" vertical="center"/>
    </xf>
    <xf numFmtId="43" fontId="0" fillId="0" borderId="1" xfId="0" applyNumberFormat="1" applyBorder="1" applyAlignment="1">
      <alignment vertical="center"/>
    </xf>
    <xf numFmtId="168" fontId="0" fillId="0" borderId="0" xfId="0" applyNumberFormat="1" applyAlignment="1">
      <alignment vertical="center"/>
    </xf>
    <xf numFmtId="168" fontId="0" fillId="0" borderId="1" xfId="0" applyNumberFormat="1" applyBorder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10" fontId="0" fillId="0" borderId="1" xfId="0" applyNumberFormat="1" applyBorder="1" applyAlignment="1">
      <alignment vertical="center"/>
    </xf>
    <xf numFmtId="171" fontId="6" fillId="8" borderId="1" xfId="0" applyNumberFormat="1" applyFont="1" applyFill="1" applyBorder="1" applyAlignment="1">
      <alignment horizontal="center" vertical="center" wrapText="1"/>
    </xf>
    <xf numFmtId="168" fontId="0" fillId="0" borderId="1" xfId="0" applyNumberFormat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5" fillId="17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15" borderId="3" xfId="0" applyFont="1" applyFill="1" applyBorder="1" applyAlignment="1">
      <alignment horizontal="center" vertical="center"/>
    </xf>
    <xf numFmtId="0" fontId="15" fillId="15" borderId="2" xfId="0" applyFont="1" applyFill="1" applyBorder="1" applyAlignment="1">
      <alignment horizontal="center" vertical="center"/>
    </xf>
    <xf numFmtId="0" fontId="15" fillId="15" borderId="19" xfId="0" applyFont="1" applyFill="1" applyBorder="1" applyAlignment="1">
      <alignment horizontal="center" vertical="center"/>
    </xf>
    <xf numFmtId="0" fontId="15" fillId="15" borderId="20" xfId="0" applyFont="1" applyFill="1" applyBorder="1" applyAlignment="1">
      <alignment horizontal="center" vertical="center"/>
    </xf>
    <xf numFmtId="0" fontId="15" fillId="15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41" fillId="16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5" fillId="3" borderId="1" xfId="0" applyFont="1" applyFill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'Fraksi pengelolaan sampah BaU'!$B$5</c:f>
              <c:strCache>
                <c:ptCount val="1"/>
                <c:pt idx="0">
                  <c:v>Diangkut ke TPA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BaU'!$B$6:$B$25</c:f>
              <c:numCache>
                <c:formatCode>0.0%</c:formatCode>
                <c:ptCount val="20"/>
                <c:pt idx="0">
                  <c:v>0.31609999999999999</c:v>
                </c:pt>
                <c:pt idx="1">
                  <c:v>0.31609999999999999</c:v>
                </c:pt>
                <c:pt idx="2">
                  <c:v>0.31609999999999999</c:v>
                </c:pt>
                <c:pt idx="3">
                  <c:v>0.31609999999999999</c:v>
                </c:pt>
                <c:pt idx="4">
                  <c:v>0.31609999999999999</c:v>
                </c:pt>
                <c:pt idx="5">
                  <c:v>0.31609999999999999</c:v>
                </c:pt>
                <c:pt idx="6">
                  <c:v>0.31609999999999999</c:v>
                </c:pt>
                <c:pt idx="7">
                  <c:v>0.31609999999999999</c:v>
                </c:pt>
                <c:pt idx="8">
                  <c:v>0.31609999999999999</c:v>
                </c:pt>
                <c:pt idx="9">
                  <c:v>0.31609999999999999</c:v>
                </c:pt>
                <c:pt idx="10">
                  <c:v>0.31609999999999999</c:v>
                </c:pt>
                <c:pt idx="11">
                  <c:v>0.31609999999999999</c:v>
                </c:pt>
                <c:pt idx="12">
                  <c:v>0.31609999999999999</c:v>
                </c:pt>
                <c:pt idx="13">
                  <c:v>0.31609999999999999</c:v>
                </c:pt>
                <c:pt idx="14">
                  <c:v>0.31609999999999999</c:v>
                </c:pt>
                <c:pt idx="15">
                  <c:v>0.31609999999999999</c:v>
                </c:pt>
                <c:pt idx="16">
                  <c:v>0.31609999999999999</c:v>
                </c:pt>
                <c:pt idx="17">
                  <c:v>0.31609999999999999</c:v>
                </c:pt>
                <c:pt idx="18">
                  <c:v>0.31609999999999999</c:v>
                </c:pt>
                <c:pt idx="19">
                  <c:v>0.31609999999999999</c:v>
                </c:pt>
              </c:numCache>
            </c:numRef>
          </c:val>
        </c:ser>
        <c:ser>
          <c:idx val="1"/>
          <c:order val="1"/>
          <c:tx>
            <c:strRef>
              <c:f>'Fraksi pengelolaan sampah BaU'!$C$5</c:f>
              <c:strCache>
                <c:ptCount val="1"/>
                <c:pt idx="0">
                  <c:v>Open dumping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BaU'!$C$6:$C$25</c:f>
              <c:numCache>
                <c:formatCode>0.0%</c:formatCode>
                <c:ptCount val="20"/>
                <c:pt idx="0">
                  <c:v>0.2802</c:v>
                </c:pt>
                <c:pt idx="1">
                  <c:v>0.2802</c:v>
                </c:pt>
                <c:pt idx="2">
                  <c:v>0.2802</c:v>
                </c:pt>
                <c:pt idx="3">
                  <c:v>0.2802</c:v>
                </c:pt>
                <c:pt idx="4">
                  <c:v>0.2802</c:v>
                </c:pt>
                <c:pt idx="5">
                  <c:v>0.2802</c:v>
                </c:pt>
                <c:pt idx="6">
                  <c:v>0.2802</c:v>
                </c:pt>
                <c:pt idx="7">
                  <c:v>0.2802</c:v>
                </c:pt>
                <c:pt idx="8">
                  <c:v>0.2802</c:v>
                </c:pt>
                <c:pt idx="9">
                  <c:v>0.2802</c:v>
                </c:pt>
                <c:pt idx="10">
                  <c:v>0.2802</c:v>
                </c:pt>
                <c:pt idx="11">
                  <c:v>0.2802</c:v>
                </c:pt>
                <c:pt idx="12">
                  <c:v>0.2802</c:v>
                </c:pt>
                <c:pt idx="13">
                  <c:v>0.2802</c:v>
                </c:pt>
                <c:pt idx="14">
                  <c:v>0.2802</c:v>
                </c:pt>
                <c:pt idx="15">
                  <c:v>0.2802</c:v>
                </c:pt>
                <c:pt idx="16">
                  <c:v>0.2802</c:v>
                </c:pt>
                <c:pt idx="17">
                  <c:v>0.2802</c:v>
                </c:pt>
                <c:pt idx="18">
                  <c:v>0.2802</c:v>
                </c:pt>
                <c:pt idx="19">
                  <c:v>0.2802</c:v>
                </c:pt>
              </c:numCache>
            </c:numRef>
          </c:val>
        </c:ser>
        <c:ser>
          <c:idx val="2"/>
          <c:order val="2"/>
          <c:tx>
            <c:strRef>
              <c:f>'Fraksi pengelolaan sampah BaU'!$D$5</c:f>
              <c:strCache>
                <c:ptCount val="1"/>
                <c:pt idx="0">
                  <c:v>Kompos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BaU'!$D$6:$D$25</c:f>
              <c:numCache>
                <c:formatCode>0.0%</c:formatCode>
                <c:ptCount val="20"/>
                <c:pt idx="0">
                  <c:v>1.35E-2</c:v>
                </c:pt>
                <c:pt idx="1">
                  <c:v>1.35E-2</c:v>
                </c:pt>
                <c:pt idx="2">
                  <c:v>1.35E-2</c:v>
                </c:pt>
                <c:pt idx="3">
                  <c:v>1.35E-2</c:v>
                </c:pt>
                <c:pt idx="4">
                  <c:v>1.35E-2</c:v>
                </c:pt>
                <c:pt idx="5">
                  <c:v>1.35E-2</c:v>
                </c:pt>
                <c:pt idx="6">
                  <c:v>1.35E-2</c:v>
                </c:pt>
                <c:pt idx="7">
                  <c:v>1.35E-2</c:v>
                </c:pt>
                <c:pt idx="8">
                  <c:v>1.35E-2</c:v>
                </c:pt>
                <c:pt idx="9">
                  <c:v>1.35E-2</c:v>
                </c:pt>
                <c:pt idx="10">
                  <c:v>1.35E-2</c:v>
                </c:pt>
                <c:pt idx="11">
                  <c:v>1.35E-2</c:v>
                </c:pt>
                <c:pt idx="12">
                  <c:v>1.35E-2</c:v>
                </c:pt>
                <c:pt idx="13">
                  <c:v>1.35E-2</c:v>
                </c:pt>
                <c:pt idx="14">
                  <c:v>1.35E-2</c:v>
                </c:pt>
                <c:pt idx="15">
                  <c:v>1.35E-2</c:v>
                </c:pt>
                <c:pt idx="16">
                  <c:v>1.35E-2</c:v>
                </c:pt>
                <c:pt idx="17">
                  <c:v>1.35E-2</c:v>
                </c:pt>
                <c:pt idx="18">
                  <c:v>1.35E-2</c:v>
                </c:pt>
                <c:pt idx="19">
                  <c:v>1.35E-2</c:v>
                </c:pt>
              </c:numCache>
            </c:numRef>
          </c:val>
        </c:ser>
        <c:ser>
          <c:idx val="3"/>
          <c:order val="3"/>
          <c:tx>
            <c:strRef>
              <c:f>'Fraksi pengelolaan sampah BaU'!$E$5</c:f>
              <c:strCache>
                <c:ptCount val="1"/>
                <c:pt idx="0">
                  <c:v>Dibakar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BaU'!$E$6:$E$25</c:f>
              <c:numCache>
                <c:formatCode>0.0%</c:formatCode>
                <c:ptCount val="20"/>
                <c:pt idx="0">
                  <c:v>0.39019999999999999</c:v>
                </c:pt>
                <c:pt idx="1">
                  <c:v>0.39019999999999999</c:v>
                </c:pt>
                <c:pt idx="2">
                  <c:v>0.39019999999999999</c:v>
                </c:pt>
                <c:pt idx="3">
                  <c:v>0.39019999999999999</c:v>
                </c:pt>
                <c:pt idx="4">
                  <c:v>0.39019999999999999</c:v>
                </c:pt>
                <c:pt idx="5">
                  <c:v>0.39019999999999999</c:v>
                </c:pt>
                <c:pt idx="6">
                  <c:v>0.39019999999999999</c:v>
                </c:pt>
                <c:pt idx="7">
                  <c:v>0.39019999999999999</c:v>
                </c:pt>
                <c:pt idx="8">
                  <c:v>0.39019999999999999</c:v>
                </c:pt>
                <c:pt idx="9">
                  <c:v>0.39019999999999999</c:v>
                </c:pt>
                <c:pt idx="10">
                  <c:v>0.39019999999999999</c:v>
                </c:pt>
                <c:pt idx="11">
                  <c:v>0.39019999999999999</c:v>
                </c:pt>
                <c:pt idx="12">
                  <c:v>0.39019999999999999</c:v>
                </c:pt>
                <c:pt idx="13">
                  <c:v>0.39019999999999999</c:v>
                </c:pt>
                <c:pt idx="14">
                  <c:v>0.39019999999999999</c:v>
                </c:pt>
                <c:pt idx="15">
                  <c:v>0.39019999999999999</c:v>
                </c:pt>
                <c:pt idx="16">
                  <c:v>0.39019999999999999</c:v>
                </c:pt>
                <c:pt idx="17">
                  <c:v>0.39019999999999999</c:v>
                </c:pt>
                <c:pt idx="18">
                  <c:v>0.39019999999999999</c:v>
                </c:pt>
                <c:pt idx="19">
                  <c:v>0.39019999999999999</c:v>
                </c:pt>
              </c:numCache>
            </c:numRef>
          </c:val>
        </c:ser>
        <c:ser>
          <c:idx val="4"/>
          <c:order val="4"/>
          <c:tx>
            <c:strRef>
              <c:f>'Fraksi pengelolaan sampah BaU'!$F$5</c:f>
              <c:strCache>
                <c:ptCount val="1"/>
                <c:pt idx="0">
                  <c:v>Dibuang ke sungai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BaU'!$F$6:$F$25</c:f>
              <c:numCache>
                <c:formatCode>0.00%</c:formatCode>
                <c:ptCount val="20"/>
              </c:numCache>
            </c:numRef>
          </c:val>
        </c:ser>
        <c:ser>
          <c:idx val="5"/>
          <c:order val="5"/>
          <c:tx>
            <c:strRef>
              <c:f>'Fraksi pengelolaan sampah BaU'!$G$5</c:f>
              <c:strCache>
                <c:ptCount val="1"/>
                <c:pt idx="0">
                  <c:v>Dibuang sembarangan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BaU'!$G$6:$G$25</c:f>
              <c:numCache>
                <c:formatCode>0.00%</c:formatCode>
                <c:ptCount val="20"/>
              </c:numCache>
            </c:numRef>
          </c:val>
        </c:ser>
        <c:ser>
          <c:idx val="6"/>
          <c:order val="6"/>
          <c:tx>
            <c:strRef>
              <c:f>'Fraksi pengelolaan sampah BaU'!$H$5</c:f>
              <c:strCache>
                <c:ptCount val="1"/>
                <c:pt idx="0">
                  <c:v>Lainnya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'Fraksi pengelolaan sampah BaU'!$A$6:$A$25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'Fraksi pengelolaan sampah BaU'!$H$6:$H$25</c:f>
              <c:numCache>
                <c:formatCode>0.00%</c:formatCode>
                <c:ptCount val="20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823344"/>
        <c:axId val="220823736"/>
      </c:barChart>
      <c:catAx>
        <c:axId val="22082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3736"/>
        <c:crosses val="autoZero"/>
        <c:auto val="1"/>
        <c:lblAlgn val="ctr"/>
        <c:lblOffset val="100"/>
        <c:noMultiLvlLbl val="0"/>
      </c:catAx>
      <c:valAx>
        <c:axId val="2208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GRK'!$F$35:$F$45</c:f>
              <c:numCache>
                <c:formatCode>_(* #,##0.00_);_(* \(#,##0.00\);_(* "-"??_);_(@_)</c:formatCode>
                <c:ptCount val="11"/>
                <c:pt idx="0">
                  <c:v>0.30079140695999995</c:v>
                </c:pt>
                <c:pt idx="1">
                  <c:v>0.30662025767999995</c:v>
                </c:pt>
                <c:pt idx="2">
                  <c:v>0.31242913218000001</c:v>
                </c:pt>
                <c:pt idx="3">
                  <c:v>0.31809291623999991</c:v>
                </c:pt>
                <c:pt idx="4">
                  <c:v>0.32360109605999998</c:v>
                </c:pt>
                <c:pt idx="5">
                  <c:v>0.32906511791999993</c:v>
                </c:pt>
                <c:pt idx="6">
                  <c:v>0.34169271740999996</c:v>
                </c:pt>
                <c:pt idx="7">
                  <c:v>0.34963011072000005</c:v>
                </c:pt>
                <c:pt idx="8">
                  <c:v>0.35756750403000004</c:v>
                </c:pt>
                <c:pt idx="9">
                  <c:v>0.36550489734000008</c:v>
                </c:pt>
                <c:pt idx="10">
                  <c:v>0.37344229065000001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dibuang ke badan air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GRK'!$S$9:$S$29</c:f>
              <c:numCache>
                <c:formatCode>_(* #,##0.00_);_(* \(#,##0.00\);_(* "-"??_);_(@_)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0.0000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34.94452452656639</c:v>
                </c:pt>
                <c:pt idx="1">
                  <c:v>36.651144206788132</c:v>
                </c:pt>
                <c:pt idx="2">
                  <c:v>38.162890625184616</c:v>
                </c:pt>
                <c:pt idx="3">
                  <c:v>39.53456374376605</c:v>
                </c:pt>
                <c:pt idx="4">
                  <c:v>40.799406105279935</c:v>
                </c:pt>
                <c:pt idx="5">
                  <c:v>41.980082850959448</c:v>
                </c:pt>
                <c:pt idx="6">
                  <c:v>43.096511751669162</c:v>
                </c:pt>
                <c:pt idx="7">
                  <c:v>44.426819070176478</c:v>
                </c:pt>
                <c:pt idx="8">
                  <c:v>45.733560360612479</c:v>
                </c:pt>
                <c:pt idx="9">
                  <c:v>47.022395256325332</c:v>
                </c:pt>
                <c:pt idx="10">
                  <c:v>48.297364676495086</c:v>
                </c:pt>
                <c:pt idx="11">
                  <c:v>49.561391432836679</c:v>
                </c:pt>
                <c:pt idx="12">
                  <c:v>50.81662058555316</c:v>
                </c:pt>
                <c:pt idx="13">
                  <c:v>52.064651656811208</c:v>
                </c:pt>
                <c:pt idx="14">
                  <c:v>53.306697742291618</c:v>
                </c:pt>
                <c:pt idx="15">
                  <c:v>54.543695103243905</c:v>
                </c:pt>
                <c:pt idx="16">
                  <c:v>55.776379126270818</c:v>
                </c:pt>
                <c:pt idx="17">
                  <c:v>57.005337367500346</c:v>
                </c:pt>
                <c:pt idx="18">
                  <c:v>58.231046921466138</c:v>
                </c:pt>
                <c:pt idx="19">
                  <c:v>59.45390101597944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GRK'!$A$35:$A$55</c:f>
              <c:numCache>
                <c:formatCode>General</c:formatCode>
                <c:ptCount val="2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  <c:pt idx="20">
                  <c:v>2031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1.6404372176781594</c:v>
                </c:pt>
                <c:pt idx="1">
                  <c:v>1.67222623636728</c:v>
                </c:pt>
                <c:pt idx="2">
                  <c:v>1.7039063100067802</c:v>
                </c:pt>
                <c:pt idx="3">
                  <c:v>1.7347950985490399</c:v>
                </c:pt>
                <c:pt idx="4">
                  <c:v>1.76483526249426</c:v>
                </c:pt>
                <c:pt idx="5">
                  <c:v>1.7946346005403198</c:v>
                </c:pt>
                <c:pt idx="6">
                  <c:v>1.8635022067751099</c:v>
                </c:pt>
                <c:pt idx="7">
                  <c:v>1.9067906621491204</c:v>
                </c:pt>
                <c:pt idx="8">
                  <c:v>1.9500791175231298</c:v>
                </c:pt>
                <c:pt idx="9">
                  <c:v>1.9933675728971403</c:v>
                </c:pt>
                <c:pt idx="10">
                  <c:v>2.0366560282711497</c:v>
                </c:pt>
                <c:pt idx="11">
                  <c:v>2.0799444836451602</c:v>
                </c:pt>
                <c:pt idx="12">
                  <c:v>2.1232329390191698</c:v>
                </c:pt>
                <c:pt idx="13">
                  <c:v>2.1665213943931798</c:v>
                </c:pt>
                <c:pt idx="14">
                  <c:v>2.2098098497671899</c:v>
                </c:pt>
                <c:pt idx="15">
                  <c:v>2.2530983051411995</c:v>
                </c:pt>
                <c:pt idx="16">
                  <c:v>2.29638676051521</c:v>
                </c:pt>
                <c:pt idx="17">
                  <c:v>2.3396752158892196</c:v>
                </c:pt>
                <c:pt idx="18">
                  <c:v>2.3829636712632292</c:v>
                </c:pt>
                <c:pt idx="19">
                  <c:v>2.4262521266372401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0824520"/>
        <c:axId val="220824912"/>
        <c:axId val="0"/>
      </c:bar3DChart>
      <c:catAx>
        <c:axId val="220824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24912"/>
        <c:crosses val="autoZero"/>
        <c:auto val="1"/>
        <c:lblAlgn val="ctr"/>
        <c:lblOffset val="100"/>
        <c:noMultiLvlLbl val="0"/>
      </c:catAx>
      <c:valAx>
        <c:axId val="2208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22082452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9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6.2977464656228577</c:v>
                </c:pt>
                <c:pt idx="1">
                  <c:v>6.1884992550857154</c:v>
                </c:pt>
                <c:pt idx="2">
                  <c:v>6.2165673664914287</c:v>
                </c:pt>
                <c:pt idx="3">
                  <c:v>6.4697688403123816</c:v>
                </c:pt>
                <c:pt idx="4">
                  <c:v>6.5818010433161911</c:v>
                </c:pt>
                <c:pt idx="5">
                  <c:v>6.6929351068800003</c:v>
                </c:pt>
                <c:pt idx="6">
                  <c:v>6.9497709103114298</c:v>
                </c:pt>
                <c:pt idx="7">
                  <c:v>7.1112114746514301</c:v>
                </c:pt>
                <c:pt idx="8">
                  <c:v>7.2726520389914295</c:v>
                </c:pt>
                <c:pt idx="9">
                  <c:v>7.4340926033314298</c:v>
                </c:pt>
                <c:pt idx="10">
                  <c:v>7.5955331676714284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12.5531846000064</c:v>
                </c:pt>
                <c:pt idx="1">
                  <c:v>12.796445003731199</c:v>
                </c:pt>
                <c:pt idx="2">
                  <c:v>13.038871722811201</c:v>
                </c:pt>
                <c:pt idx="3">
                  <c:v>13.2752432586816</c:v>
                </c:pt>
                <c:pt idx="4">
                  <c:v>13.505120829950402</c:v>
                </c:pt>
                <c:pt idx="5">
                  <c:v>13.733155519372795</c:v>
                </c:pt>
                <c:pt idx="6">
                  <c:v>14.260153910234402</c:v>
                </c:pt>
                <c:pt idx="7">
                  <c:v>14.591411922124799</c:v>
                </c:pt>
                <c:pt idx="8">
                  <c:v>14.9226699340152</c:v>
                </c:pt>
                <c:pt idx="9">
                  <c:v>15.253927945905602</c:v>
                </c:pt>
                <c:pt idx="10">
                  <c:v>15.585185957796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7862304"/>
        <c:axId val="287862696"/>
        <c:axId val="0"/>
      </c:bar3DChart>
      <c:catAx>
        <c:axId val="2878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2696"/>
        <c:crosses val="autoZero"/>
        <c:auto val="1"/>
        <c:lblAlgn val="ctr"/>
        <c:lblOffset val="100"/>
        <c:noMultiLvlLbl val="0"/>
      </c:catAx>
      <c:valAx>
        <c:axId val="28786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2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_(* #,##0.00_);_(* \(#,##0.00\);_(* "-"??_);_(@_)</c:formatCode>
                <c:ptCount val="20"/>
                <c:pt idx="0">
                  <c:v>18850.931065629258</c:v>
                </c:pt>
                <c:pt idx="1">
                  <c:v>18984.944258816915</c:v>
                </c:pt>
                <c:pt idx="2">
                  <c:v>19255.439089302628</c:v>
                </c:pt>
                <c:pt idx="3">
                  <c:v>19745.012098993982</c:v>
                </c:pt>
                <c:pt idx="4">
                  <c:v>20086.921873266594</c:v>
                </c:pt>
                <c:pt idx="5">
                  <c:v>20426.090626252793</c:v>
                </c:pt>
                <c:pt idx="6">
                  <c:v>21209.924820545832</c:v>
                </c:pt>
                <c:pt idx="7">
                  <c:v>21702.623396776227</c:v>
                </c:pt>
                <c:pt idx="8">
                  <c:v>22195.321973006627</c:v>
                </c:pt>
                <c:pt idx="9">
                  <c:v>22688.02054923703</c:v>
                </c:pt>
                <c:pt idx="10">
                  <c:v>23180.719125467425</c:v>
                </c:pt>
                <c:pt idx="11">
                  <c:v>23673.417701697828</c:v>
                </c:pt>
                <c:pt idx="12">
                  <c:v>24166.116277928231</c:v>
                </c:pt>
                <c:pt idx="13">
                  <c:v>24658.814854158627</c:v>
                </c:pt>
                <c:pt idx="14">
                  <c:v>25151.51343038903</c:v>
                </c:pt>
                <c:pt idx="15">
                  <c:v>25644.212006619433</c:v>
                </c:pt>
                <c:pt idx="16">
                  <c:v>26136.910582849829</c:v>
                </c:pt>
                <c:pt idx="17">
                  <c:v>26629.609159080232</c:v>
                </c:pt>
                <c:pt idx="18">
                  <c:v>27122.307735310627</c:v>
                </c:pt>
                <c:pt idx="19">
                  <c:v>27615.006311541034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63872"/>
        <c:axId val="287864264"/>
      </c:lineChart>
      <c:catAx>
        <c:axId val="287863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4264"/>
        <c:crosses val="autoZero"/>
        <c:auto val="1"/>
        <c:lblAlgn val="ctr"/>
        <c:lblOffset val="100"/>
        <c:noMultiLvlLbl val="0"/>
      </c:catAx>
      <c:valAx>
        <c:axId val="287864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61666.406798389376</c:v>
                </c:pt>
                <c:pt idx="1">
                  <c:v>64620.881195595386</c:v>
                </c:pt>
                <c:pt idx="2">
                  <c:v>67242.160463263164</c:v>
                </c:pt>
                <c:pt idx="3">
                  <c:v>69623.098100860065</c:v>
                </c:pt>
                <c:pt idx="4">
                  <c:v>71820.442503567043</c:v>
                </c:pt>
                <c:pt idx="5">
                  <c:v>73873.65087650952</c:v>
                </c:pt>
                <c:pt idx="6">
                  <c:v>75863.28236156817</c:v>
                </c:pt>
                <c:pt idx="7">
                  <c:v>78188.193220998015</c:v>
                </c:pt>
                <c:pt idx="8">
                  <c:v>80472.826376138692</c:v>
                </c:pt>
                <c:pt idx="9">
                  <c:v>82726.85494787815</c:v>
                </c:pt>
                <c:pt idx="10">
                  <c:v>84957.185443638751</c:v>
                </c:pt>
                <c:pt idx="11">
                  <c:v>87168.813365657494</c:v>
                </c:pt>
                <c:pt idx="12">
                  <c:v>89365.404927870797</c:v>
                </c:pt>
                <c:pt idx="13">
                  <c:v>91549.693941875492</c:v>
                </c:pt>
                <c:pt idx="14">
                  <c:v>93723.753761270185</c:v>
                </c:pt>
                <c:pt idx="15">
                  <c:v>95889.184590112651</c:v>
                </c:pt>
                <c:pt idx="16">
                  <c:v>98047.243309029262</c:v>
                </c:pt>
                <c:pt idx="17">
                  <c:v>100198.93413527308</c:v>
                </c:pt>
                <c:pt idx="18">
                  <c:v>102345.07249147231</c:v>
                </c:pt>
                <c:pt idx="19">
                  <c:v>104486.33046006065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7866616"/>
        <c:axId val="287867008"/>
      </c:lineChart>
      <c:catAx>
        <c:axId val="287866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7008"/>
        <c:crosses val="autoZero"/>
        <c:auto val="1"/>
        <c:lblAlgn val="ctr"/>
        <c:lblOffset val="100"/>
        <c:noMultiLvlLbl val="0"/>
      </c:catAx>
      <c:valAx>
        <c:axId val="28786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866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85725</xdr:rowOff>
    </xdr:from>
    <xdr:to>
      <xdr:col>19</xdr:col>
      <xdr:colOff>66675</xdr:colOff>
      <xdr:row>20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257734</xdr:colOff>
      <xdr:row>29</xdr:row>
      <xdr:rowOff>118582</xdr:rowOff>
    </xdr:from>
    <xdr:to>
      <xdr:col>22</xdr:col>
      <xdr:colOff>381000</xdr:colOff>
      <xdr:row>53</xdr:row>
      <xdr:rowOff>44823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=""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1_Diangkut%20TP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3_Dibuang%20Sembarangan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2_Open%20Dumping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4_Buang%20ke%20sunga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BPP_IPCC%204A-TPA%20-%205_Peng%20biologi%20sampah_pembakaran%20sampah_Air%20Limbah_BA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I14">
            <v>572184</v>
          </cell>
        </row>
        <row r="15">
          <cell r="I15">
            <v>583272</v>
          </cell>
        </row>
        <row r="16">
          <cell r="I16">
            <v>594322</v>
          </cell>
        </row>
        <row r="17">
          <cell r="I17">
            <v>605096</v>
          </cell>
        </row>
        <row r="18">
          <cell r="I18">
            <v>615574</v>
          </cell>
        </row>
        <row r="19">
          <cell r="I19">
            <v>625968</v>
          </cell>
        </row>
        <row r="20">
          <cell r="I20">
            <v>649989</v>
          </cell>
        </row>
        <row r="21">
          <cell r="I21">
            <v>665088</v>
          </cell>
        </row>
        <row r="22">
          <cell r="I22">
            <v>680187</v>
          </cell>
        </row>
        <row r="23">
          <cell r="I23">
            <v>695286</v>
          </cell>
        </row>
        <row r="24">
          <cell r="I24">
            <v>710385</v>
          </cell>
        </row>
        <row r="25">
          <cell r="I25">
            <v>725484</v>
          </cell>
        </row>
        <row r="26">
          <cell r="I26">
            <v>740583</v>
          </cell>
        </row>
        <row r="27">
          <cell r="I27">
            <v>755682</v>
          </cell>
        </row>
        <row r="28">
          <cell r="I28">
            <v>770781</v>
          </cell>
        </row>
        <row r="29">
          <cell r="I29">
            <v>785880</v>
          </cell>
        </row>
        <row r="30">
          <cell r="I30">
            <v>800979</v>
          </cell>
        </row>
        <row r="31">
          <cell r="I31">
            <v>816078</v>
          </cell>
        </row>
        <row r="32">
          <cell r="I32">
            <v>831177</v>
          </cell>
        </row>
        <row r="33">
          <cell r="I33">
            <v>846276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8">
          <cell r="O28">
            <v>1.6640249774555425</v>
          </cell>
        </row>
        <row r="29">
          <cell r="O29">
            <v>1.7452925812756255</v>
          </cell>
        </row>
        <row r="30">
          <cell r="O30">
            <v>1.8172805059611721</v>
          </cell>
        </row>
        <row r="31">
          <cell r="O31">
            <v>1.8825982735126692</v>
          </cell>
        </row>
        <row r="32">
          <cell r="O32">
            <v>1.9428288621561873</v>
          </cell>
        </row>
        <row r="33">
          <cell r="O33">
            <v>1.9990515643314024</v>
          </cell>
        </row>
        <row r="34">
          <cell r="O34">
            <v>2.0522148453175793</v>
          </cell>
        </row>
        <row r="35">
          <cell r="O35">
            <v>2.1155628128655466</v>
          </cell>
        </row>
        <row r="36">
          <cell r="O36">
            <v>2.1777885886005941</v>
          </cell>
        </row>
        <row r="37">
          <cell r="O37">
            <v>2.2391616788726347</v>
          </cell>
        </row>
        <row r="38">
          <cell r="O38">
            <v>2.2998745084045278</v>
          </cell>
        </row>
        <row r="39">
          <cell r="O39">
            <v>2.3600662587065084</v>
          </cell>
        </row>
        <row r="40">
          <cell r="O40">
            <v>2.4198390755025314</v>
          </cell>
        </row>
        <row r="41">
          <cell r="O41">
            <v>2.4792691265148195</v>
          </cell>
        </row>
        <row r="42">
          <cell r="O42">
            <v>2.5384141782043628</v>
          </cell>
        </row>
        <row r="43">
          <cell r="O43">
            <v>2.597318814440186</v>
          </cell>
        </row>
        <row r="44">
          <cell r="O44">
            <v>2.6560180536319438</v>
          </cell>
        </row>
        <row r="45">
          <cell r="O45">
            <v>2.7145398746428735</v>
          </cell>
        </row>
        <row r="46">
          <cell r="O46">
            <v>2.7729069962602924</v>
          </cell>
        </row>
        <row r="47">
          <cell r="O47">
            <v>2.8311381436180687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1.1800311260564202</v>
          </cell>
        </row>
        <row r="29">
          <cell r="O29">
            <v>1.2376614521314273</v>
          </cell>
        </row>
        <row r="30">
          <cell r="O30">
            <v>1.2887111617091314</v>
          </cell>
        </row>
        <row r="31">
          <cell r="O31">
            <v>1.3350307782049984</v>
          </cell>
        </row>
        <row r="32">
          <cell r="O32">
            <v>1.377742859034897</v>
          </cell>
        </row>
        <row r="33">
          <cell r="O33">
            <v>1.4176127765280835</v>
          </cell>
        </row>
        <row r="34">
          <cell r="O34">
            <v>1.455313127891138</v>
          </cell>
        </row>
        <row r="35">
          <cell r="O35">
            <v>1.5002358751405915</v>
          </cell>
        </row>
        <row r="36">
          <cell r="O36">
            <v>1.5443628282844326</v>
          </cell>
        </row>
        <row r="37">
          <cell r="O37">
            <v>1.587885105776937</v>
          </cell>
        </row>
        <row r="38">
          <cell r="O38">
            <v>1.630939164201072</v>
          </cell>
        </row>
        <row r="39">
          <cell r="O39">
            <v>1.6736237031055077</v>
          </cell>
        </row>
        <row r="40">
          <cell r="O40">
            <v>1.7160111583823077</v>
          </cell>
        </row>
        <row r="41">
          <cell r="O41">
            <v>1.7581555438138623</v>
          </cell>
        </row>
        <row r="42">
          <cell r="O42">
            <v>1.8000978240629228</v>
          </cell>
        </row>
        <row r="43">
          <cell r="O43">
            <v>1.8418696154536922</v>
          </cell>
        </row>
        <row r="44">
          <cell r="O44">
            <v>1.8834957510349151</v>
          </cell>
        </row>
        <row r="45">
          <cell r="O45">
            <v>1.9249960718125483</v>
          </cell>
        </row>
        <row r="46">
          <cell r="O46">
            <v>1.9663866886482355</v>
          </cell>
        </row>
        <row r="47">
          <cell r="O47">
            <v>2.0076808803335222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REKAPITULASI"/>
      <sheetName val="4B_CH4 emissions"/>
      <sheetName val="4B_N2O emission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>
        <row r="6">
          <cell r="B6">
            <v>6.7975459199999992E-3</v>
          </cell>
          <cell r="D6">
            <v>5.0981594399999997E-4</v>
          </cell>
        </row>
        <row r="7">
          <cell r="B7">
            <v>6.9292713599999993E-3</v>
          </cell>
          <cell r="D7">
            <v>5.1969535199999993E-4</v>
          </cell>
        </row>
        <row r="8">
          <cell r="B8">
            <v>7.0605453599999991E-3</v>
          </cell>
          <cell r="D8">
            <v>5.2954090199999998E-4</v>
          </cell>
        </row>
        <row r="9">
          <cell r="B9">
            <v>7.1885404799999992E-3</v>
          </cell>
          <cell r="D9">
            <v>5.3914053599999994E-4</v>
          </cell>
        </row>
        <row r="10">
          <cell r="B10">
            <v>7.31301912E-3</v>
          </cell>
          <cell r="D10">
            <v>5.48476434E-4</v>
          </cell>
        </row>
        <row r="11">
          <cell r="B11">
            <v>7.4364998399999984E-3</v>
          </cell>
          <cell r="D11">
            <v>5.5773748799999988E-4</v>
          </cell>
        </row>
        <row r="12">
          <cell r="B12">
            <v>7.7218693199999997E-3</v>
          </cell>
          <cell r="D12">
            <v>5.7914019899999987E-4</v>
          </cell>
        </row>
        <row r="13">
          <cell r="B13">
            <v>7.9012454400000012E-3</v>
          </cell>
          <cell r="D13">
            <v>5.9259340800000009E-4</v>
          </cell>
        </row>
        <row r="14">
          <cell r="B14">
            <v>8.0806215600000009E-3</v>
          </cell>
          <cell r="D14">
            <v>6.0604661700000009E-4</v>
          </cell>
        </row>
        <row r="15">
          <cell r="B15">
            <v>8.2599976800000023E-3</v>
          </cell>
          <cell r="D15">
            <v>6.1949982600000009E-4</v>
          </cell>
        </row>
        <row r="16">
          <cell r="B16">
            <v>8.4393738000000003E-3</v>
          </cell>
          <cell r="D16">
            <v>6.3295303499999998E-4</v>
          </cell>
        </row>
        <row r="17">
          <cell r="B17">
            <v>8.61874992E-3</v>
          </cell>
          <cell r="D17">
            <v>6.4640624399999998E-4</v>
          </cell>
        </row>
        <row r="18">
          <cell r="B18">
            <v>8.7981260400000014E-3</v>
          </cell>
          <cell r="D18">
            <v>6.5985945300000009E-4</v>
          </cell>
        </row>
        <row r="19">
          <cell r="B19">
            <v>8.9775021599999994E-3</v>
          </cell>
          <cell r="D19">
            <v>6.7331266199999998E-4</v>
          </cell>
        </row>
        <row r="20">
          <cell r="B20">
            <v>9.1568782800000009E-3</v>
          </cell>
          <cell r="D20">
            <v>6.8676587100000009E-4</v>
          </cell>
        </row>
        <row r="21">
          <cell r="B21">
            <v>9.3362543999999988E-3</v>
          </cell>
          <cell r="D21">
            <v>7.0021907999999998E-4</v>
          </cell>
        </row>
        <row r="22">
          <cell r="B22">
            <v>9.5156305200000003E-3</v>
          </cell>
          <cell r="D22">
            <v>7.1367228899999998E-4</v>
          </cell>
        </row>
        <row r="23">
          <cell r="B23">
            <v>9.6950066399999982E-3</v>
          </cell>
          <cell r="D23">
            <v>7.2712549799999998E-4</v>
          </cell>
        </row>
        <row r="24">
          <cell r="B24">
            <v>9.8743827599999997E-3</v>
          </cell>
          <cell r="D24">
            <v>7.4057870699999998E-4</v>
          </cell>
        </row>
        <row r="25">
          <cell r="B25">
            <v>1.0053758879999999E-2</v>
          </cell>
          <cell r="D25">
            <v>7.5403191599999998E-4</v>
          </cell>
        </row>
        <row r="32">
          <cell r="B32">
            <v>5.8266895709879987E-2</v>
          </cell>
          <cell r="D32">
            <v>1.3446206702279995E-3</v>
          </cell>
        </row>
        <row r="33">
          <cell r="B33">
            <v>5.9396013860040002E-2</v>
          </cell>
          <cell r="D33">
            <v>1.370677242924E-3</v>
          </cell>
        </row>
        <row r="34">
          <cell r="B34">
            <v>6.0521262377290004E-2</v>
          </cell>
          <cell r="D34">
            <v>1.396644516399E-3</v>
          </cell>
        </row>
        <row r="35">
          <cell r="B35">
            <v>6.1618405139719994E-2</v>
          </cell>
          <cell r="D35">
            <v>1.4219631955319999E-3</v>
          </cell>
        </row>
        <row r="36">
          <cell r="B36">
            <v>6.2685405498430005E-2</v>
          </cell>
          <cell r="D36">
            <v>1.4465862807329999E-3</v>
          </cell>
        </row>
        <row r="37">
          <cell r="B37">
            <v>6.3743851931759993E-2</v>
          </cell>
          <cell r="D37">
            <v>1.4710119676559997E-3</v>
          </cell>
        </row>
        <row r="38">
          <cell r="B38">
            <v>6.6189969093104997E-2</v>
          </cell>
          <cell r="D38">
            <v>1.5274608252254999E-3</v>
          </cell>
        </row>
        <row r="39">
          <cell r="B39">
            <v>6.7727537180160016E-2</v>
          </cell>
          <cell r="D39">
            <v>1.5629431656960001E-3</v>
          </cell>
        </row>
        <row r="40">
          <cell r="B40">
            <v>6.9265105267214994E-2</v>
          </cell>
          <cell r="D40">
            <v>1.5984255061664999E-3</v>
          </cell>
        </row>
        <row r="41">
          <cell r="B41">
            <v>7.0802673354270013E-2</v>
          </cell>
          <cell r="D41">
            <v>1.6339078466370001E-3</v>
          </cell>
        </row>
        <row r="42">
          <cell r="B42">
            <v>7.234024144132499E-2</v>
          </cell>
          <cell r="D42">
            <v>1.6693901871074998E-3</v>
          </cell>
        </row>
        <row r="43">
          <cell r="B43">
            <v>7.3877809528380009E-2</v>
          </cell>
          <cell r="D43">
            <v>1.7048725275780002E-3</v>
          </cell>
        </row>
        <row r="44">
          <cell r="B44">
            <v>7.5415377615434986E-2</v>
          </cell>
          <cell r="D44">
            <v>1.7403548680484998E-3</v>
          </cell>
        </row>
        <row r="45">
          <cell r="B45">
            <v>7.6952945702489992E-2</v>
          </cell>
          <cell r="D45">
            <v>1.775837208519E-3</v>
          </cell>
        </row>
        <row r="46">
          <cell r="B46">
            <v>7.8490513789544997E-2</v>
          </cell>
          <cell r="D46">
            <v>1.8113195489894999E-3</v>
          </cell>
        </row>
        <row r="47">
          <cell r="B47">
            <v>8.0028081876599988E-2</v>
          </cell>
          <cell r="D47">
            <v>1.8468018894599995E-3</v>
          </cell>
        </row>
        <row r="48">
          <cell r="B48">
            <v>8.1565649963654993E-2</v>
          </cell>
          <cell r="D48">
            <v>1.8822842299305001E-3</v>
          </cell>
        </row>
        <row r="49">
          <cell r="B49">
            <v>8.3103218050709984E-2</v>
          </cell>
          <cell r="D49">
            <v>1.9177665704009997E-3</v>
          </cell>
        </row>
        <row r="50">
          <cell r="B50">
            <v>8.4640786137764976E-2</v>
          </cell>
          <cell r="D50">
            <v>1.9532489108714996E-3</v>
          </cell>
        </row>
        <row r="51">
          <cell r="B51">
            <v>8.6178354224820009E-2</v>
          </cell>
          <cell r="D51">
            <v>1.9887312513420003E-3</v>
          </cell>
        </row>
        <row r="59">
          <cell r="B59">
            <v>0.59777069523839998</v>
          </cell>
          <cell r="D59">
            <v>2.0315311179428572E-2</v>
          </cell>
        </row>
        <row r="60">
          <cell r="B60">
            <v>0.60935452398719991</v>
          </cell>
          <cell r="D60">
            <v>1.9962900822857146E-2</v>
          </cell>
        </row>
        <row r="61">
          <cell r="B61">
            <v>0.62089865346720008</v>
          </cell>
          <cell r="D61">
            <v>2.0053443117714287E-2</v>
          </cell>
        </row>
        <row r="62">
          <cell r="B62">
            <v>0.63215444088960004</v>
          </cell>
          <cell r="D62">
            <v>2.0870222065523813E-2</v>
          </cell>
        </row>
        <row r="63">
          <cell r="B63">
            <v>0.64310099190240011</v>
          </cell>
          <cell r="D63">
            <v>2.1231616268761907E-2</v>
          </cell>
        </row>
        <row r="64">
          <cell r="B64">
            <v>0.65395978663679977</v>
          </cell>
          <cell r="D64">
            <v>2.1590113248E-2</v>
          </cell>
        </row>
        <row r="65">
          <cell r="B65">
            <v>0.6790549481064001</v>
          </cell>
          <cell r="D65">
            <v>2.2418615839714291E-2</v>
          </cell>
        </row>
        <row r="66">
          <cell r="B66">
            <v>0.69482913914879996</v>
          </cell>
          <cell r="D66">
            <v>2.293939185371429E-2</v>
          </cell>
        </row>
        <row r="67">
          <cell r="B67">
            <v>0.71060333019120003</v>
          </cell>
          <cell r="D67">
            <v>2.346016786771429E-2</v>
          </cell>
        </row>
        <row r="68">
          <cell r="B68">
            <v>0.72637752123360011</v>
          </cell>
          <cell r="D68">
            <v>2.3980943881714289E-2</v>
          </cell>
        </row>
        <row r="69">
          <cell r="B69">
            <v>0.74215171227599996</v>
          </cell>
          <cell r="D69">
            <v>2.4501719895714286E-2</v>
          </cell>
        </row>
        <row r="70">
          <cell r="B70">
            <v>0.75792590331840004</v>
          </cell>
          <cell r="D70">
            <v>2.5022495909714285E-2</v>
          </cell>
        </row>
        <row r="71">
          <cell r="B71">
            <v>0.77370009436080001</v>
          </cell>
          <cell r="D71">
            <v>2.5543271923714292E-2</v>
          </cell>
        </row>
        <row r="72">
          <cell r="B72">
            <v>0.78947428540319997</v>
          </cell>
          <cell r="D72">
            <v>2.6064047937714285E-2</v>
          </cell>
        </row>
        <row r="73">
          <cell r="B73">
            <v>0.80524847644560005</v>
          </cell>
          <cell r="D73">
            <v>2.6584823951714291E-2</v>
          </cell>
        </row>
        <row r="74">
          <cell r="B74">
            <v>0.82102266748800012</v>
          </cell>
          <cell r="D74">
            <v>2.7105599965714287E-2</v>
          </cell>
        </row>
        <row r="75">
          <cell r="B75">
            <v>0.83679685853039998</v>
          </cell>
          <cell r="D75">
            <v>2.7626375979714287E-2</v>
          </cell>
        </row>
        <row r="76">
          <cell r="B76">
            <v>0.85257104957279994</v>
          </cell>
          <cell r="D76">
            <v>2.814715199371429E-2</v>
          </cell>
        </row>
        <row r="77">
          <cell r="B77">
            <v>0.86834524061519991</v>
          </cell>
          <cell r="D77">
            <v>2.866792800771429E-2</v>
          </cell>
        </row>
        <row r="78">
          <cell r="B78">
            <v>0.8841194316576001</v>
          </cell>
          <cell r="D78">
            <v>2.9188704021714289E-2</v>
          </cell>
        </row>
      </sheetData>
      <sheetData sheetId="2"/>
      <sheetData sheetId="3"/>
      <sheetData sheetId="4"/>
      <sheetData sheetId="5">
        <row r="14">
          <cell r="M14">
            <v>1.5838992959067411</v>
          </cell>
        </row>
        <row r="15">
          <cell r="M15">
            <v>1.6139060289914244</v>
          </cell>
        </row>
        <row r="16">
          <cell r="M16">
            <v>1.6431632726343544</v>
          </cell>
        </row>
        <row r="17">
          <cell r="M17">
            <v>1.6716167160064193</v>
          </cell>
        </row>
        <row r="18">
          <cell r="M18">
            <v>1.6998420538962109</v>
          </cell>
        </row>
        <row r="19">
          <cell r="M19">
            <v>1.7650720752018383</v>
          </cell>
        </row>
        <row r="20">
          <cell r="M20">
            <v>1.8060740356403577</v>
          </cell>
        </row>
        <row r="21">
          <cell r="M21">
            <v>1.8470759960788758</v>
          </cell>
        </row>
        <row r="22">
          <cell r="M22">
            <v>1.888077956517396</v>
          </cell>
        </row>
        <row r="23">
          <cell r="M23">
            <v>1.9290799169559145</v>
          </cell>
        </row>
        <row r="24">
          <cell r="M24">
            <v>1.9700818773944342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zoomScale="85" zoomScaleNormal="85" workbookViewId="0">
      <selection activeCell="H19" sqref="H19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124</v>
      </c>
    </row>
    <row r="2" spans="1:14" ht="21" x14ac:dyDescent="0.25">
      <c r="G2" s="80" t="s">
        <v>18</v>
      </c>
    </row>
    <row r="3" spans="1:14" ht="15.75" customHeight="1" x14ac:dyDescent="0.25">
      <c r="A3" s="183" t="s">
        <v>11</v>
      </c>
      <c r="B3" s="183" t="s">
        <v>125</v>
      </c>
      <c r="C3" s="78" t="s">
        <v>12</v>
      </c>
      <c r="D3" s="182" t="s">
        <v>12</v>
      </c>
      <c r="E3" s="182"/>
      <c r="G3" s="81" t="s">
        <v>16</v>
      </c>
      <c r="H3" s="81"/>
      <c r="I3" s="81"/>
    </row>
    <row r="4" spans="1:14" x14ac:dyDescent="0.25">
      <c r="A4" s="184"/>
      <c r="B4" s="184"/>
      <c r="C4" s="78" t="s">
        <v>119</v>
      </c>
      <c r="D4" s="78" t="s">
        <v>14</v>
      </c>
      <c r="E4" s="78" t="s">
        <v>15</v>
      </c>
      <c r="G4" s="81" t="s">
        <v>17</v>
      </c>
      <c r="H4" s="81"/>
      <c r="I4" s="81"/>
    </row>
    <row r="5" spans="1:14" x14ac:dyDescent="0.25">
      <c r="A5" s="89">
        <v>2011</v>
      </c>
      <c r="B5" s="90">
        <f>[1]Sheet3!I14</f>
        <v>572184</v>
      </c>
      <c r="C5" s="82">
        <v>0.22</v>
      </c>
      <c r="D5" s="140">
        <f>C5*B5</f>
        <v>125880.48</v>
      </c>
      <c r="E5" s="140">
        <f>D5/1000</f>
        <v>125.88047999999999</v>
      </c>
    </row>
    <row r="6" spans="1:14" x14ac:dyDescent="0.25">
      <c r="A6" s="89">
        <v>2012</v>
      </c>
      <c r="B6" s="90">
        <f>[1]Sheet3!I15</f>
        <v>583272</v>
      </c>
      <c r="C6" s="82">
        <v>0.22</v>
      </c>
      <c r="D6" s="140">
        <f t="shared" ref="D6:D24" si="0">C6*B6</f>
        <v>128319.84</v>
      </c>
      <c r="E6" s="140">
        <f t="shared" ref="E6:E24" si="1">D6/1000</f>
        <v>128.31984</v>
      </c>
      <c r="G6" s="83" t="s">
        <v>37</v>
      </c>
      <c r="H6" s="83"/>
      <c r="I6" s="83"/>
      <c r="J6" s="84">
        <v>2</v>
      </c>
      <c r="K6" s="85" t="s">
        <v>33</v>
      </c>
      <c r="L6" s="84">
        <v>3</v>
      </c>
      <c r="M6" s="83" t="s">
        <v>38</v>
      </c>
      <c r="N6" s="83"/>
    </row>
    <row r="7" spans="1:14" x14ac:dyDescent="0.25">
      <c r="A7" s="89">
        <v>2013</v>
      </c>
      <c r="B7" s="90">
        <f>[1]Sheet3!I16</f>
        <v>594322</v>
      </c>
      <c r="C7" s="82">
        <v>0.22</v>
      </c>
      <c r="D7" s="140">
        <f t="shared" si="0"/>
        <v>130750.84</v>
      </c>
      <c r="E7" s="140">
        <f t="shared" si="1"/>
        <v>130.75083999999998</v>
      </c>
      <c r="G7" s="83"/>
      <c r="H7" s="83"/>
      <c r="I7" s="83"/>
      <c r="J7" s="84">
        <f>(2*250)/1000</f>
        <v>0.5</v>
      </c>
      <c r="K7" s="85" t="s">
        <v>33</v>
      </c>
      <c r="L7" s="84">
        <f>(3*250)/1000</f>
        <v>0.75</v>
      </c>
      <c r="M7" s="83" t="s">
        <v>13</v>
      </c>
      <c r="N7" s="83"/>
    </row>
    <row r="8" spans="1:14" x14ac:dyDescent="0.25">
      <c r="A8" s="89">
        <v>2014</v>
      </c>
      <c r="B8" s="90">
        <f>[1]Sheet3!I17</f>
        <v>605096</v>
      </c>
      <c r="C8" s="82">
        <v>0.22</v>
      </c>
      <c r="D8" s="140">
        <f t="shared" si="0"/>
        <v>133121.12</v>
      </c>
      <c r="E8" s="140">
        <f t="shared" si="1"/>
        <v>133.12111999999999</v>
      </c>
      <c r="G8" s="83"/>
      <c r="H8" s="83"/>
      <c r="I8" s="83"/>
      <c r="J8" s="86">
        <f>J7*(365/1000)</f>
        <v>0.1825</v>
      </c>
      <c r="K8" s="87" t="s">
        <v>33</v>
      </c>
      <c r="L8" s="86">
        <f>L7*(365/1000)</f>
        <v>0.27374999999999999</v>
      </c>
      <c r="M8" s="83" t="s">
        <v>39</v>
      </c>
      <c r="N8" s="83"/>
    </row>
    <row r="9" spans="1:14" x14ac:dyDescent="0.25">
      <c r="A9" s="89">
        <v>2015</v>
      </c>
      <c r="B9" s="90">
        <f>[1]Sheet3!I18</f>
        <v>615574</v>
      </c>
      <c r="C9" s="82">
        <v>0.22</v>
      </c>
      <c r="D9" s="140">
        <f t="shared" si="0"/>
        <v>135426.28</v>
      </c>
      <c r="E9" s="140">
        <f t="shared" si="1"/>
        <v>135.42627999999999</v>
      </c>
    </row>
    <row r="10" spans="1:14" x14ac:dyDescent="0.25">
      <c r="A10" s="89">
        <v>2016</v>
      </c>
      <c r="B10" s="90">
        <f>[1]Sheet3!I19</f>
        <v>625968</v>
      </c>
      <c r="C10" s="82">
        <v>0.22</v>
      </c>
      <c r="D10" s="140">
        <f t="shared" si="0"/>
        <v>137712.95999999999</v>
      </c>
      <c r="E10" s="140">
        <f t="shared" si="1"/>
        <v>137.71295999999998</v>
      </c>
      <c r="G10" s="88" t="s">
        <v>34</v>
      </c>
      <c r="H10" s="88"/>
      <c r="I10" s="88" t="s">
        <v>35</v>
      </c>
      <c r="J10" s="88"/>
      <c r="K10" s="88"/>
    </row>
    <row r="11" spans="1:14" x14ac:dyDescent="0.25">
      <c r="A11" s="89">
        <v>2017</v>
      </c>
      <c r="B11" s="90">
        <f>[1]Sheet3!I20</f>
        <v>649989</v>
      </c>
      <c r="C11" s="82">
        <v>0.22</v>
      </c>
      <c r="D11" s="140">
        <f t="shared" si="0"/>
        <v>142997.57999999999</v>
      </c>
      <c r="E11" s="140">
        <f t="shared" si="1"/>
        <v>142.99758</v>
      </c>
      <c r="G11" s="88"/>
      <c r="H11" s="88"/>
      <c r="I11" s="88" t="s">
        <v>36</v>
      </c>
      <c r="J11" s="88"/>
      <c r="K11" s="88"/>
    </row>
    <row r="12" spans="1:14" x14ac:dyDescent="0.25">
      <c r="A12" s="89">
        <v>2018</v>
      </c>
      <c r="B12" s="90">
        <f>[1]Sheet3!I21</f>
        <v>665088</v>
      </c>
      <c r="C12" s="82">
        <v>0.22</v>
      </c>
      <c r="D12" s="140">
        <f t="shared" si="0"/>
        <v>146319.36000000002</v>
      </c>
      <c r="E12" s="140">
        <f t="shared" si="1"/>
        <v>146.31936000000002</v>
      </c>
    </row>
    <row r="13" spans="1:14" x14ac:dyDescent="0.25">
      <c r="A13" s="89">
        <v>2019</v>
      </c>
      <c r="B13" s="90">
        <f>[1]Sheet3!I22</f>
        <v>680187</v>
      </c>
      <c r="C13" s="82">
        <v>0.22</v>
      </c>
      <c r="D13" s="140">
        <f t="shared" si="0"/>
        <v>149641.14000000001</v>
      </c>
      <c r="E13" s="140">
        <f t="shared" si="1"/>
        <v>149.64114000000001</v>
      </c>
    </row>
    <row r="14" spans="1:14" x14ac:dyDescent="0.25">
      <c r="A14" s="89">
        <v>2020</v>
      </c>
      <c r="B14" s="90">
        <f>[1]Sheet3!I23</f>
        <v>695286</v>
      </c>
      <c r="C14" s="82">
        <v>0.22</v>
      </c>
      <c r="D14" s="140">
        <f t="shared" si="0"/>
        <v>152962.92000000001</v>
      </c>
      <c r="E14" s="140">
        <f t="shared" si="1"/>
        <v>152.96292000000003</v>
      </c>
    </row>
    <row r="15" spans="1:14" x14ac:dyDescent="0.25">
      <c r="A15" s="89">
        <v>2021</v>
      </c>
      <c r="B15" s="90">
        <f>[1]Sheet3!I24</f>
        <v>710385</v>
      </c>
      <c r="C15" s="82">
        <v>0.22</v>
      </c>
      <c r="D15" s="140">
        <f t="shared" si="0"/>
        <v>156284.70000000001</v>
      </c>
      <c r="E15" s="140">
        <f t="shared" si="1"/>
        <v>156.28470000000002</v>
      </c>
    </row>
    <row r="16" spans="1:14" x14ac:dyDescent="0.25">
      <c r="A16" s="89">
        <v>2022</v>
      </c>
      <c r="B16" s="90">
        <f>[1]Sheet3!I25</f>
        <v>725484</v>
      </c>
      <c r="C16" s="82">
        <v>0.22</v>
      </c>
      <c r="D16" s="140">
        <f t="shared" si="0"/>
        <v>159606.48000000001</v>
      </c>
      <c r="E16" s="140">
        <f t="shared" si="1"/>
        <v>159.60648</v>
      </c>
    </row>
    <row r="17" spans="1:10" x14ac:dyDescent="0.25">
      <c r="A17" s="89">
        <v>2023</v>
      </c>
      <c r="B17" s="90">
        <f>[1]Sheet3!I26</f>
        <v>740583</v>
      </c>
      <c r="C17" s="82">
        <v>0.22</v>
      </c>
      <c r="D17" s="140">
        <f t="shared" si="0"/>
        <v>162928.26</v>
      </c>
      <c r="E17" s="140">
        <f t="shared" si="1"/>
        <v>162.92826000000002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[1]Sheet3!I27</f>
        <v>755682</v>
      </c>
      <c r="C18" s="82">
        <v>0.22</v>
      </c>
      <c r="D18" s="140">
        <f t="shared" si="0"/>
        <v>166250.04</v>
      </c>
      <c r="E18" s="140">
        <f t="shared" si="1"/>
        <v>166.25004000000001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[1]Sheet3!I28</f>
        <v>770781</v>
      </c>
      <c r="C19" s="82">
        <v>0.22</v>
      </c>
      <c r="D19" s="140">
        <f t="shared" si="0"/>
        <v>169571.82</v>
      </c>
      <c r="E19" s="140">
        <f t="shared" si="1"/>
        <v>169.57182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[1]Sheet3!I29</f>
        <v>785880</v>
      </c>
      <c r="C20" s="82">
        <v>0.22</v>
      </c>
      <c r="D20" s="140">
        <f t="shared" si="0"/>
        <v>172893.6</v>
      </c>
      <c r="E20" s="140">
        <f t="shared" si="1"/>
        <v>172.89359999999999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[1]Sheet3!I30</f>
        <v>800979</v>
      </c>
      <c r="C21" s="82">
        <v>0.22</v>
      </c>
      <c r="D21" s="140">
        <f t="shared" si="0"/>
        <v>176215.38</v>
      </c>
      <c r="E21" s="140">
        <f t="shared" si="1"/>
        <v>176.21538000000001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[1]Sheet3!I31</f>
        <v>816078</v>
      </c>
      <c r="C22" s="82">
        <v>0.22</v>
      </c>
      <c r="D22" s="140">
        <f t="shared" si="0"/>
        <v>179537.16</v>
      </c>
      <c r="E22" s="140">
        <f t="shared" si="1"/>
        <v>179.53716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[1]Sheet3!I32</f>
        <v>831177</v>
      </c>
      <c r="C23" s="82">
        <v>0.22</v>
      </c>
      <c r="D23" s="140">
        <f t="shared" si="0"/>
        <v>182858.94</v>
      </c>
      <c r="E23" s="140">
        <f t="shared" si="1"/>
        <v>182.85893999999999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[1]Sheet3!I33</f>
        <v>846276</v>
      </c>
      <c r="C24" s="82">
        <v>0.22</v>
      </c>
      <c r="D24" s="140">
        <f t="shared" si="0"/>
        <v>186180.72</v>
      </c>
      <c r="E24" s="140">
        <f t="shared" si="1"/>
        <v>186.18072000000001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48"/>
  <sheetViews>
    <sheetView topLeftCell="A5" zoomScaleNormal="100" workbookViewId="0">
      <selection activeCell="B6" sqref="B6:H25"/>
    </sheetView>
  </sheetViews>
  <sheetFormatPr defaultRowHeight="12.75" x14ac:dyDescent="0.25"/>
  <cols>
    <col min="1" max="1" width="9.140625" style="134"/>
    <col min="2" max="2" width="11.140625" style="134" customWidth="1"/>
    <col min="3" max="3" width="11" style="134" customWidth="1"/>
    <col min="4" max="6" width="9.140625" style="134"/>
    <col min="7" max="7" width="12.28515625" style="134" customWidth="1"/>
    <col min="8" max="8" width="9.140625" style="134"/>
    <col min="9" max="9" width="16.85546875" style="134" customWidth="1"/>
    <col min="10" max="11" width="9.140625" style="134"/>
    <col min="12" max="12" width="9" style="141" bestFit="1" customWidth="1"/>
    <col min="13" max="13" width="12" style="141" bestFit="1" customWidth="1"/>
    <col min="14" max="14" width="2.42578125" style="141" customWidth="1"/>
    <col min="15" max="15" width="7.140625" style="141" customWidth="1"/>
    <col min="16" max="19" width="9.140625" style="141"/>
    <col min="20" max="20" width="1.42578125" style="141" customWidth="1"/>
    <col min="21" max="21" width="7.140625" style="141" customWidth="1"/>
    <col min="22" max="22" width="50.28515625" style="141" customWidth="1"/>
    <col min="23" max="25" width="9.140625" style="141"/>
    <col min="26" max="16384" width="9.140625" style="134"/>
  </cols>
  <sheetData>
    <row r="2" spans="1:21" x14ac:dyDescent="0.25">
      <c r="A2" s="185" t="s">
        <v>9</v>
      </c>
      <c r="B2" s="185"/>
      <c r="C2" s="185"/>
      <c r="D2" s="185"/>
      <c r="E2" s="185"/>
      <c r="F2" s="185"/>
      <c r="G2" s="185"/>
      <c r="H2" s="185"/>
      <c r="I2" s="185"/>
    </row>
    <row r="3" spans="1:21" x14ac:dyDescent="0.25">
      <c r="A3" s="142" t="s">
        <v>124</v>
      </c>
    </row>
    <row r="4" spans="1:21" x14ac:dyDescent="0.25">
      <c r="B4" s="186" t="s">
        <v>0</v>
      </c>
      <c r="C4" s="186"/>
      <c r="D4" s="186"/>
      <c r="E4" s="186"/>
      <c r="F4" s="186"/>
      <c r="G4" s="186"/>
      <c r="H4" s="186"/>
      <c r="I4" s="190" t="s">
        <v>10</v>
      </c>
    </row>
    <row r="5" spans="1:21" ht="25.5" x14ac:dyDescent="0.25">
      <c r="A5" s="165" t="s">
        <v>8</v>
      </c>
      <c r="B5" s="139" t="s">
        <v>1</v>
      </c>
      <c r="C5" s="139" t="s">
        <v>2</v>
      </c>
      <c r="D5" s="139" t="s">
        <v>149</v>
      </c>
      <c r="E5" s="139" t="s">
        <v>4</v>
      </c>
      <c r="F5" s="139" t="s">
        <v>5</v>
      </c>
      <c r="G5" s="139" t="s">
        <v>128</v>
      </c>
      <c r="H5" s="139" t="s">
        <v>7</v>
      </c>
      <c r="I5" s="191"/>
      <c r="P5" s="143"/>
    </row>
    <row r="6" spans="1:21" ht="17.25" customHeight="1" x14ac:dyDescent="0.25">
      <c r="A6" s="144">
        <v>2011</v>
      </c>
      <c r="B6" s="180">
        <v>0.31609999999999999</v>
      </c>
      <c r="C6" s="180">
        <f>4%+9.35%+8.46%+6.21%</f>
        <v>0.2802</v>
      </c>
      <c r="D6" s="180">
        <v>1.35E-2</v>
      </c>
      <c r="E6" s="180">
        <v>0.39019999999999999</v>
      </c>
      <c r="F6" s="164"/>
      <c r="G6" s="164"/>
      <c r="H6" s="164"/>
      <c r="I6" s="145">
        <f>SUM(B6:H6)</f>
        <v>1</v>
      </c>
      <c r="L6" s="92"/>
    </row>
    <row r="7" spans="1:21" x14ac:dyDescent="0.25">
      <c r="A7" s="144">
        <v>2012</v>
      </c>
      <c r="B7" s="180">
        <v>0.31609999999999999</v>
      </c>
      <c r="C7" s="180">
        <f t="shared" ref="C7:C25" si="0">4%+9.35%+8.46%+6.21%</f>
        <v>0.2802</v>
      </c>
      <c r="D7" s="180">
        <v>1.35E-2</v>
      </c>
      <c r="E7" s="180">
        <v>0.39019999999999999</v>
      </c>
      <c r="F7" s="164"/>
      <c r="G7" s="164"/>
      <c r="H7" s="164"/>
      <c r="I7" s="145">
        <f t="shared" ref="I7:I25" si="1">SUM(B7:H7)</f>
        <v>1</v>
      </c>
      <c r="L7" s="141">
        <v>2000</v>
      </c>
      <c r="M7" s="141">
        <f>M8-(M8*0.024)</f>
        <v>0</v>
      </c>
      <c r="N7" s="93"/>
      <c r="O7" s="94"/>
      <c r="P7" s="143"/>
      <c r="S7" s="146"/>
      <c r="T7" s="147"/>
      <c r="U7" s="146"/>
    </row>
    <row r="8" spans="1:21" x14ac:dyDescent="0.25">
      <c r="A8" s="144">
        <v>2013</v>
      </c>
      <c r="B8" s="180">
        <v>0.31609999999999999</v>
      </c>
      <c r="C8" s="180">
        <f t="shared" si="0"/>
        <v>0.2802</v>
      </c>
      <c r="D8" s="180">
        <v>1.35E-2</v>
      </c>
      <c r="E8" s="180">
        <v>0.39019999999999999</v>
      </c>
      <c r="F8" s="164"/>
      <c r="G8" s="164"/>
      <c r="H8" s="164"/>
      <c r="I8" s="145">
        <f t="shared" si="1"/>
        <v>1</v>
      </c>
      <c r="L8" s="141">
        <v>2001</v>
      </c>
      <c r="M8" s="141">
        <f t="shared" ref="M8:M10" si="2">M9-(M9*0.024)</f>
        <v>0</v>
      </c>
      <c r="N8" s="94"/>
      <c r="O8" s="94"/>
      <c r="P8" s="143"/>
      <c r="S8" s="148"/>
      <c r="T8" s="148"/>
      <c r="U8" s="148"/>
    </row>
    <row r="9" spans="1:21" x14ac:dyDescent="0.25">
      <c r="A9" s="144">
        <v>2014</v>
      </c>
      <c r="B9" s="180">
        <v>0.31609999999999999</v>
      </c>
      <c r="C9" s="180">
        <f t="shared" si="0"/>
        <v>0.2802</v>
      </c>
      <c r="D9" s="180">
        <v>1.35E-2</v>
      </c>
      <c r="E9" s="180">
        <v>0.39019999999999999</v>
      </c>
      <c r="F9" s="164"/>
      <c r="G9" s="164"/>
      <c r="H9" s="164"/>
      <c r="I9" s="145">
        <f t="shared" si="1"/>
        <v>1</v>
      </c>
      <c r="L9" s="141">
        <v>2002</v>
      </c>
      <c r="M9" s="141">
        <f t="shared" si="2"/>
        <v>0</v>
      </c>
      <c r="N9" s="94"/>
      <c r="O9" s="94"/>
      <c r="P9" s="143"/>
    </row>
    <row r="10" spans="1:21" x14ac:dyDescent="0.25">
      <c r="A10" s="144">
        <v>2015</v>
      </c>
      <c r="B10" s="180">
        <v>0.31609999999999999</v>
      </c>
      <c r="C10" s="180">
        <f t="shared" si="0"/>
        <v>0.2802</v>
      </c>
      <c r="D10" s="180">
        <v>1.35E-2</v>
      </c>
      <c r="E10" s="180">
        <v>0.39019999999999999</v>
      </c>
      <c r="F10" s="164"/>
      <c r="G10" s="164"/>
      <c r="H10" s="164"/>
      <c r="I10" s="145">
        <f t="shared" si="1"/>
        <v>1</v>
      </c>
      <c r="L10" s="141">
        <v>2003</v>
      </c>
      <c r="M10" s="141">
        <f t="shared" si="2"/>
        <v>0</v>
      </c>
      <c r="N10" s="93"/>
      <c r="O10" s="94"/>
      <c r="P10" s="143"/>
    </row>
    <row r="11" spans="1:21" x14ac:dyDescent="0.25">
      <c r="A11" s="144">
        <v>2016</v>
      </c>
      <c r="B11" s="180">
        <v>0.31609999999999999</v>
      </c>
      <c r="C11" s="180">
        <f t="shared" si="0"/>
        <v>0.2802</v>
      </c>
      <c r="D11" s="180">
        <v>1.35E-2</v>
      </c>
      <c r="E11" s="180">
        <v>0.39019999999999999</v>
      </c>
      <c r="F11" s="164"/>
      <c r="G11" s="164"/>
      <c r="H11" s="164"/>
      <c r="I11" s="145">
        <f t="shared" si="1"/>
        <v>1</v>
      </c>
      <c r="L11" s="141">
        <v>2004</v>
      </c>
      <c r="M11" s="141">
        <f>M12-(M12*0.024)</f>
        <v>0</v>
      </c>
    </row>
    <row r="12" spans="1:21" x14ac:dyDescent="0.25">
      <c r="A12" s="144">
        <v>2017</v>
      </c>
      <c r="B12" s="180">
        <v>0.31609999999999999</v>
      </c>
      <c r="C12" s="180">
        <f t="shared" si="0"/>
        <v>0.2802</v>
      </c>
      <c r="D12" s="180">
        <v>1.35E-2</v>
      </c>
      <c r="E12" s="180">
        <v>0.39019999999999999</v>
      </c>
      <c r="F12" s="164"/>
      <c r="G12" s="164"/>
      <c r="H12" s="164"/>
      <c r="I12" s="145">
        <f t="shared" si="1"/>
        <v>1</v>
      </c>
      <c r="L12" s="141">
        <v>2005</v>
      </c>
      <c r="M12" s="141">
        <f>M13-(M13*O29)</f>
        <v>0</v>
      </c>
    </row>
    <row r="13" spans="1:21" x14ac:dyDescent="0.25">
      <c r="A13" s="144">
        <v>2018</v>
      </c>
      <c r="B13" s="180">
        <v>0.31609999999999999</v>
      </c>
      <c r="C13" s="180">
        <f t="shared" si="0"/>
        <v>0.2802</v>
      </c>
      <c r="D13" s="180">
        <v>1.35E-2</v>
      </c>
      <c r="E13" s="180">
        <v>0.39019999999999999</v>
      </c>
      <c r="F13" s="164"/>
      <c r="G13" s="164"/>
      <c r="H13" s="164"/>
      <c r="I13" s="145">
        <f t="shared" si="1"/>
        <v>1</v>
      </c>
      <c r="L13" s="141">
        <v>2006</v>
      </c>
      <c r="M13" s="141">
        <f>M14-(M14*O29)</f>
        <v>0</v>
      </c>
    </row>
    <row r="14" spans="1:21" x14ac:dyDescent="0.25">
      <c r="A14" s="144">
        <v>2019</v>
      </c>
      <c r="B14" s="180">
        <v>0.31609999999999999</v>
      </c>
      <c r="C14" s="180">
        <f t="shared" si="0"/>
        <v>0.2802</v>
      </c>
      <c r="D14" s="180">
        <v>1.35E-2</v>
      </c>
      <c r="E14" s="180">
        <v>0.39019999999999999</v>
      </c>
      <c r="F14" s="164"/>
      <c r="G14" s="164"/>
      <c r="H14" s="164"/>
      <c r="I14" s="145">
        <f t="shared" si="1"/>
        <v>1</v>
      </c>
      <c r="L14" s="141">
        <v>2007</v>
      </c>
      <c r="M14" s="141">
        <f>M15-(M15*O29)</f>
        <v>0</v>
      </c>
      <c r="P14" s="143"/>
    </row>
    <row r="15" spans="1:21" x14ac:dyDescent="0.25">
      <c r="A15" s="144">
        <v>2020</v>
      </c>
      <c r="B15" s="180">
        <v>0.31609999999999999</v>
      </c>
      <c r="C15" s="180">
        <f t="shared" si="0"/>
        <v>0.2802</v>
      </c>
      <c r="D15" s="180">
        <v>1.35E-2</v>
      </c>
      <c r="E15" s="180">
        <v>0.39019999999999999</v>
      </c>
      <c r="F15" s="164"/>
      <c r="G15" s="164"/>
      <c r="H15" s="164"/>
      <c r="I15" s="145">
        <f t="shared" si="1"/>
        <v>1</v>
      </c>
      <c r="L15" s="141">
        <v>2008</v>
      </c>
      <c r="M15" s="141">
        <f>M27-(M27*O29)</f>
        <v>0</v>
      </c>
      <c r="S15" s="146"/>
    </row>
    <row r="16" spans="1:21" x14ac:dyDescent="0.25">
      <c r="A16" s="144">
        <v>2021</v>
      </c>
      <c r="B16" s="180">
        <v>0.31609999999999999</v>
      </c>
      <c r="C16" s="180">
        <f t="shared" si="0"/>
        <v>0.2802</v>
      </c>
      <c r="D16" s="180">
        <v>1.35E-2</v>
      </c>
      <c r="E16" s="180">
        <v>0.39019999999999999</v>
      </c>
      <c r="F16" s="164"/>
      <c r="G16" s="164"/>
      <c r="H16" s="164"/>
      <c r="I16" s="145">
        <f t="shared" si="1"/>
        <v>1</v>
      </c>
      <c r="S16" s="146"/>
    </row>
    <row r="17" spans="1:19" x14ac:dyDescent="0.25">
      <c r="A17" s="144">
        <v>2022</v>
      </c>
      <c r="B17" s="180">
        <v>0.31609999999999999</v>
      </c>
      <c r="C17" s="180">
        <f t="shared" si="0"/>
        <v>0.2802</v>
      </c>
      <c r="D17" s="180">
        <v>1.35E-2</v>
      </c>
      <c r="E17" s="180">
        <v>0.39019999999999999</v>
      </c>
      <c r="F17" s="164"/>
      <c r="G17" s="164"/>
      <c r="H17" s="164"/>
      <c r="I17" s="145">
        <f t="shared" si="1"/>
        <v>1</v>
      </c>
      <c r="S17" s="146"/>
    </row>
    <row r="18" spans="1:19" x14ac:dyDescent="0.25">
      <c r="A18" s="144">
        <v>2023</v>
      </c>
      <c r="B18" s="180">
        <v>0.31609999999999999</v>
      </c>
      <c r="C18" s="180">
        <f t="shared" si="0"/>
        <v>0.2802</v>
      </c>
      <c r="D18" s="180">
        <v>1.35E-2</v>
      </c>
      <c r="E18" s="180">
        <v>0.39019999999999999</v>
      </c>
      <c r="F18" s="164"/>
      <c r="G18" s="164"/>
      <c r="H18" s="164"/>
      <c r="I18" s="145">
        <f t="shared" si="1"/>
        <v>1</v>
      </c>
      <c r="S18" s="146"/>
    </row>
    <row r="19" spans="1:19" x14ac:dyDescent="0.25">
      <c r="A19" s="144">
        <v>2024</v>
      </c>
      <c r="B19" s="180">
        <v>0.31609999999999999</v>
      </c>
      <c r="C19" s="180">
        <f t="shared" si="0"/>
        <v>0.2802</v>
      </c>
      <c r="D19" s="180">
        <v>1.35E-2</v>
      </c>
      <c r="E19" s="180">
        <v>0.39019999999999999</v>
      </c>
      <c r="F19" s="164"/>
      <c r="G19" s="164"/>
      <c r="H19" s="164"/>
      <c r="I19" s="145">
        <f t="shared" si="1"/>
        <v>1</v>
      </c>
      <c r="S19" s="146"/>
    </row>
    <row r="20" spans="1:19" x14ac:dyDescent="0.25">
      <c r="A20" s="144">
        <v>2025</v>
      </c>
      <c r="B20" s="180">
        <v>0.31609999999999999</v>
      </c>
      <c r="C20" s="180">
        <f t="shared" si="0"/>
        <v>0.2802</v>
      </c>
      <c r="D20" s="180">
        <v>1.35E-2</v>
      </c>
      <c r="E20" s="180">
        <v>0.39019999999999999</v>
      </c>
      <c r="F20" s="164"/>
      <c r="G20" s="164"/>
      <c r="H20" s="164"/>
      <c r="I20" s="145">
        <f t="shared" si="1"/>
        <v>1</v>
      </c>
      <c r="S20" s="146"/>
    </row>
    <row r="21" spans="1:19" x14ac:dyDescent="0.25">
      <c r="A21" s="144">
        <v>2026</v>
      </c>
      <c r="B21" s="180">
        <v>0.31609999999999999</v>
      </c>
      <c r="C21" s="180">
        <f t="shared" si="0"/>
        <v>0.2802</v>
      </c>
      <c r="D21" s="180">
        <v>1.35E-2</v>
      </c>
      <c r="E21" s="180">
        <v>0.39019999999999999</v>
      </c>
      <c r="F21" s="164"/>
      <c r="G21" s="164"/>
      <c r="H21" s="164"/>
      <c r="I21" s="145">
        <f t="shared" si="1"/>
        <v>1</v>
      </c>
      <c r="S21" s="146"/>
    </row>
    <row r="22" spans="1:19" x14ac:dyDescent="0.25">
      <c r="A22" s="144">
        <v>2027</v>
      </c>
      <c r="B22" s="180">
        <v>0.31609999999999999</v>
      </c>
      <c r="C22" s="180">
        <f t="shared" si="0"/>
        <v>0.2802</v>
      </c>
      <c r="D22" s="180">
        <v>1.35E-2</v>
      </c>
      <c r="E22" s="180">
        <v>0.39019999999999999</v>
      </c>
      <c r="F22" s="164"/>
      <c r="G22" s="164"/>
      <c r="H22" s="164"/>
      <c r="I22" s="145">
        <f t="shared" si="1"/>
        <v>1</v>
      </c>
      <c r="S22" s="146"/>
    </row>
    <row r="23" spans="1:19" x14ac:dyDescent="0.25">
      <c r="A23" s="144">
        <v>2028</v>
      </c>
      <c r="B23" s="180">
        <v>0.31609999999999999</v>
      </c>
      <c r="C23" s="180">
        <f t="shared" si="0"/>
        <v>0.2802</v>
      </c>
      <c r="D23" s="180">
        <v>1.35E-2</v>
      </c>
      <c r="E23" s="180">
        <v>0.39019999999999999</v>
      </c>
      <c r="F23" s="164"/>
      <c r="G23" s="164"/>
      <c r="H23" s="164"/>
      <c r="I23" s="145">
        <f t="shared" si="1"/>
        <v>1</v>
      </c>
      <c r="S23" s="146"/>
    </row>
    <row r="24" spans="1:19" x14ac:dyDescent="0.25">
      <c r="A24" s="144">
        <v>2029</v>
      </c>
      <c r="B24" s="180">
        <v>0.31609999999999999</v>
      </c>
      <c r="C24" s="180">
        <f t="shared" si="0"/>
        <v>0.2802</v>
      </c>
      <c r="D24" s="180">
        <v>1.35E-2</v>
      </c>
      <c r="E24" s="180">
        <v>0.39019999999999999</v>
      </c>
      <c r="F24" s="164"/>
      <c r="G24" s="164"/>
      <c r="H24" s="164"/>
      <c r="I24" s="145">
        <f t="shared" si="1"/>
        <v>1</v>
      </c>
      <c r="S24" s="146"/>
    </row>
    <row r="25" spans="1:19" x14ac:dyDescent="0.25">
      <c r="A25" s="144">
        <v>2030</v>
      </c>
      <c r="B25" s="180">
        <v>0.31609999999999999</v>
      </c>
      <c r="C25" s="180">
        <f t="shared" si="0"/>
        <v>0.2802</v>
      </c>
      <c r="D25" s="180">
        <v>1.35E-2</v>
      </c>
      <c r="E25" s="180">
        <v>0.39019999999999999</v>
      </c>
      <c r="F25" s="164"/>
      <c r="G25" s="164"/>
      <c r="H25" s="164"/>
      <c r="I25" s="145">
        <f t="shared" si="1"/>
        <v>1</v>
      </c>
      <c r="S25" s="146"/>
    </row>
    <row r="26" spans="1:19" ht="14.25" customHeight="1" x14ac:dyDescent="0.25"/>
    <row r="27" spans="1:19" x14ac:dyDescent="0.25">
      <c r="A27" s="186" t="s">
        <v>11</v>
      </c>
      <c r="B27" s="187" t="s">
        <v>150</v>
      </c>
      <c r="C27" s="188"/>
      <c r="D27" s="188"/>
      <c r="E27" s="188"/>
      <c r="F27" s="188"/>
      <c r="G27" s="188"/>
      <c r="H27" s="189"/>
      <c r="I27" s="190" t="s">
        <v>40</v>
      </c>
    </row>
    <row r="28" spans="1:19" ht="25.5" x14ac:dyDescent="0.25">
      <c r="A28" s="186"/>
      <c r="B28" s="139" t="s">
        <v>1</v>
      </c>
      <c r="C28" s="139" t="s">
        <v>2</v>
      </c>
      <c r="D28" s="139" t="s">
        <v>149</v>
      </c>
      <c r="E28" s="133" t="s">
        <v>4</v>
      </c>
      <c r="F28" s="139" t="s">
        <v>5</v>
      </c>
      <c r="G28" s="139" t="s">
        <v>128</v>
      </c>
      <c r="H28" s="133" t="s">
        <v>7</v>
      </c>
      <c r="I28" s="191"/>
    </row>
    <row r="29" spans="1:19" x14ac:dyDescent="0.25">
      <c r="A29" s="144">
        <v>2011</v>
      </c>
      <c r="B29" s="149">
        <f t="shared" ref="B29:H29" si="3">$I$29*B6</f>
        <v>39.790819727999995</v>
      </c>
      <c r="C29" s="149">
        <f t="shared" si="3"/>
        <v>35.271710495999997</v>
      </c>
      <c r="D29" s="149">
        <f t="shared" si="3"/>
        <v>1.6993864799999998</v>
      </c>
      <c r="E29" s="150">
        <f t="shared" si="3"/>
        <v>49.118563295999998</v>
      </c>
      <c r="F29" s="149">
        <f t="shared" si="3"/>
        <v>0</v>
      </c>
      <c r="G29" s="149">
        <f t="shared" si="3"/>
        <v>0</v>
      </c>
      <c r="H29" s="151">
        <f t="shared" si="3"/>
        <v>0</v>
      </c>
      <c r="I29" s="152">
        <f>'timbulan sampah'!E5</f>
        <v>125.88047999999999</v>
      </c>
      <c r="J29" s="153">
        <f>SUM(B29:H29)</f>
        <v>125.88048000000001</v>
      </c>
    </row>
    <row r="30" spans="1:19" x14ac:dyDescent="0.25">
      <c r="A30" s="144">
        <v>2012</v>
      </c>
      <c r="B30" s="149">
        <f t="shared" ref="B30:H30" si="4">$I$30*B7</f>
        <v>40.561901423999998</v>
      </c>
      <c r="C30" s="149">
        <f t="shared" si="4"/>
        <v>35.955219167999999</v>
      </c>
      <c r="D30" s="149">
        <f t="shared" si="4"/>
        <v>1.7323178399999999</v>
      </c>
      <c r="E30" s="150">
        <f t="shared" si="4"/>
        <v>50.070401568000001</v>
      </c>
      <c r="F30" s="149">
        <f t="shared" si="4"/>
        <v>0</v>
      </c>
      <c r="G30" s="149">
        <f t="shared" si="4"/>
        <v>0</v>
      </c>
      <c r="H30" s="151">
        <f t="shared" si="4"/>
        <v>0</v>
      </c>
      <c r="I30" s="152">
        <f>'timbulan sampah'!E6</f>
        <v>128.31984</v>
      </c>
      <c r="J30" s="153">
        <f t="shared" ref="J30:J47" si="5">SUM(B30:H30)</f>
        <v>128.31984</v>
      </c>
    </row>
    <row r="31" spans="1:19" x14ac:dyDescent="0.25">
      <c r="A31" s="144">
        <v>2013</v>
      </c>
      <c r="B31" s="149">
        <f t="shared" ref="B31:H31" si="6">$I$31*B8</f>
        <v>41.330340523999993</v>
      </c>
      <c r="C31" s="149">
        <f t="shared" si="6"/>
        <v>36.636385367999999</v>
      </c>
      <c r="D31" s="149">
        <f t="shared" si="6"/>
        <v>1.7651363399999997</v>
      </c>
      <c r="E31" s="150">
        <f t="shared" si="6"/>
        <v>51.018977767999992</v>
      </c>
      <c r="F31" s="149">
        <f t="shared" si="6"/>
        <v>0</v>
      </c>
      <c r="G31" s="149">
        <f t="shared" si="6"/>
        <v>0</v>
      </c>
      <c r="H31" s="151">
        <f t="shared" si="6"/>
        <v>0</v>
      </c>
      <c r="I31" s="152">
        <f>'timbulan sampah'!E7</f>
        <v>130.75083999999998</v>
      </c>
      <c r="J31" s="153">
        <f t="shared" si="5"/>
        <v>130.75083999999998</v>
      </c>
    </row>
    <row r="32" spans="1:19" x14ac:dyDescent="0.25">
      <c r="A32" s="144">
        <v>2014</v>
      </c>
      <c r="B32" s="149">
        <f t="shared" ref="B32:H32" si="7">$I$32*B9</f>
        <v>42.079586031999995</v>
      </c>
      <c r="C32" s="149">
        <f t="shared" si="7"/>
        <v>37.300537823999996</v>
      </c>
      <c r="D32" s="149">
        <f t="shared" si="7"/>
        <v>1.7971351199999999</v>
      </c>
      <c r="E32" s="150">
        <f t="shared" si="7"/>
        <v>51.943861023999993</v>
      </c>
      <c r="F32" s="149">
        <f t="shared" si="7"/>
        <v>0</v>
      </c>
      <c r="G32" s="149">
        <f t="shared" si="7"/>
        <v>0</v>
      </c>
      <c r="H32" s="151">
        <f t="shared" si="7"/>
        <v>0</v>
      </c>
      <c r="I32" s="152">
        <f>'timbulan sampah'!E8</f>
        <v>133.12111999999999</v>
      </c>
      <c r="J32" s="153">
        <f t="shared" si="5"/>
        <v>133.12111999999996</v>
      </c>
      <c r="P32" s="143"/>
    </row>
    <row r="33" spans="1:16" x14ac:dyDescent="0.25">
      <c r="A33" s="144">
        <v>2015</v>
      </c>
      <c r="B33" s="149">
        <f t="shared" ref="B33:H33" si="8">$I$33*B10</f>
        <v>42.808247107999996</v>
      </c>
      <c r="C33" s="149">
        <f t="shared" si="8"/>
        <v>37.946443656</v>
      </c>
      <c r="D33" s="149">
        <f t="shared" si="8"/>
        <v>1.82825478</v>
      </c>
      <c r="E33" s="150">
        <f t="shared" si="8"/>
        <v>52.843334455999994</v>
      </c>
      <c r="F33" s="149">
        <f t="shared" si="8"/>
        <v>0</v>
      </c>
      <c r="G33" s="149">
        <f t="shared" si="8"/>
        <v>0</v>
      </c>
      <c r="H33" s="151">
        <f t="shared" si="8"/>
        <v>0</v>
      </c>
      <c r="I33" s="152">
        <f>'timbulan sampah'!E9</f>
        <v>135.42627999999999</v>
      </c>
      <c r="J33" s="153">
        <f t="shared" si="5"/>
        <v>135.42627999999999</v>
      </c>
      <c r="P33" s="143"/>
    </row>
    <row r="34" spans="1:16" x14ac:dyDescent="0.25">
      <c r="A34" s="144">
        <v>2016</v>
      </c>
      <c r="B34" s="149">
        <f t="shared" ref="B34:H34" si="9">$I$34*B11</f>
        <v>43.531066655999993</v>
      </c>
      <c r="C34" s="149">
        <f t="shared" si="9"/>
        <v>38.587171391999995</v>
      </c>
      <c r="D34" s="149">
        <f t="shared" si="9"/>
        <v>1.8591249599999997</v>
      </c>
      <c r="E34" s="150">
        <f t="shared" si="9"/>
        <v>53.735596991999991</v>
      </c>
      <c r="F34" s="149">
        <f t="shared" si="9"/>
        <v>0</v>
      </c>
      <c r="G34" s="149">
        <f t="shared" si="9"/>
        <v>0</v>
      </c>
      <c r="H34" s="151">
        <f t="shared" si="9"/>
        <v>0</v>
      </c>
      <c r="I34" s="152">
        <f>'timbulan sampah'!E10</f>
        <v>137.71295999999998</v>
      </c>
      <c r="J34" s="153">
        <f t="shared" si="5"/>
        <v>137.71295999999998</v>
      </c>
    </row>
    <row r="35" spans="1:16" x14ac:dyDescent="0.25">
      <c r="A35" s="144">
        <v>2017</v>
      </c>
      <c r="B35" s="149">
        <f t="shared" ref="B35:H35" si="10">$I$35*B12</f>
        <v>45.201535037999996</v>
      </c>
      <c r="C35" s="149">
        <f t="shared" si="10"/>
        <v>40.067921916000003</v>
      </c>
      <c r="D35" s="149">
        <f t="shared" si="10"/>
        <v>1.9304673299999999</v>
      </c>
      <c r="E35" s="150">
        <f t="shared" si="10"/>
        <v>55.797655716000001</v>
      </c>
      <c r="F35" s="149">
        <f t="shared" si="10"/>
        <v>0</v>
      </c>
      <c r="G35" s="149">
        <f t="shared" si="10"/>
        <v>0</v>
      </c>
      <c r="H35" s="151">
        <f t="shared" si="10"/>
        <v>0</v>
      </c>
      <c r="I35" s="152">
        <f>'timbulan sampah'!E11</f>
        <v>142.99758</v>
      </c>
      <c r="J35" s="153">
        <f t="shared" si="5"/>
        <v>142.99758</v>
      </c>
    </row>
    <row r="36" spans="1:16" x14ac:dyDescent="0.25">
      <c r="A36" s="144">
        <v>2018</v>
      </c>
      <c r="B36" s="149">
        <f t="shared" ref="B36:H36" si="11">$I$36*B13</f>
        <v>46.251549696000005</v>
      </c>
      <c r="C36" s="149">
        <f t="shared" si="11"/>
        <v>40.998684672000003</v>
      </c>
      <c r="D36" s="149">
        <f t="shared" si="11"/>
        <v>1.9753113600000003</v>
      </c>
      <c r="E36" s="150">
        <f t="shared" si="11"/>
        <v>57.093814272000003</v>
      </c>
      <c r="F36" s="149">
        <f t="shared" si="11"/>
        <v>0</v>
      </c>
      <c r="G36" s="149">
        <f t="shared" si="11"/>
        <v>0</v>
      </c>
      <c r="H36" s="151">
        <f t="shared" si="11"/>
        <v>0</v>
      </c>
      <c r="I36" s="152">
        <f>'timbulan sampah'!E12</f>
        <v>146.31936000000002</v>
      </c>
      <c r="J36" s="153">
        <f t="shared" si="5"/>
        <v>146.31936000000002</v>
      </c>
    </row>
    <row r="37" spans="1:16" x14ac:dyDescent="0.25">
      <c r="A37" s="144">
        <v>2019</v>
      </c>
      <c r="B37" s="149">
        <f t="shared" ref="B37:H37" si="12">$I$37*B14</f>
        <v>47.301564354</v>
      </c>
      <c r="C37" s="149">
        <f t="shared" si="12"/>
        <v>41.929447428000003</v>
      </c>
      <c r="D37" s="149">
        <f t="shared" si="12"/>
        <v>2.0201553900000002</v>
      </c>
      <c r="E37" s="150">
        <f t="shared" si="12"/>
        <v>58.389972828000005</v>
      </c>
      <c r="F37" s="149">
        <f t="shared" si="12"/>
        <v>0</v>
      </c>
      <c r="G37" s="149">
        <f t="shared" si="12"/>
        <v>0</v>
      </c>
      <c r="H37" s="151">
        <f t="shared" si="12"/>
        <v>0</v>
      </c>
      <c r="I37" s="152">
        <f>'timbulan sampah'!E13</f>
        <v>149.64114000000001</v>
      </c>
      <c r="J37" s="153">
        <f t="shared" si="5"/>
        <v>149.64114000000001</v>
      </c>
    </row>
    <row r="38" spans="1:16" x14ac:dyDescent="0.25">
      <c r="A38" s="144">
        <v>2020</v>
      </c>
      <c r="B38" s="149">
        <f t="shared" ref="B38:H38" si="13">$I$38*B15</f>
        <v>48.351579012000009</v>
      </c>
      <c r="C38" s="149">
        <f t="shared" si="13"/>
        <v>42.86021018400001</v>
      </c>
      <c r="D38" s="149">
        <f t="shared" si="13"/>
        <v>2.0649994200000004</v>
      </c>
      <c r="E38" s="150">
        <f t="shared" si="13"/>
        <v>59.686131384000007</v>
      </c>
      <c r="F38" s="149">
        <f t="shared" si="13"/>
        <v>0</v>
      </c>
      <c r="G38" s="149">
        <f t="shared" si="13"/>
        <v>0</v>
      </c>
      <c r="H38" s="151">
        <f t="shared" si="13"/>
        <v>0</v>
      </c>
      <c r="I38" s="152">
        <f>'timbulan sampah'!E14</f>
        <v>152.96292000000003</v>
      </c>
      <c r="J38" s="153">
        <f t="shared" si="5"/>
        <v>152.96292000000003</v>
      </c>
    </row>
    <row r="39" spans="1:16" x14ac:dyDescent="0.25">
      <c r="A39" s="144">
        <v>2021</v>
      </c>
      <c r="B39" s="149">
        <f t="shared" ref="B39:H39" si="14">$I$39*B16</f>
        <v>49.401593670000004</v>
      </c>
      <c r="C39" s="149">
        <f t="shared" si="14"/>
        <v>43.790972940000003</v>
      </c>
      <c r="D39" s="149">
        <f t="shared" si="14"/>
        <v>2.1098434500000001</v>
      </c>
      <c r="E39" s="150">
        <f t="shared" si="14"/>
        <v>60.982289940000001</v>
      </c>
      <c r="F39" s="149">
        <f t="shared" si="14"/>
        <v>0</v>
      </c>
      <c r="G39" s="149">
        <f t="shared" si="14"/>
        <v>0</v>
      </c>
      <c r="H39" s="151">
        <f t="shared" si="14"/>
        <v>0</v>
      </c>
      <c r="I39" s="152">
        <f>'timbulan sampah'!E15</f>
        <v>156.28470000000002</v>
      </c>
      <c r="J39" s="153">
        <f t="shared" si="5"/>
        <v>156.28469999999999</v>
      </c>
    </row>
    <row r="40" spans="1:16" x14ac:dyDescent="0.25">
      <c r="A40" s="144">
        <v>2022</v>
      </c>
      <c r="B40" s="149">
        <f t="shared" ref="B40:H40" si="15">$I$40*B17</f>
        <v>50.451608327999999</v>
      </c>
      <c r="C40" s="149">
        <f t="shared" si="15"/>
        <v>44.721735696000003</v>
      </c>
      <c r="D40" s="149">
        <f t="shared" si="15"/>
        <v>2.1546874800000002</v>
      </c>
      <c r="E40" s="150">
        <f t="shared" si="15"/>
        <v>62.278448496000003</v>
      </c>
      <c r="F40" s="149">
        <f t="shared" si="15"/>
        <v>0</v>
      </c>
      <c r="G40" s="149">
        <f t="shared" si="15"/>
        <v>0</v>
      </c>
      <c r="H40" s="151">
        <f t="shared" si="15"/>
        <v>0</v>
      </c>
      <c r="I40" s="152">
        <f>'timbulan sampah'!E16</f>
        <v>159.60648</v>
      </c>
      <c r="J40" s="153">
        <f t="shared" si="5"/>
        <v>159.60648</v>
      </c>
    </row>
    <row r="41" spans="1:16" x14ac:dyDescent="0.25">
      <c r="A41" s="144">
        <v>2023</v>
      </c>
      <c r="B41" s="149">
        <f t="shared" ref="B41:H41" si="16">$I$41*B18</f>
        <v>51.501622986000008</v>
      </c>
      <c r="C41" s="149">
        <f t="shared" si="16"/>
        <v>45.65249845200001</v>
      </c>
      <c r="D41" s="149">
        <f t="shared" si="16"/>
        <v>2.1995315100000004</v>
      </c>
      <c r="E41" s="150">
        <f t="shared" si="16"/>
        <v>63.574607052000005</v>
      </c>
      <c r="F41" s="149">
        <f t="shared" si="16"/>
        <v>0</v>
      </c>
      <c r="G41" s="149">
        <f t="shared" si="16"/>
        <v>0</v>
      </c>
      <c r="H41" s="151">
        <f t="shared" si="16"/>
        <v>0</v>
      </c>
      <c r="I41" s="152">
        <f>'timbulan sampah'!E17</f>
        <v>162.92826000000002</v>
      </c>
      <c r="J41" s="153">
        <f t="shared" si="5"/>
        <v>162.92826000000002</v>
      </c>
    </row>
    <row r="42" spans="1:16" x14ac:dyDescent="0.25">
      <c r="A42" s="144">
        <v>2024</v>
      </c>
      <c r="B42" s="149">
        <f t="shared" ref="B42:H42" si="17">$I$42*B19</f>
        <v>52.551637644000003</v>
      </c>
      <c r="C42" s="149">
        <f t="shared" si="17"/>
        <v>46.583261208000003</v>
      </c>
      <c r="D42" s="149">
        <f t="shared" si="17"/>
        <v>2.2443755400000001</v>
      </c>
      <c r="E42" s="150">
        <f t="shared" si="17"/>
        <v>64.870765607999999</v>
      </c>
      <c r="F42" s="149">
        <f t="shared" si="17"/>
        <v>0</v>
      </c>
      <c r="G42" s="149">
        <f t="shared" si="17"/>
        <v>0</v>
      </c>
      <c r="H42" s="151">
        <f t="shared" si="17"/>
        <v>0</v>
      </c>
      <c r="I42" s="152">
        <f>'timbulan sampah'!E18</f>
        <v>166.25004000000001</v>
      </c>
      <c r="J42" s="153">
        <f t="shared" si="5"/>
        <v>166.25004000000001</v>
      </c>
    </row>
    <row r="43" spans="1:16" x14ac:dyDescent="0.25">
      <c r="A43" s="144">
        <v>2025</v>
      </c>
      <c r="B43" s="149">
        <f t="shared" ref="B43:H43" si="18">$I$43*B20</f>
        <v>53.601652301999998</v>
      </c>
      <c r="C43" s="149">
        <f t="shared" si="18"/>
        <v>47.514023964000003</v>
      </c>
      <c r="D43" s="149">
        <f t="shared" si="18"/>
        <v>2.2892195700000002</v>
      </c>
      <c r="E43" s="150">
        <f t="shared" si="18"/>
        <v>66.166924163999994</v>
      </c>
      <c r="F43" s="149">
        <f t="shared" si="18"/>
        <v>0</v>
      </c>
      <c r="G43" s="149">
        <f t="shared" si="18"/>
        <v>0</v>
      </c>
      <c r="H43" s="151">
        <f t="shared" si="18"/>
        <v>0</v>
      </c>
      <c r="I43" s="152">
        <f>'timbulan sampah'!E19</f>
        <v>169.57182</v>
      </c>
      <c r="J43" s="153">
        <f t="shared" si="5"/>
        <v>169.57182</v>
      </c>
    </row>
    <row r="44" spans="1:16" x14ac:dyDescent="0.25">
      <c r="A44" s="144">
        <v>2026</v>
      </c>
      <c r="B44" s="149">
        <f t="shared" ref="B44:H44" si="19">$I$44*B21</f>
        <v>54.651666959999993</v>
      </c>
      <c r="C44" s="149">
        <f t="shared" si="19"/>
        <v>48.444786719999996</v>
      </c>
      <c r="D44" s="149">
        <f t="shared" si="19"/>
        <v>2.3340635999999999</v>
      </c>
      <c r="E44" s="150">
        <f t="shared" si="19"/>
        <v>67.463082719999989</v>
      </c>
      <c r="F44" s="149">
        <f t="shared" si="19"/>
        <v>0</v>
      </c>
      <c r="G44" s="149">
        <f t="shared" si="19"/>
        <v>0</v>
      </c>
      <c r="H44" s="151">
        <f t="shared" si="19"/>
        <v>0</v>
      </c>
      <c r="I44" s="152">
        <f>'timbulan sampah'!E20</f>
        <v>172.89359999999999</v>
      </c>
      <c r="J44" s="153">
        <f t="shared" si="5"/>
        <v>172.89359999999999</v>
      </c>
    </row>
    <row r="45" spans="1:16" x14ac:dyDescent="0.25">
      <c r="A45" s="144">
        <v>2027</v>
      </c>
      <c r="B45" s="149">
        <f t="shared" ref="B45:H45" si="20">$I$45*B22</f>
        <v>55.701681618000002</v>
      </c>
      <c r="C45" s="149">
        <f t="shared" si="20"/>
        <v>49.375549476000003</v>
      </c>
      <c r="D45" s="149">
        <f t="shared" si="20"/>
        <v>2.3789076300000001</v>
      </c>
      <c r="E45" s="150">
        <f t="shared" si="20"/>
        <v>68.759241275999997</v>
      </c>
      <c r="F45" s="149">
        <f t="shared" si="20"/>
        <v>0</v>
      </c>
      <c r="G45" s="149">
        <f t="shared" si="20"/>
        <v>0</v>
      </c>
      <c r="H45" s="151">
        <f t="shared" si="20"/>
        <v>0</v>
      </c>
      <c r="I45" s="152">
        <f>'timbulan sampah'!E21</f>
        <v>176.21538000000001</v>
      </c>
      <c r="J45" s="153">
        <f t="shared" si="5"/>
        <v>176.21538000000001</v>
      </c>
    </row>
    <row r="46" spans="1:16" x14ac:dyDescent="0.25">
      <c r="A46" s="144">
        <v>2028</v>
      </c>
      <c r="B46" s="149">
        <f t="shared" ref="B46:H46" si="21">$I$46*B23</f>
        <v>56.751696275999997</v>
      </c>
      <c r="C46" s="149">
        <f t="shared" si="21"/>
        <v>50.306312232000003</v>
      </c>
      <c r="D46" s="149">
        <f t="shared" si="21"/>
        <v>2.4237516599999998</v>
      </c>
      <c r="E46" s="150">
        <f t="shared" si="21"/>
        <v>70.055399831999992</v>
      </c>
      <c r="F46" s="149">
        <f t="shared" si="21"/>
        <v>0</v>
      </c>
      <c r="G46" s="149">
        <f t="shared" si="21"/>
        <v>0</v>
      </c>
      <c r="H46" s="150">
        <f t="shared" si="21"/>
        <v>0</v>
      </c>
      <c r="I46" s="152">
        <f>'timbulan sampah'!E22</f>
        <v>179.53716</v>
      </c>
      <c r="J46" s="153">
        <f t="shared" si="5"/>
        <v>179.53715999999997</v>
      </c>
    </row>
    <row r="47" spans="1:16" x14ac:dyDescent="0.25">
      <c r="A47" s="144">
        <v>2029</v>
      </c>
      <c r="B47" s="149">
        <f t="shared" ref="B47:H47" si="22">$I$47*B24</f>
        <v>57.801710933999992</v>
      </c>
      <c r="C47" s="149">
        <f t="shared" si="22"/>
        <v>51.237074987999996</v>
      </c>
      <c r="D47" s="149">
        <f t="shared" si="22"/>
        <v>2.4685956899999999</v>
      </c>
      <c r="E47" s="150">
        <f t="shared" si="22"/>
        <v>71.351558388000001</v>
      </c>
      <c r="F47" s="149">
        <f t="shared" si="22"/>
        <v>0</v>
      </c>
      <c r="G47" s="149">
        <f t="shared" si="22"/>
        <v>0</v>
      </c>
      <c r="H47" s="150">
        <f t="shared" si="22"/>
        <v>0</v>
      </c>
      <c r="I47" s="152">
        <f>'timbulan sampah'!E23</f>
        <v>182.85893999999999</v>
      </c>
      <c r="J47" s="153">
        <f t="shared" si="5"/>
        <v>182.85893999999999</v>
      </c>
    </row>
    <row r="48" spans="1:16" x14ac:dyDescent="0.25">
      <c r="A48" s="144">
        <v>2030</v>
      </c>
      <c r="B48" s="149">
        <f t="shared" ref="B48:H48" si="23">$I$48*B25</f>
        <v>58.851725592000001</v>
      </c>
      <c r="C48" s="149">
        <f t="shared" si="23"/>
        <v>52.167837744000003</v>
      </c>
      <c r="D48" s="149">
        <f t="shared" si="23"/>
        <v>2.51343972</v>
      </c>
      <c r="E48" s="150">
        <f t="shared" si="23"/>
        <v>72.647716943999995</v>
      </c>
      <c r="F48" s="149">
        <f t="shared" si="23"/>
        <v>0</v>
      </c>
      <c r="G48" s="149">
        <f t="shared" si="23"/>
        <v>0</v>
      </c>
      <c r="H48" s="150">
        <f t="shared" si="23"/>
        <v>0</v>
      </c>
      <c r="I48" s="152">
        <f>'timbulan sampah'!E24</f>
        <v>186.18072000000001</v>
      </c>
      <c r="J48" s="153">
        <f>SUM(B48:H48)</f>
        <v>186.18072000000001</v>
      </c>
    </row>
  </sheetData>
  <mergeCells count="6">
    <mergeCell ref="A2:I2"/>
    <mergeCell ref="A27:A28"/>
    <mergeCell ref="B27:H27"/>
    <mergeCell ref="I4:I5"/>
    <mergeCell ref="I27:I28"/>
    <mergeCell ref="B4:H4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3"/>
  <sheetViews>
    <sheetView tabSelected="1" zoomScale="85" zoomScaleNormal="85" workbookViewId="0">
      <selection activeCell="H30" sqref="H30"/>
    </sheetView>
  </sheetViews>
  <sheetFormatPr defaultRowHeight="15" x14ac:dyDescent="0.25"/>
  <cols>
    <col min="1" max="1" width="9.140625" style="79"/>
    <col min="2" max="2" width="16" style="79" customWidth="1"/>
    <col min="3" max="3" width="14.42578125" style="79" customWidth="1"/>
    <col min="4" max="4" width="21.28515625" style="79" customWidth="1"/>
    <col min="5" max="5" width="14.28515625" style="79" customWidth="1"/>
    <col min="6" max="6" width="11.7109375" style="79" customWidth="1"/>
    <col min="7" max="7" width="12.85546875" style="79" customWidth="1"/>
    <col min="8" max="9" width="9.140625" style="79"/>
    <col min="10" max="10" width="14" style="79" customWidth="1"/>
    <col min="11" max="11" width="21.140625" style="79" customWidth="1"/>
    <col min="12" max="12" width="20.140625" style="79" customWidth="1"/>
    <col min="13" max="13" width="9.140625" style="79"/>
    <col min="14" max="14" width="13.28515625" style="79" customWidth="1"/>
    <col min="15" max="15" width="13.85546875" style="79" customWidth="1"/>
    <col min="16" max="17" width="9.140625" style="79"/>
    <col min="18" max="18" width="12.7109375" style="79" customWidth="1"/>
    <col min="19" max="20" width="16.7109375" style="79" customWidth="1"/>
    <col min="21" max="21" width="9.140625" style="79"/>
    <col min="22" max="22" width="11" style="79" customWidth="1"/>
    <col min="23" max="23" width="9.140625" style="79"/>
    <col min="24" max="24" width="11" style="79" customWidth="1"/>
    <col min="25" max="25" width="10.28515625" style="79" customWidth="1"/>
    <col min="26" max="26" width="13" style="79" customWidth="1"/>
    <col min="27" max="28" width="9.140625" style="79"/>
    <col min="29" max="29" width="18.5703125" style="79" customWidth="1"/>
    <col min="30" max="30" width="15" style="79" customWidth="1"/>
    <col min="31" max="31" width="21" style="79" customWidth="1"/>
    <col min="32" max="32" width="9.140625" style="79"/>
    <col min="33" max="33" width="10.42578125" style="79" bestFit="1" customWidth="1"/>
    <col min="34" max="34" width="9.140625" style="79"/>
    <col min="35" max="35" width="10.42578125" style="79" bestFit="1" customWidth="1"/>
    <col min="36" max="36" width="8.7109375" style="79" bestFit="1" customWidth="1"/>
    <col min="37" max="37" width="13.140625" style="79" customWidth="1"/>
    <col min="38" max="16384" width="9.140625" style="79"/>
  </cols>
  <sheetData>
    <row r="1" spans="1:37" x14ac:dyDescent="0.25">
      <c r="A1" s="193" t="s">
        <v>153</v>
      </c>
      <c r="B1" s="193"/>
      <c r="C1" s="193"/>
      <c r="D1" s="193"/>
      <c r="E1" s="193"/>
      <c r="F1" s="193"/>
      <c r="G1" s="193"/>
      <c r="I1" s="193" t="s">
        <v>161</v>
      </c>
      <c r="J1" s="193"/>
      <c r="K1" s="193"/>
      <c r="L1" s="193"/>
      <c r="M1" s="193"/>
      <c r="N1" s="193"/>
      <c r="O1" s="193"/>
      <c r="Q1" s="193" t="s">
        <v>169</v>
      </c>
      <c r="R1" s="193"/>
      <c r="S1" s="193"/>
      <c r="T1" s="193"/>
      <c r="U1" s="193"/>
      <c r="V1" s="193"/>
      <c r="W1" s="193"/>
      <c r="X1" s="193"/>
      <c r="Y1" s="193"/>
      <c r="Z1" s="193"/>
      <c r="AB1" s="193" t="s">
        <v>172</v>
      </c>
      <c r="AC1" s="193"/>
      <c r="AD1" s="193"/>
      <c r="AE1" s="193"/>
      <c r="AF1" s="193"/>
      <c r="AG1" s="193"/>
      <c r="AH1" s="193"/>
      <c r="AI1" s="193"/>
      <c r="AJ1" s="193"/>
      <c r="AK1" s="193"/>
    </row>
    <row r="3" spans="1:37" ht="15" customHeight="1" x14ac:dyDescent="0.25">
      <c r="A3" s="192" t="s">
        <v>11</v>
      </c>
      <c r="B3" s="192" t="s">
        <v>154</v>
      </c>
      <c r="C3" s="192" t="s">
        <v>155</v>
      </c>
      <c r="D3" s="192" t="s">
        <v>156</v>
      </c>
      <c r="E3" s="192" t="s">
        <v>157</v>
      </c>
      <c r="F3" s="192"/>
      <c r="G3" s="192"/>
      <c r="I3" s="192" t="s">
        <v>11</v>
      </c>
      <c r="J3" s="192" t="s">
        <v>154</v>
      </c>
      <c r="K3" s="192" t="s">
        <v>163</v>
      </c>
      <c r="L3" s="192" t="s">
        <v>162</v>
      </c>
      <c r="M3" s="192" t="s">
        <v>167</v>
      </c>
      <c r="N3" s="192"/>
      <c r="O3" s="192"/>
      <c r="Q3" s="192" t="s">
        <v>11</v>
      </c>
      <c r="R3" s="192" t="s">
        <v>154</v>
      </c>
      <c r="S3" s="192" t="s">
        <v>164</v>
      </c>
      <c r="T3" s="192" t="s">
        <v>168</v>
      </c>
      <c r="U3" s="192" t="s">
        <v>167</v>
      </c>
      <c r="V3" s="192"/>
      <c r="W3" s="192"/>
      <c r="X3" s="192"/>
      <c r="Y3" s="192"/>
      <c r="Z3" s="192"/>
      <c r="AB3" s="192" t="s">
        <v>11</v>
      </c>
      <c r="AC3" s="192" t="s">
        <v>154</v>
      </c>
      <c r="AD3" s="192" t="s">
        <v>170</v>
      </c>
      <c r="AE3" s="192" t="s">
        <v>171</v>
      </c>
      <c r="AF3" s="192" t="s">
        <v>167</v>
      </c>
      <c r="AG3" s="192"/>
      <c r="AH3" s="192"/>
      <c r="AI3" s="192"/>
      <c r="AJ3" s="192"/>
      <c r="AK3" s="192"/>
    </row>
    <row r="4" spans="1:37" ht="30" x14ac:dyDescent="0.25">
      <c r="A4" s="192"/>
      <c r="B4" s="192"/>
      <c r="C4" s="192"/>
      <c r="D4" s="192"/>
      <c r="E4" s="167" t="s">
        <v>158</v>
      </c>
      <c r="F4" s="167" t="s">
        <v>159</v>
      </c>
      <c r="G4" s="89" t="s">
        <v>160</v>
      </c>
      <c r="I4" s="192"/>
      <c r="J4" s="192"/>
      <c r="K4" s="192"/>
      <c r="L4" s="192"/>
      <c r="M4" s="167" t="s">
        <v>158</v>
      </c>
      <c r="N4" s="167" t="s">
        <v>159</v>
      </c>
      <c r="O4" s="89" t="s">
        <v>160</v>
      </c>
      <c r="Q4" s="192"/>
      <c r="R4" s="192"/>
      <c r="S4" s="192"/>
      <c r="T4" s="192"/>
      <c r="U4" s="167" t="s">
        <v>158</v>
      </c>
      <c r="V4" s="167" t="s">
        <v>159</v>
      </c>
      <c r="W4" s="167" t="s">
        <v>165</v>
      </c>
      <c r="X4" s="167" t="s">
        <v>159</v>
      </c>
      <c r="Y4" s="167" t="s">
        <v>166</v>
      </c>
      <c r="Z4" s="167" t="s">
        <v>160</v>
      </c>
      <c r="AB4" s="192"/>
      <c r="AC4" s="192"/>
      <c r="AD4" s="192"/>
      <c r="AE4" s="192"/>
      <c r="AF4" s="167" t="s">
        <v>158</v>
      </c>
      <c r="AG4" s="167" t="s">
        <v>159</v>
      </c>
      <c r="AH4" s="167" t="s">
        <v>165</v>
      </c>
      <c r="AI4" s="167" t="s">
        <v>159</v>
      </c>
      <c r="AJ4" s="167" t="s">
        <v>166</v>
      </c>
      <c r="AK4" s="167" t="s">
        <v>160</v>
      </c>
    </row>
    <row r="5" spans="1:37" x14ac:dyDescent="0.25">
      <c r="A5" s="89">
        <v>2011</v>
      </c>
      <c r="B5" s="168">
        <f>'Fraksi pengelolaan sampah BaU'!I29</f>
        <v>125.88047999999999</v>
      </c>
      <c r="C5" s="169">
        <f>'Fraksi pengelolaan sampah BaU'!B6</f>
        <v>0.31609999999999999</v>
      </c>
      <c r="D5" s="168">
        <f>'Fraksi pengelolaan sampah BaU'!B29</f>
        <v>39.790819727999995</v>
      </c>
      <c r="E5" s="170">
        <f>'Rekapitulasi BaU Emisi GRK'!B9</f>
        <v>1.6640249774555425</v>
      </c>
      <c r="F5" s="171">
        <f>'Rekapitulasi BaU Emisi GRK'!C9</f>
        <v>34.94452452656639</v>
      </c>
      <c r="G5" s="173">
        <f>F5*1000</f>
        <v>34944.524526566391</v>
      </c>
      <c r="I5" s="89">
        <v>2011</v>
      </c>
      <c r="J5" s="168">
        <f>B5</f>
        <v>125.88047999999999</v>
      </c>
      <c r="K5" s="174">
        <f>'Fraksi pengelolaan sampah BaU'!C6</f>
        <v>0.2802</v>
      </c>
      <c r="L5" s="175">
        <f>J5*K5</f>
        <v>35.271710495999997</v>
      </c>
      <c r="M5" s="171">
        <f>'Rekapitulasi BaU Emisi GRK'!L9</f>
        <v>1.1800311260564202</v>
      </c>
      <c r="N5" s="171">
        <f>'Rekapitulasi BaU Emisi GRK'!M9</f>
        <v>24.780653647184824</v>
      </c>
      <c r="O5" s="171">
        <f>N5*1000</f>
        <v>24780.653647184823</v>
      </c>
      <c r="Q5" s="176">
        <f>I5</f>
        <v>2011</v>
      </c>
      <c r="R5" s="177">
        <f>J5</f>
        <v>125.88047999999999</v>
      </c>
      <c r="S5" s="169">
        <f>'Fraksi pengelolaan sampah BaU'!E6</f>
        <v>0.39019999999999999</v>
      </c>
      <c r="T5" s="175">
        <f>R5*S5</f>
        <v>49.118563295999998</v>
      </c>
      <c r="U5" s="178">
        <f>'Rekapitulasi BaU Emisi GRK'!B61</f>
        <v>5.8266895709879987E-2</v>
      </c>
      <c r="V5" s="178">
        <f>'Rekapitulasi BaU Emisi GRK'!C61</f>
        <v>1.2236048099074797</v>
      </c>
      <c r="W5" s="178">
        <f>'Rekapitulasi BaU Emisi GRK'!D61</f>
        <v>1.3446206702279995E-3</v>
      </c>
      <c r="X5" s="178">
        <f>'Rekapitulasi BaU Emisi GRK'!E61</f>
        <v>0.41683240777067987</v>
      </c>
      <c r="Y5" s="178">
        <f>'Rekapitulasi BaU Emisi GRK'!F61</f>
        <v>1.6404372176781594</v>
      </c>
      <c r="Z5" s="171">
        <f>Y5*1000</f>
        <v>1640.4372176781594</v>
      </c>
      <c r="AB5" s="89">
        <f>Q5</f>
        <v>2011</v>
      </c>
      <c r="AC5" s="168">
        <f>R5</f>
        <v>125.88047999999999</v>
      </c>
      <c r="AD5" s="179">
        <f>'Fraksi pengelolaan sampah BaU'!D6</f>
        <v>1.35E-2</v>
      </c>
      <c r="AE5" s="178">
        <f>AC5*AD5</f>
        <v>1.6993864799999998</v>
      </c>
      <c r="AF5" s="178">
        <f>'Rekapitulasi BaU Emisi GRK'!B35</f>
        <v>6.7975459199999992E-3</v>
      </c>
      <c r="AG5" s="178">
        <f>'Rekapitulasi BaU Emisi GRK'!C35</f>
        <v>0.14274846431999999</v>
      </c>
      <c r="AH5" s="178">
        <f>'Rekapitulasi BaU Emisi GRK'!D35</f>
        <v>5.0981594399999997E-4</v>
      </c>
      <c r="AI5" s="178">
        <f>'Rekapitulasi BaU Emisi GRK'!E35</f>
        <v>0.15804294263999999</v>
      </c>
      <c r="AJ5" s="178">
        <f>'Rekapitulasi BaU Emisi GRK'!F35</f>
        <v>0.30079140695999995</v>
      </c>
      <c r="AK5" s="171">
        <f>AJ5*1000</f>
        <v>300.79140695999996</v>
      </c>
    </row>
    <row r="6" spans="1:37" x14ac:dyDescent="0.25">
      <c r="A6" s="89">
        <v>2012</v>
      </c>
      <c r="B6" s="168">
        <f>'Fraksi pengelolaan sampah BaU'!I30</f>
        <v>128.31984</v>
      </c>
      <c r="C6" s="169">
        <f>'Fraksi pengelolaan sampah BaU'!B7</f>
        <v>0.31609999999999999</v>
      </c>
      <c r="D6" s="168">
        <f>'Fraksi pengelolaan sampah BaU'!B30</f>
        <v>40.561901423999998</v>
      </c>
      <c r="E6" s="170">
        <f>'Rekapitulasi BaU Emisi GRK'!B10</f>
        <v>1.7452925812756255</v>
      </c>
      <c r="F6" s="171">
        <f>'Rekapitulasi BaU Emisi GRK'!C10</f>
        <v>36.651144206788132</v>
      </c>
      <c r="G6" s="173">
        <f t="shared" ref="G6:G24" si="0">F6*1000</f>
        <v>36651.144206788129</v>
      </c>
      <c r="I6" s="89">
        <v>2012</v>
      </c>
      <c r="J6" s="168">
        <f t="shared" ref="J6:J24" si="1">B6</f>
        <v>128.31984</v>
      </c>
      <c r="K6" s="174">
        <f>'Fraksi pengelolaan sampah BaU'!C7</f>
        <v>0.2802</v>
      </c>
      <c r="L6" s="175">
        <f t="shared" ref="L6:L24" si="2">J6*K6</f>
        <v>35.955219167999999</v>
      </c>
      <c r="M6" s="171">
        <f>'Rekapitulasi BaU Emisi GRK'!L10</f>
        <v>1.2376614521314273</v>
      </c>
      <c r="N6" s="171">
        <f>'Rekapitulasi BaU Emisi GRK'!M10</f>
        <v>25.990890494759974</v>
      </c>
      <c r="O6" s="171">
        <f t="shared" ref="O6:O24" si="3">N6*1000</f>
        <v>25990.890494759973</v>
      </c>
      <c r="Q6" s="176">
        <f t="shared" ref="Q6:Q24" si="4">I6</f>
        <v>2012</v>
      </c>
      <c r="R6" s="177">
        <f t="shared" ref="R6:R24" si="5">J6</f>
        <v>128.31984</v>
      </c>
      <c r="S6" s="169">
        <f>'Fraksi pengelolaan sampah BaU'!E7</f>
        <v>0.39019999999999999</v>
      </c>
      <c r="T6" s="175">
        <f t="shared" ref="T6:T24" si="6">R6*S6</f>
        <v>50.070401568000001</v>
      </c>
      <c r="U6" s="178">
        <f>'Rekapitulasi BaU Emisi GRK'!B62</f>
        <v>5.9396013860040002E-2</v>
      </c>
      <c r="V6" s="178">
        <f>'Rekapitulasi BaU Emisi GRK'!C62</f>
        <v>1.24731629106084</v>
      </c>
      <c r="W6" s="178">
        <f>'Rekapitulasi BaU Emisi GRK'!D62</f>
        <v>1.370677242924E-3</v>
      </c>
      <c r="X6" s="178">
        <f>'Rekapitulasi BaU Emisi GRK'!E62</f>
        <v>0.42490994530644</v>
      </c>
      <c r="Y6" s="178">
        <f>'Rekapitulasi BaU Emisi GRK'!F62</f>
        <v>1.67222623636728</v>
      </c>
      <c r="Z6" s="171">
        <f t="shared" ref="Z6:Z24" si="7">Y6*1000</f>
        <v>1672.2262363672799</v>
      </c>
      <c r="AB6" s="89">
        <f t="shared" ref="AB6:AB24" si="8">Q6</f>
        <v>2012</v>
      </c>
      <c r="AC6" s="168">
        <f t="shared" ref="AC6:AC24" si="9">R6</f>
        <v>128.31984</v>
      </c>
      <c r="AD6" s="179">
        <f>'Fraksi pengelolaan sampah BaU'!D7</f>
        <v>1.35E-2</v>
      </c>
      <c r="AE6" s="178">
        <f t="shared" ref="AE6:AE24" si="10">AC6*AD6</f>
        <v>1.7323178399999999</v>
      </c>
      <c r="AF6" s="178">
        <f>'Rekapitulasi BaU Emisi GRK'!B36</f>
        <v>6.9292713599999993E-3</v>
      </c>
      <c r="AG6" s="178">
        <f>'Rekapitulasi BaU Emisi GRK'!C36</f>
        <v>0.14551469855999999</v>
      </c>
      <c r="AH6" s="178">
        <f>'Rekapitulasi BaU Emisi GRK'!D36</f>
        <v>5.1969535199999993E-4</v>
      </c>
      <c r="AI6" s="178">
        <f>'Rekapitulasi BaU Emisi GRK'!E36</f>
        <v>0.16110555911999996</v>
      </c>
      <c r="AJ6" s="178">
        <f>'Rekapitulasi BaU Emisi GRK'!F36</f>
        <v>0.30662025767999995</v>
      </c>
      <c r="AK6" s="171">
        <f t="shared" ref="AK6:AK24" si="11">AJ6*1000</f>
        <v>306.62025767999995</v>
      </c>
    </row>
    <row r="7" spans="1:37" x14ac:dyDescent="0.25">
      <c r="A7" s="89">
        <v>2013</v>
      </c>
      <c r="B7" s="168">
        <f>'Fraksi pengelolaan sampah BaU'!I31</f>
        <v>130.75083999999998</v>
      </c>
      <c r="C7" s="169">
        <f>'Fraksi pengelolaan sampah BaU'!B8</f>
        <v>0.31609999999999999</v>
      </c>
      <c r="D7" s="168">
        <f>'Fraksi pengelolaan sampah BaU'!B31</f>
        <v>41.330340523999993</v>
      </c>
      <c r="E7" s="170">
        <f>'Rekapitulasi BaU Emisi GRK'!B11</f>
        <v>1.8172805059611721</v>
      </c>
      <c r="F7" s="171">
        <f>'Rekapitulasi BaU Emisi GRK'!C11</f>
        <v>38.162890625184616</v>
      </c>
      <c r="G7" s="173">
        <f t="shared" si="0"/>
        <v>38162.890625184613</v>
      </c>
      <c r="I7" s="89">
        <v>2013</v>
      </c>
      <c r="J7" s="168">
        <f t="shared" si="1"/>
        <v>130.75083999999998</v>
      </c>
      <c r="K7" s="174">
        <f>'Fraksi pengelolaan sampah BaU'!C8</f>
        <v>0.2802</v>
      </c>
      <c r="L7" s="175">
        <f t="shared" si="2"/>
        <v>36.636385367999999</v>
      </c>
      <c r="M7" s="171">
        <f>'Rekapitulasi BaU Emisi GRK'!L11</f>
        <v>1.2887111617091314</v>
      </c>
      <c r="N7" s="171">
        <f>'Rekapitulasi BaU Emisi GRK'!M11</f>
        <v>27.062934395891759</v>
      </c>
      <c r="O7" s="171">
        <f t="shared" si="3"/>
        <v>27062.93439589176</v>
      </c>
      <c r="Q7" s="176">
        <f t="shared" si="4"/>
        <v>2013</v>
      </c>
      <c r="R7" s="177">
        <f t="shared" si="5"/>
        <v>130.75083999999998</v>
      </c>
      <c r="S7" s="169">
        <f>'Fraksi pengelolaan sampah BaU'!E8</f>
        <v>0.39019999999999999</v>
      </c>
      <c r="T7" s="175">
        <f t="shared" si="6"/>
        <v>51.018977767999992</v>
      </c>
      <c r="U7" s="178">
        <f>'Rekapitulasi BaU Emisi GRK'!B63</f>
        <v>6.0521262377290004E-2</v>
      </c>
      <c r="V7" s="178">
        <f>'Rekapitulasi BaU Emisi GRK'!C63</f>
        <v>1.2709465099230901</v>
      </c>
      <c r="W7" s="178">
        <f>'Rekapitulasi BaU Emisi GRK'!D63</f>
        <v>1.396644516399E-3</v>
      </c>
      <c r="X7" s="178">
        <f>'Rekapitulasi BaU Emisi GRK'!E63</f>
        <v>0.43295980008369001</v>
      </c>
      <c r="Y7" s="178">
        <f>'Rekapitulasi BaU Emisi GRK'!F63</f>
        <v>1.7039063100067802</v>
      </c>
      <c r="Z7" s="171">
        <f t="shared" si="7"/>
        <v>1703.9063100067801</v>
      </c>
      <c r="AB7" s="89">
        <f t="shared" si="8"/>
        <v>2013</v>
      </c>
      <c r="AC7" s="168">
        <f t="shared" si="9"/>
        <v>130.75083999999998</v>
      </c>
      <c r="AD7" s="179">
        <f>'Fraksi pengelolaan sampah BaU'!D8</f>
        <v>1.35E-2</v>
      </c>
      <c r="AE7" s="178">
        <f t="shared" si="10"/>
        <v>1.7651363399999997</v>
      </c>
      <c r="AF7" s="178">
        <f>'Rekapitulasi BaU Emisi GRK'!B37</f>
        <v>7.0605453599999991E-3</v>
      </c>
      <c r="AG7" s="178">
        <f>'Rekapitulasi BaU Emisi GRK'!C37</f>
        <v>0.14827145255999999</v>
      </c>
      <c r="AH7" s="178">
        <f>'Rekapitulasi BaU Emisi GRK'!D37</f>
        <v>5.2954090199999998E-4</v>
      </c>
      <c r="AI7" s="178">
        <f>'Rekapitulasi BaU Emisi GRK'!E37</f>
        <v>0.16415767962</v>
      </c>
      <c r="AJ7" s="178">
        <f>'Rekapitulasi BaU Emisi GRK'!F37</f>
        <v>0.31242913218000001</v>
      </c>
      <c r="AK7" s="171">
        <f t="shared" si="11"/>
        <v>312.42913218000001</v>
      </c>
    </row>
    <row r="8" spans="1:37" x14ac:dyDescent="0.25">
      <c r="A8" s="89">
        <v>2014</v>
      </c>
      <c r="B8" s="168">
        <f>'Fraksi pengelolaan sampah BaU'!I32</f>
        <v>133.12111999999999</v>
      </c>
      <c r="C8" s="169">
        <f>'Fraksi pengelolaan sampah BaU'!B9</f>
        <v>0.31609999999999999</v>
      </c>
      <c r="D8" s="168">
        <f>'Fraksi pengelolaan sampah BaU'!B32</f>
        <v>42.079586031999995</v>
      </c>
      <c r="E8" s="170">
        <f>'Rekapitulasi BaU Emisi GRK'!B12</f>
        <v>1.8825982735126692</v>
      </c>
      <c r="F8" s="171">
        <f>'Rekapitulasi BaU Emisi GRK'!C12</f>
        <v>39.53456374376605</v>
      </c>
      <c r="G8" s="173">
        <f t="shared" si="0"/>
        <v>39534.563743766048</v>
      </c>
      <c r="I8" s="89">
        <v>2014</v>
      </c>
      <c r="J8" s="168">
        <f t="shared" si="1"/>
        <v>133.12111999999999</v>
      </c>
      <c r="K8" s="174">
        <f>'Fraksi pengelolaan sampah BaU'!C9</f>
        <v>0.2802</v>
      </c>
      <c r="L8" s="175">
        <f t="shared" si="2"/>
        <v>37.300537823999996</v>
      </c>
      <c r="M8" s="171">
        <f>'Rekapitulasi BaU Emisi GRK'!L12</f>
        <v>1.3350307782049984</v>
      </c>
      <c r="N8" s="171">
        <f>'Rekapitulasi BaU Emisi GRK'!M12</f>
        <v>28.035646342304965</v>
      </c>
      <c r="O8" s="171">
        <f t="shared" si="3"/>
        <v>28035.646342304964</v>
      </c>
      <c r="Q8" s="176">
        <f t="shared" si="4"/>
        <v>2014</v>
      </c>
      <c r="R8" s="177">
        <f t="shared" si="5"/>
        <v>133.12111999999999</v>
      </c>
      <c r="S8" s="169">
        <f>'Fraksi pengelolaan sampah BaU'!E9</f>
        <v>0.39019999999999999</v>
      </c>
      <c r="T8" s="175">
        <f t="shared" si="6"/>
        <v>51.943861023999993</v>
      </c>
      <c r="U8" s="178">
        <f>'Rekapitulasi BaU Emisi GRK'!B64</f>
        <v>6.1618405139719994E-2</v>
      </c>
      <c r="V8" s="178">
        <f>'Rekapitulasi BaU Emisi GRK'!C64</f>
        <v>1.29398650793412</v>
      </c>
      <c r="W8" s="178">
        <f>'Rekapitulasi BaU Emisi GRK'!D64</f>
        <v>1.4219631955319999E-3</v>
      </c>
      <c r="X8" s="178">
        <f>'Rekapitulasi BaU Emisi GRK'!E64</f>
        <v>0.44080859061492</v>
      </c>
      <c r="Y8" s="178">
        <f>'Rekapitulasi BaU Emisi GRK'!F64</f>
        <v>1.7347950985490399</v>
      </c>
      <c r="Z8" s="171">
        <f t="shared" si="7"/>
        <v>1734.7950985490399</v>
      </c>
      <c r="AB8" s="89">
        <f t="shared" si="8"/>
        <v>2014</v>
      </c>
      <c r="AC8" s="168">
        <f t="shared" si="9"/>
        <v>133.12111999999999</v>
      </c>
      <c r="AD8" s="179">
        <f>'Fraksi pengelolaan sampah BaU'!D9</f>
        <v>1.35E-2</v>
      </c>
      <c r="AE8" s="178">
        <f t="shared" si="10"/>
        <v>1.7971351199999999</v>
      </c>
      <c r="AF8" s="178">
        <f>'Rekapitulasi BaU Emisi GRK'!B38</f>
        <v>7.1885404799999992E-3</v>
      </c>
      <c r="AG8" s="178">
        <f>'Rekapitulasi BaU Emisi GRK'!C38</f>
        <v>0.15095935007999997</v>
      </c>
      <c r="AH8" s="178">
        <f>'Rekapitulasi BaU Emisi GRK'!D38</f>
        <v>5.3914053599999994E-4</v>
      </c>
      <c r="AI8" s="178">
        <f>'Rekapitulasi BaU Emisi GRK'!E38</f>
        <v>0.16713356615999997</v>
      </c>
      <c r="AJ8" s="178">
        <f>'Rekapitulasi BaU Emisi GRK'!F38</f>
        <v>0.31809291623999991</v>
      </c>
      <c r="AK8" s="171">
        <f t="shared" si="11"/>
        <v>318.09291623999991</v>
      </c>
    </row>
    <row r="9" spans="1:37" x14ac:dyDescent="0.25">
      <c r="A9" s="89">
        <v>2015</v>
      </c>
      <c r="B9" s="168">
        <f>'Fraksi pengelolaan sampah BaU'!I33</f>
        <v>135.42627999999999</v>
      </c>
      <c r="C9" s="169">
        <f>'Fraksi pengelolaan sampah BaU'!B10</f>
        <v>0.31609999999999999</v>
      </c>
      <c r="D9" s="168">
        <f>'Fraksi pengelolaan sampah BaU'!B33</f>
        <v>42.808247107999996</v>
      </c>
      <c r="E9" s="170">
        <f>'Rekapitulasi BaU Emisi GRK'!B13</f>
        <v>1.9428288621561873</v>
      </c>
      <c r="F9" s="171">
        <f>'Rekapitulasi BaU Emisi GRK'!C13</f>
        <v>40.799406105279935</v>
      </c>
      <c r="G9" s="173">
        <f t="shared" si="0"/>
        <v>40799.406105279937</v>
      </c>
      <c r="I9" s="89">
        <v>2015</v>
      </c>
      <c r="J9" s="168">
        <f t="shared" si="1"/>
        <v>135.42627999999999</v>
      </c>
      <c r="K9" s="174">
        <f>'Fraksi pengelolaan sampah BaU'!C10</f>
        <v>0.2802</v>
      </c>
      <c r="L9" s="175">
        <f t="shared" si="2"/>
        <v>37.946443656</v>
      </c>
      <c r="M9" s="171">
        <f>'Rekapitulasi BaU Emisi GRK'!L13</f>
        <v>1.377742859034897</v>
      </c>
      <c r="N9" s="171">
        <f>'Rekapitulasi BaU Emisi GRK'!M13</f>
        <v>28.932600039732836</v>
      </c>
      <c r="O9" s="171">
        <f t="shared" si="3"/>
        <v>28932.600039732835</v>
      </c>
      <c r="Q9" s="176">
        <f t="shared" si="4"/>
        <v>2015</v>
      </c>
      <c r="R9" s="177">
        <f t="shared" si="5"/>
        <v>135.42627999999999</v>
      </c>
      <c r="S9" s="169">
        <f>'Fraksi pengelolaan sampah BaU'!E10</f>
        <v>0.39019999999999999</v>
      </c>
      <c r="T9" s="175">
        <f t="shared" si="6"/>
        <v>52.843334455999994</v>
      </c>
      <c r="U9" s="178">
        <f>'Rekapitulasi BaU Emisi GRK'!B65</f>
        <v>6.2685405498430005E-2</v>
      </c>
      <c r="V9" s="178">
        <f>'Rekapitulasi BaU Emisi GRK'!C65</f>
        <v>1.3163935154670301</v>
      </c>
      <c r="W9" s="178">
        <f>'Rekapitulasi BaU Emisi GRK'!D65</f>
        <v>1.4465862807329999E-3</v>
      </c>
      <c r="X9" s="178">
        <f>'Rekapitulasi BaU Emisi GRK'!E65</f>
        <v>0.44844174702723</v>
      </c>
      <c r="Y9" s="178">
        <f>'Rekapitulasi BaU Emisi GRK'!F65</f>
        <v>1.76483526249426</v>
      </c>
      <c r="Z9" s="171">
        <f t="shared" si="7"/>
        <v>1764.83526249426</v>
      </c>
      <c r="AB9" s="89">
        <f t="shared" si="8"/>
        <v>2015</v>
      </c>
      <c r="AC9" s="168">
        <f t="shared" si="9"/>
        <v>135.42627999999999</v>
      </c>
      <c r="AD9" s="179">
        <f>'Fraksi pengelolaan sampah BaU'!D10</f>
        <v>1.35E-2</v>
      </c>
      <c r="AE9" s="178">
        <f t="shared" si="10"/>
        <v>1.82825478</v>
      </c>
      <c r="AF9" s="178">
        <f>'Rekapitulasi BaU Emisi GRK'!B39</f>
        <v>7.31301912E-3</v>
      </c>
      <c r="AG9" s="178">
        <f>'Rekapitulasi BaU Emisi GRK'!C39</f>
        <v>0.15357340151999999</v>
      </c>
      <c r="AH9" s="178">
        <f>'Rekapitulasi BaU Emisi GRK'!D39</f>
        <v>5.48476434E-4</v>
      </c>
      <c r="AI9" s="178">
        <f>'Rekapitulasi BaU Emisi GRK'!E39</f>
        <v>0.17002769454</v>
      </c>
      <c r="AJ9" s="178">
        <f>'Rekapitulasi BaU Emisi GRK'!F39</f>
        <v>0.32360109605999998</v>
      </c>
      <c r="AK9" s="171">
        <f t="shared" si="11"/>
        <v>323.60109605999997</v>
      </c>
    </row>
    <row r="10" spans="1:37" x14ac:dyDescent="0.25">
      <c r="A10" s="89">
        <v>2016</v>
      </c>
      <c r="B10" s="168">
        <f>'Fraksi pengelolaan sampah BaU'!I34</f>
        <v>137.71295999999998</v>
      </c>
      <c r="C10" s="169">
        <f>'Fraksi pengelolaan sampah BaU'!B11</f>
        <v>0.31609999999999999</v>
      </c>
      <c r="D10" s="168">
        <f>'Fraksi pengelolaan sampah BaU'!B34</f>
        <v>43.531066655999993</v>
      </c>
      <c r="E10" s="170">
        <f>'Rekapitulasi BaU Emisi GRK'!B14</f>
        <v>1.9990515643314024</v>
      </c>
      <c r="F10" s="171">
        <f>'Rekapitulasi BaU Emisi GRK'!C14</f>
        <v>41.980082850959448</v>
      </c>
      <c r="G10" s="173">
        <f t="shared" si="0"/>
        <v>41980.08285095945</v>
      </c>
      <c r="I10" s="89">
        <v>2016</v>
      </c>
      <c r="J10" s="168">
        <f t="shared" si="1"/>
        <v>137.71295999999998</v>
      </c>
      <c r="K10" s="174">
        <f>'Fraksi pengelolaan sampah BaU'!C11</f>
        <v>0.2802</v>
      </c>
      <c r="L10" s="175">
        <f t="shared" si="2"/>
        <v>38.587171391999995</v>
      </c>
      <c r="M10" s="171">
        <f>'Rekapitulasi BaU Emisi GRK'!L14</f>
        <v>1.4176127765280835</v>
      </c>
      <c r="N10" s="171">
        <f>'Rekapitulasi BaU Emisi GRK'!M14</f>
        <v>29.769868307089752</v>
      </c>
      <c r="O10" s="171">
        <f t="shared" si="3"/>
        <v>29769.868307089753</v>
      </c>
      <c r="Q10" s="176">
        <f t="shared" si="4"/>
        <v>2016</v>
      </c>
      <c r="R10" s="177">
        <f t="shared" si="5"/>
        <v>137.71295999999998</v>
      </c>
      <c r="S10" s="169">
        <f>'Fraksi pengelolaan sampah BaU'!E11</f>
        <v>0.39019999999999999</v>
      </c>
      <c r="T10" s="175">
        <f t="shared" si="6"/>
        <v>53.735596991999991</v>
      </c>
      <c r="U10" s="178">
        <f>'Rekapitulasi BaU Emisi GRK'!B66</f>
        <v>6.3743851931759993E-2</v>
      </c>
      <c r="V10" s="178">
        <f>'Rekapitulasi BaU Emisi GRK'!C66</f>
        <v>1.3386208905669599</v>
      </c>
      <c r="W10" s="178">
        <f>'Rekapitulasi BaU Emisi GRK'!D66</f>
        <v>1.4710119676559997E-3</v>
      </c>
      <c r="X10" s="178">
        <f>'Rekapitulasi BaU Emisi GRK'!E66</f>
        <v>0.45601370997335994</v>
      </c>
      <c r="Y10" s="178">
        <f>'Rekapitulasi BaU Emisi GRK'!F66</f>
        <v>1.7946346005403198</v>
      </c>
      <c r="Z10" s="171">
        <f t="shared" si="7"/>
        <v>1794.6346005403198</v>
      </c>
      <c r="AB10" s="89">
        <f t="shared" si="8"/>
        <v>2016</v>
      </c>
      <c r="AC10" s="168">
        <f t="shared" si="9"/>
        <v>137.71295999999998</v>
      </c>
      <c r="AD10" s="179">
        <f>'Fraksi pengelolaan sampah BaU'!D11</f>
        <v>1.35E-2</v>
      </c>
      <c r="AE10" s="178">
        <f t="shared" si="10"/>
        <v>1.8591249599999997</v>
      </c>
      <c r="AF10" s="178">
        <f>'Rekapitulasi BaU Emisi GRK'!B40</f>
        <v>7.4364998399999984E-3</v>
      </c>
      <c r="AG10" s="178">
        <f>'Rekapitulasi BaU Emisi GRK'!C40</f>
        <v>0.15616649663999996</v>
      </c>
      <c r="AH10" s="178">
        <f>'Rekapitulasi BaU Emisi GRK'!D40</f>
        <v>5.5773748799999988E-4</v>
      </c>
      <c r="AI10" s="178">
        <f>'Rekapitulasi BaU Emisi GRK'!E40</f>
        <v>0.17289862127999997</v>
      </c>
      <c r="AJ10" s="178">
        <f>'Rekapitulasi BaU Emisi GRK'!F40</f>
        <v>0.32906511791999993</v>
      </c>
      <c r="AK10" s="171">
        <f t="shared" si="11"/>
        <v>329.06511791999992</v>
      </c>
    </row>
    <row r="11" spans="1:37" x14ac:dyDescent="0.25">
      <c r="A11" s="89">
        <v>2017</v>
      </c>
      <c r="B11" s="168">
        <f>'Fraksi pengelolaan sampah BaU'!I35</f>
        <v>142.99758</v>
      </c>
      <c r="C11" s="169">
        <f>'Fraksi pengelolaan sampah BaU'!B12</f>
        <v>0.31609999999999999</v>
      </c>
      <c r="D11" s="168">
        <f>'Fraksi pengelolaan sampah BaU'!B35</f>
        <v>45.201535037999996</v>
      </c>
      <c r="E11" s="170">
        <f>'Rekapitulasi BaU Emisi GRK'!B15</f>
        <v>2.0522148453175793</v>
      </c>
      <c r="F11" s="171">
        <f>'Rekapitulasi BaU Emisi GRK'!C15</f>
        <v>43.096511751669162</v>
      </c>
      <c r="G11" s="173">
        <f t="shared" si="0"/>
        <v>43096.511751669161</v>
      </c>
      <c r="I11" s="89">
        <v>2017</v>
      </c>
      <c r="J11" s="168">
        <f t="shared" si="1"/>
        <v>142.99758</v>
      </c>
      <c r="K11" s="174">
        <f>'Fraksi pengelolaan sampah BaU'!C12</f>
        <v>0.2802</v>
      </c>
      <c r="L11" s="175">
        <f t="shared" si="2"/>
        <v>40.067921916000003</v>
      </c>
      <c r="M11" s="171">
        <f>'Rekapitulasi BaU Emisi GRK'!L15</f>
        <v>1.455313127891138</v>
      </c>
      <c r="N11" s="171">
        <f>'Rekapitulasi BaU Emisi GRK'!M15</f>
        <v>30.561575685713898</v>
      </c>
      <c r="O11" s="171">
        <f t="shared" si="3"/>
        <v>30561.575685713899</v>
      </c>
      <c r="Q11" s="176">
        <f t="shared" si="4"/>
        <v>2017</v>
      </c>
      <c r="R11" s="177">
        <f t="shared" si="5"/>
        <v>142.99758</v>
      </c>
      <c r="S11" s="169">
        <f>'Fraksi pengelolaan sampah BaU'!E12</f>
        <v>0.39019999999999999</v>
      </c>
      <c r="T11" s="175">
        <f t="shared" si="6"/>
        <v>55.797655716000001</v>
      </c>
      <c r="U11" s="178">
        <f>'Rekapitulasi BaU Emisi GRK'!B67</f>
        <v>6.6189969093104997E-2</v>
      </c>
      <c r="V11" s="178">
        <f>'Rekapitulasi BaU Emisi GRK'!C67</f>
        <v>1.389989350955205</v>
      </c>
      <c r="W11" s="178">
        <f>'Rekapitulasi BaU Emisi GRK'!D67</f>
        <v>1.5274608252254999E-3</v>
      </c>
      <c r="X11" s="178">
        <f>'Rekapitulasi BaU Emisi GRK'!E67</f>
        <v>0.47351285581990499</v>
      </c>
      <c r="Y11" s="178">
        <f>'Rekapitulasi BaU Emisi GRK'!F67</f>
        <v>1.8635022067751099</v>
      </c>
      <c r="Z11" s="171">
        <f t="shared" si="7"/>
        <v>1863.5022067751099</v>
      </c>
      <c r="AB11" s="89">
        <f t="shared" si="8"/>
        <v>2017</v>
      </c>
      <c r="AC11" s="168">
        <f t="shared" si="9"/>
        <v>142.99758</v>
      </c>
      <c r="AD11" s="179">
        <f>'Fraksi pengelolaan sampah BaU'!D12</f>
        <v>1.35E-2</v>
      </c>
      <c r="AE11" s="178">
        <f t="shared" si="10"/>
        <v>1.9304673299999999</v>
      </c>
      <c r="AF11" s="178">
        <f>'Rekapitulasi BaU Emisi GRK'!B41</f>
        <v>7.7218693199999997E-3</v>
      </c>
      <c r="AG11" s="178">
        <f>'Rekapitulasi BaU Emisi GRK'!C41</f>
        <v>0.16215925572000001</v>
      </c>
      <c r="AH11" s="178">
        <f>'Rekapitulasi BaU Emisi GRK'!D41</f>
        <v>5.7914019899999987E-4</v>
      </c>
      <c r="AI11" s="178">
        <f>'Rekapitulasi BaU Emisi GRK'!E41</f>
        <v>0.17953346168999995</v>
      </c>
      <c r="AJ11" s="178">
        <f>'Rekapitulasi BaU Emisi GRK'!F41</f>
        <v>0.34169271740999996</v>
      </c>
      <c r="AK11" s="171">
        <f t="shared" si="11"/>
        <v>341.69271740999994</v>
      </c>
    </row>
    <row r="12" spans="1:37" x14ac:dyDescent="0.25">
      <c r="A12" s="89">
        <v>2018</v>
      </c>
      <c r="B12" s="168">
        <f>'Fraksi pengelolaan sampah BaU'!I36</f>
        <v>146.31936000000002</v>
      </c>
      <c r="C12" s="169">
        <f>'Fraksi pengelolaan sampah BaU'!B13</f>
        <v>0.31609999999999999</v>
      </c>
      <c r="D12" s="168">
        <f>'Fraksi pengelolaan sampah BaU'!B36</f>
        <v>46.251549696000005</v>
      </c>
      <c r="E12" s="170">
        <f>'Rekapitulasi BaU Emisi GRK'!B16</f>
        <v>2.1155628128655466</v>
      </c>
      <c r="F12" s="171">
        <f>'Rekapitulasi BaU Emisi GRK'!C16</f>
        <v>44.426819070176478</v>
      </c>
      <c r="G12" s="173">
        <f t="shared" si="0"/>
        <v>44426.819070176476</v>
      </c>
      <c r="I12" s="89">
        <v>2018</v>
      </c>
      <c r="J12" s="168">
        <f t="shared" si="1"/>
        <v>146.31936000000002</v>
      </c>
      <c r="K12" s="174">
        <f>'Fraksi pengelolaan sampah BaU'!C13</f>
        <v>0.2802</v>
      </c>
      <c r="L12" s="175">
        <f t="shared" si="2"/>
        <v>40.998684672000003</v>
      </c>
      <c r="M12" s="171">
        <f>'Rekapitulasi BaU Emisi GRK'!L16</f>
        <v>1.5002358751405915</v>
      </c>
      <c r="N12" s="171">
        <f>'Rekapitulasi BaU Emisi GRK'!M16</f>
        <v>31.504953377952422</v>
      </c>
      <c r="O12" s="171">
        <f t="shared" si="3"/>
        <v>31504.953377952421</v>
      </c>
      <c r="Q12" s="176">
        <f t="shared" si="4"/>
        <v>2018</v>
      </c>
      <c r="R12" s="177">
        <f t="shared" si="5"/>
        <v>146.31936000000002</v>
      </c>
      <c r="S12" s="169">
        <f>'Fraksi pengelolaan sampah BaU'!E13</f>
        <v>0.39019999999999999</v>
      </c>
      <c r="T12" s="175">
        <f t="shared" si="6"/>
        <v>57.093814272000003</v>
      </c>
      <c r="U12" s="178">
        <f>'Rekapitulasi BaU Emisi GRK'!B68</f>
        <v>6.7727537180160016E-2</v>
      </c>
      <c r="V12" s="178">
        <f>'Rekapitulasi BaU Emisi GRK'!C68</f>
        <v>1.4222782807833603</v>
      </c>
      <c r="W12" s="178">
        <f>'Rekapitulasi BaU Emisi GRK'!D68</f>
        <v>1.5629431656960001E-3</v>
      </c>
      <c r="X12" s="178">
        <f>'Rekapitulasi BaU Emisi GRK'!E68</f>
        <v>0.48451238136576003</v>
      </c>
      <c r="Y12" s="178">
        <f>'Rekapitulasi BaU Emisi GRK'!F68</f>
        <v>1.9067906621491204</v>
      </c>
      <c r="Z12" s="171">
        <f t="shared" si="7"/>
        <v>1906.7906621491204</v>
      </c>
      <c r="AB12" s="89">
        <f t="shared" si="8"/>
        <v>2018</v>
      </c>
      <c r="AC12" s="168">
        <f t="shared" si="9"/>
        <v>146.31936000000002</v>
      </c>
      <c r="AD12" s="179">
        <f>'Fraksi pengelolaan sampah BaU'!D13</f>
        <v>1.35E-2</v>
      </c>
      <c r="AE12" s="178">
        <f t="shared" si="10"/>
        <v>1.9753113600000003</v>
      </c>
      <c r="AF12" s="178">
        <f>'Rekapitulasi BaU Emisi GRK'!B42</f>
        <v>7.9012454400000012E-3</v>
      </c>
      <c r="AG12" s="178">
        <f>'Rekapitulasi BaU Emisi GRK'!C42</f>
        <v>0.16592615424000001</v>
      </c>
      <c r="AH12" s="178">
        <f>'Rekapitulasi BaU Emisi GRK'!D42</f>
        <v>5.9259340800000009E-4</v>
      </c>
      <c r="AI12" s="178">
        <f>'Rekapitulasi BaU Emisi GRK'!E42</f>
        <v>0.18370395648000001</v>
      </c>
      <c r="AJ12" s="178">
        <f>'Rekapitulasi BaU Emisi GRK'!F42</f>
        <v>0.34963011072000005</v>
      </c>
      <c r="AK12" s="171">
        <f t="shared" si="11"/>
        <v>349.63011072000006</v>
      </c>
    </row>
    <row r="13" spans="1:37" x14ac:dyDescent="0.25">
      <c r="A13" s="89">
        <v>2019</v>
      </c>
      <c r="B13" s="168">
        <f>'Fraksi pengelolaan sampah BaU'!I37</f>
        <v>149.64114000000001</v>
      </c>
      <c r="C13" s="169">
        <f>'Fraksi pengelolaan sampah BaU'!B14</f>
        <v>0.31609999999999999</v>
      </c>
      <c r="D13" s="168">
        <f>'Fraksi pengelolaan sampah BaU'!B37</f>
        <v>47.301564354</v>
      </c>
      <c r="E13" s="170">
        <f>'Rekapitulasi BaU Emisi GRK'!B17</f>
        <v>2.1777885886005941</v>
      </c>
      <c r="F13" s="171">
        <f>'Rekapitulasi BaU Emisi GRK'!C17</f>
        <v>45.733560360612479</v>
      </c>
      <c r="G13" s="173">
        <f t="shared" si="0"/>
        <v>45733.560360612479</v>
      </c>
      <c r="I13" s="89">
        <v>2019</v>
      </c>
      <c r="J13" s="168">
        <f t="shared" si="1"/>
        <v>149.64114000000001</v>
      </c>
      <c r="K13" s="174">
        <f>'Fraksi pengelolaan sampah BaU'!C14</f>
        <v>0.2802</v>
      </c>
      <c r="L13" s="175">
        <f t="shared" si="2"/>
        <v>41.929447428000003</v>
      </c>
      <c r="M13" s="171">
        <f>'Rekapitulasi BaU Emisi GRK'!L17</f>
        <v>1.5443628282844326</v>
      </c>
      <c r="N13" s="171">
        <f>'Rekapitulasi BaU Emisi GRK'!M17</f>
        <v>32.431619393973087</v>
      </c>
      <c r="O13" s="171">
        <f t="shared" si="3"/>
        <v>32431.619393973087</v>
      </c>
      <c r="Q13" s="176">
        <f t="shared" si="4"/>
        <v>2019</v>
      </c>
      <c r="R13" s="177">
        <f t="shared" si="5"/>
        <v>149.64114000000001</v>
      </c>
      <c r="S13" s="169">
        <f>'Fraksi pengelolaan sampah BaU'!E14</f>
        <v>0.39019999999999999</v>
      </c>
      <c r="T13" s="175">
        <f t="shared" si="6"/>
        <v>58.389972828000005</v>
      </c>
      <c r="U13" s="178">
        <f>'Rekapitulasi BaU Emisi GRK'!B69</f>
        <v>6.9265105267214994E-2</v>
      </c>
      <c r="V13" s="178">
        <f>'Rekapitulasi BaU Emisi GRK'!C69</f>
        <v>1.4545672106115148</v>
      </c>
      <c r="W13" s="178">
        <f>'Rekapitulasi BaU Emisi GRK'!D69</f>
        <v>1.5984255061664999E-3</v>
      </c>
      <c r="X13" s="178">
        <f>'Rekapitulasi BaU Emisi GRK'!E69</f>
        <v>0.49551190691161495</v>
      </c>
      <c r="Y13" s="178">
        <f>'Rekapitulasi BaU Emisi GRK'!F69</f>
        <v>1.9500791175231298</v>
      </c>
      <c r="Z13" s="171">
        <f t="shared" si="7"/>
        <v>1950.0791175231298</v>
      </c>
      <c r="AB13" s="89">
        <f t="shared" si="8"/>
        <v>2019</v>
      </c>
      <c r="AC13" s="168">
        <f t="shared" si="9"/>
        <v>149.64114000000001</v>
      </c>
      <c r="AD13" s="179">
        <f>'Fraksi pengelolaan sampah BaU'!D14</f>
        <v>1.35E-2</v>
      </c>
      <c r="AE13" s="178">
        <f t="shared" si="10"/>
        <v>2.0201553900000002</v>
      </c>
      <c r="AF13" s="178">
        <f>'Rekapitulasi BaU Emisi GRK'!B43</f>
        <v>8.0806215600000009E-3</v>
      </c>
      <c r="AG13" s="178">
        <f>'Rekapitulasi BaU Emisi GRK'!C43</f>
        <v>0.16969305276000002</v>
      </c>
      <c r="AH13" s="178">
        <f>'Rekapitulasi BaU Emisi GRK'!D43</f>
        <v>6.0604661700000009E-4</v>
      </c>
      <c r="AI13" s="178">
        <f>'Rekapitulasi BaU Emisi GRK'!E43</f>
        <v>0.18787445127000002</v>
      </c>
      <c r="AJ13" s="178">
        <f>'Rekapitulasi BaU Emisi GRK'!F43</f>
        <v>0.35756750403000004</v>
      </c>
      <c r="AK13" s="171">
        <f t="shared" si="11"/>
        <v>357.56750403000007</v>
      </c>
    </row>
    <row r="14" spans="1:37" x14ac:dyDescent="0.25">
      <c r="A14" s="89">
        <v>2020</v>
      </c>
      <c r="B14" s="168">
        <f>'Fraksi pengelolaan sampah BaU'!I38</f>
        <v>152.96292000000003</v>
      </c>
      <c r="C14" s="169">
        <f>'Fraksi pengelolaan sampah BaU'!B15</f>
        <v>0.31609999999999999</v>
      </c>
      <c r="D14" s="168">
        <f>'Fraksi pengelolaan sampah BaU'!B38</f>
        <v>48.351579012000009</v>
      </c>
      <c r="E14" s="170">
        <f>'Rekapitulasi BaU Emisi GRK'!B18</f>
        <v>2.2391616788726347</v>
      </c>
      <c r="F14" s="171">
        <f>'Rekapitulasi BaU Emisi GRK'!C18</f>
        <v>47.022395256325332</v>
      </c>
      <c r="G14" s="173">
        <f t="shared" si="0"/>
        <v>47022.395256325333</v>
      </c>
      <c r="I14" s="89">
        <v>2020</v>
      </c>
      <c r="J14" s="168">
        <f t="shared" si="1"/>
        <v>152.96292000000003</v>
      </c>
      <c r="K14" s="174">
        <f>'Fraksi pengelolaan sampah BaU'!C15</f>
        <v>0.2802</v>
      </c>
      <c r="L14" s="175">
        <f t="shared" si="2"/>
        <v>42.86021018400001</v>
      </c>
      <c r="M14" s="171">
        <f>'Rekapitulasi BaU Emisi GRK'!L18</f>
        <v>1.587885105776937</v>
      </c>
      <c r="N14" s="171">
        <f>'Rekapitulasi BaU Emisi GRK'!M18</f>
        <v>33.345587221315675</v>
      </c>
      <c r="O14" s="171">
        <f t="shared" si="3"/>
        <v>33345.587221315676</v>
      </c>
      <c r="Q14" s="176">
        <f t="shared" si="4"/>
        <v>2020</v>
      </c>
      <c r="R14" s="177">
        <f t="shared" si="5"/>
        <v>152.96292000000003</v>
      </c>
      <c r="S14" s="169">
        <f>'Fraksi pengelolaan sampah BaU'!E15</f>
        <v>0.39019999999999999</v>
      </c>
      <c r="T14" s="175">
        <f t="shared" si="6"/>
        <v>59.686131384000007</v>
      </c>
      <c r="U14" s="178">
        <f>'Rekapitulasi BaU Emisi GRK'!B70</f>
        <v>7.0802673354270013E-2</v>
      </c>
      <c r="V14" s="178">
        <f>'Rekapitulasi BaU Emisi GRK'!C70</f>
        <v>1.4868561404396703</v>
      </c>
      <c r="W14" s="178">
        <f>'Rekapitulasi BaU Emisi GRK'!D70</f>
        <v>1.6339078466370001E-3</v>
      </c>
      <c r="X14" s="178">
        <f>'Rekapitulasi BaU Emisi GRK'!E70</f>
        <v>0.50651143245746999</v>
      </c>
      <c r="Y14" s="178">
        <f>'Rekapitulasi BaU Emisi GRK'!F70</f>
        <v>1.9933675728971403</v>
      </c>
      <c r="Z14" s="171">
        <f t="shared" si="7"/>
        <v>1993.3675728971402</v>
      </c>
      <c r="AB14" s="89">
        <f t="shared" si="8"/>
        <v>2020</v>
      </c>
      <c r="AC14" s="168">
        <f t="shared" si="9"/>
        <v>152.96292000000003</v>
      </c>
      <c r="AD14" s="179">
        <f>'Fraksi pengelolaan sampah BaU'!D15</f>
        <v>1.35E-2</v>
      </c>
      <c r="AE14" s="178">
        <f t="shared" si="10"/>
        <v>2.0649994200000004</v>
      </c>
      <c r="AF14" s="178">
        <f>'Rekapitulasi BaU Emisi GRK'!B44</f>
        <v>8.2599976800000023E-3</v>
      </c>
      <c r="AG14" s="178">
        <f>'Rekapitulasi BaU Emisi GRK'!C44</f>
        <v>0.17345995128000005</v>
      </c>
      <c r="AH14" s="178">
        <f>'Rekapitulasi BaU Emisi GRK'!D44</f>
        <v>6.1949982600000009E-4</v>
      </c>
      <c r="AI14" s="178">
        <f>'Rekapitulasi BaU Emisi GRK'!E44</f>
        <v>0.19204494606000003</v>
      </c>
      <c r="AJ14" s="178">
        <f>'Rekapitulasi BaU Emisi GRK'!F44</f>
        <v>0.36550489734000008</v>
      </c>
      <c r="AK14" s="171">
        <f t="shared" si="11"/>
        <v>365.50489734000007</v>
      </c>
    </row>
    <row r="15" spans="1:37" x14ac:dyDescent="0.25">
      <c r="A15" s="89">
        <v>2021</v>
      </c>
      <c r="B15" s="168">
        <f>'Fraksi pengelolaan sampah BaU'!I39</f>
        <v>156.28470000000002</v>
      </c>
      <c r="C15" s="169">
        <f>'Fraksi pengelolaan sampah BaU'!B16</f>
        <v>0.31609999999999999</v>
      </c>
      <c r="D15" s="168">
        <f>'Fraksi pengelolaan sampah BaU'!B39</f>
        <v>49.401593670000004</v>
      </c>
      <c r="E15" s="170">
        <f>'Rekapitulasi BaU Emisi GRK'!B19</f>
        <v>2.2998745084045278</v>
      </c>
      <c r="F15" s="171">
        <f>'Rekapitulasi BaU Emisi GRK'!C19</f>
        <v>48.297364676495086</v>
      </c>
      <c r="G15" s="173">
        <f t="shared" si="0"/>
        <v>48297.364676495083</v>
      </c>
      <c r="I15" s="89">
        <v>2021</v>
      </c>
      <c r="J15" s="168">
        <f t="shared" si="1"/>
        <v>156.28470000000002</v>
      </c>
      <c r="K15" s="174">
        <f>'Fraksi pengelolaan sampah BaU'!C16</f>
        <v>0.2802</v>
      </c>
      <c r="L15" s="175">
        <f t="shared" si="2"/>
        <v>43.790972940000003</v>
      </c>
      <c r="M15" s="171">
        <f>'Rekapitulasi BaU Emisi GRK'!L19</f>
        <v>1.630939164201072</v>
      </c>
      <c r="N15" s="171">
        <f>'Rekapitulasi BaU Emisi GRK'!M19</f>
        <v>34.249722448222514</v>
      </c>
      <c r="O15" s="171">
        <f t="shared" si="3"/>
        <v>34249.722448222514</v>
      </c>
      <c r="Q15" s="176">
        <f t="shared" si="4"/>
        <v>2021</v>
      </c>
      <c r="R15" s="177">
        <f t="shared" si="5"/>
        <v>156.28470000000002</v>
      </c>
      <c r="S15" s="169">
        <f>'Fraksi pengelolaan sampah BaU'!E16</f>
        <v>0.39019999999999999</v>
      </c>
      <c r="T15" s="175">
        <f t="shared" si="6"/>
        <v>60.982289940000001</v>
      </c>
      <c r="U15" s="178">
        <f>'Rekapitulasi BaU Emisi GRK'!B71</f>
        <v>7.234024144132499E-2</v>
      </c>
      <c r="V15" s="178">
        <f>'Rekapitulasi BaU Emisi GRK'!C71</f>
        <v>1.5191450702678249</v>
      </c>
      <c r="W15" s="178">
        <f>'Rekapitulasi BaU Emisi GRK'!D71</f>
        <v>1.6693901871074998E-3</v>
      </c>
      <c r="X15" s="178">
        <f>'Rekapitulasi BaU Emisi GRK'!E71</f>
        <v>0.51751095800332492</v>
      </c>
      <c r="Y15" s="178">
        <f>'Rekapitulasi BaU Emisi GRK'!F71</f>
        <v>2.0366560282711497</v>
      </c>
      <c r="Z15" s="171">
        <f t="shared" si="7"/>
        <v>2036.6560282711496</v>
      </c>
      <c r="AB15" s="89">
        <f t="shared" si="8"/>
        <v>2021</v>
      </c>
      <c r="AC15" s="168">
        <f t="shared" si="9"/>
        <v>156.28470000000002</v>
      </c>
      <c r="AD15" s="179">
        <f>'Fraksi pengelolaan sampah BaU'!D16</f>
        <v>1.35E-2</v>
      </c>
      <c r="AE15" s="178">
        <f t="shared" si="10"/>
        <v>2.1098434500000001</v>
      </c>
      <c r="AF15" s="178">
        <f>'Rekapitulasi BaU Emisi GRK'!B45</f>
        <v>8.4393738000000003E-3</v>
      </c>
      <c r="AG15" s="178">
        <f>'Rekapitulasi BaU Emisi GRK'!C45</f>
        <v>0.1772268498</v>
      </c>
      <c r="AH15" s="178">
        <f>'Rekapitulasi BaU Emisi GRK'!D45</f>
        <v>6.3295303499999998E-4</v>
      </c>
      <c r="AI15" s="178">
        <f>'Rekapitulasi BaU Emisi GRK'!E45</f>
        <v>0.19621544085000001</v>
      </c>
      <c r="AJ15" s="178">
        <f>'Rekapitulasi BaU Emisi GRK'!F45</f>
        <v>0.37344229065000001</v>
      </c>
      <c r="AK15" s="171">
        <f t="shared" si="11"/>
        <v>373.44229065000002</v>
      </c>
    </row>
    <row r="16" spans="1:37" x14ac:dyDescent="0.25">
      <c r="A16" s="89">
        <v>2022</v>
      </c>
      <c r="B16" s="168">
        <f>'Fraksi pengelolaan sampah BaU'!I40</f>
        <v>159.60648</v>
      </c>
      <c r="C16" s="169">
        <f>'Fraksi pengelolaan sampah BaU'!B17</f>
        <v>0.31609999999999999</v>
      </c>
      <c r="D16" s="168">
        <f>'Fraksi pengelolaan sampah BaU'!B40</f>
        <v>50.451608327999999</v>
      </c>
      <c r="E16" s="170">
        <f>'Rekapitulasi BaU Emisi GRK'!B20</f>
        <v>2.3600662587065084</v>
      </c>
      <c r="F16" s="171">
        <f>'Rekapitulasi BaU Emisi GRK'!C20</f>
        <v>49.561391432836679</v>
      </c>
      <c r="G16" s="173">
        <f t="shared" si="0"/>
        <v>49561.391432836681</v>
      </c>
      <c r="I16" s="89">
        <v>2022</v>
      </c>
      <c r="J16" s="168">
        <f t="shared" si="1"/>
        <v>159.60648</v>
      </c>
      <c r="K16" s="174">
        <f>'Fraksi pengelolaan sampah BaU'!C17</f>
        <v>0.2802</v>
      </c>
      <c r="L16" s="175">
        <f t="shared" si="2"/>
        <v>44.721735696000003</v>
      </c>
      <c r="M16" s="171">
        <f>'Rekapitulasi BaU Emisi GRK'!L20</f>
        <v>1.6736237031055077</v>
      </c>
      <c r="N16" s="171">
        <f>'Rekapitulasi BaU Emisi GRK'!M20</f>
        <v>35.146097765215664</v>
      </c>
      <c r="O16" s="171">
        <f t="shared" si="3"/>
        <v>35146.097765215665</v>
      </c>
      <c r="Q16" s="176">
        <f t="shared" si="4"/>
        <v>2022</v>
      </c>
      <c r="R16" s="177">
        <f t="shared" si="5"/>
        <v>159.60648</v>
      </c>
      <c r="S16" s="169">
        <f>'Fraksi pengelolaan sampah BaU'!E17</f>
        <v>0.39019999999999999</v>
      </c>
      <c r="T16" s="175">
        <f t="shared" si="6"/>
        <v>62.278448496000003</v>
      </c>
      <c r="U16" s="178">
        <f>'Rekapitulasi BaU Emisi GRK'!B72</f>
        <v>7.3877809528380009E-2</v>
      </c>
      <c r="V16" s="178">
        <f>'Rekapitulasi BaU Emisi GRK'!C72</f>
        <v>1.5514340000959801</v>
      </c>
      <c r="W16" s="178">
        <f>'Rekapitulasi BaU Emisi GRK'!D72</f>
        <v>1.7048725275780002E-3</v>
      </c>
      <c r="X16" s="178">
        <f>'Rekapitulasi BaU Emisi GRK'!E72</f>
        <v>0.52851048354918007</v>
      </c>
      <c r="Y16" s="178">
        <f>'Rekapitulasi BaU Emisi GRK'!F72</f>
        <v>2.0799444836451602</v>
      </c>
      <c r="Z16" s="171">
        <f t="shared" si="7"/>
        <v>2079.9444836451603</v>
      </c>
      <c r="AB16" s="89">
        <f t="shared" si="8"/>
        <v>2022</v>
      </c>
      <c r="AC16" s="168">
        <f t="shared" si="9"/>
        <v>159.60648</v>
      </c>
      <c r="AD16" s="179">
        <f>'Fraksi pengelolaan sampah BaU'!D17</f>
        <v>1.35E-2</v>
      </c>
      <c r="AE16" s="178">
        <f t="shared" si="10"/>
        <v>2.1546874800000002</v>
      </c>
      <c r="AF16" s="178">
        <f>'Rekapitulasi BaU Emisi GRK'!B46</f>
        <v>8.61874992E-3</v>
      </c>
      <c r="AG16" s="178">
        <f>'Rekapitulasi BaU Emisi GRK'!C46</f>
        <v>0.18099374832000001</v>
      </c>
      <c r="AH16" s="178">
        <f>'Rekapitulasi BaU Emisi GRK'!D46</f>
        <v>6.4640624399999998E-4</v>
      </c>
      <c r="AI16" s="178">
        <f>'Rekapitulasi BaU Emisi GRK'!E46</f>
        <v>0.20038593563999998</v>
      </c>
      <c r="AJ16" s="178">
        <f>'Rekapitulasi BaU Emisi GRK'!F46</f>
        <v>0.38137968395999999</v>
      </c>
      <c r="AK16" s="171">
        <f t="shared" si="11"/>
        <v>381.37968395999997</v>
      </c>
    </row>
    <row r="17" spans="1:37" x14ac:dyDescent="0.25">
      <c r="A17" s="89">
        <v>2023</v>
      </c>
      <c r="B17" s="168">
        <f>'Fraksi pengelolaan sampah BaU'!I41</f>
        <v>162.92826000000002</v>
      </c>
      <c r="C17" s="169">
        <f>'Fraksi pengelolaan sampah BaU'!B18</f>
        <v>0.31609999999999999</v>
      </c>
      <c r="D17" s="168">
        <f>'Fraksi pengelolaan sampah BaU'!B41</f>
        <v>51.501622986000008</v>
      </c>
      <c r="E17" s="170">
        <f>'Rekapitulasi BaU Emisi GRK'!B21</f>
        <v>2.4198390755025314</v>
      </c>
      <c r="F17" s="171">
        <f>'Rekapitulasi BaU Emisi GRK'!C21</f>
        <v>50.81662058555316</v>
      </c>
      <c r="G17" s="173">
        <f t="shared" si="0"/>
        <v>50816.620585553159</v>
      </c>
      <c r="I17" s="89">
        <v>2023</v>
      </c>
      <c r="J17" s="168">
        <f t="shared" si="1"/>
        <v>162.92826000000002</v>
      </c>
      <c r="K17" s="174">
        <f>'Fraksi pengelolaan sampah BaU'!C18</f>
        <v>0.2802</v>
      </c>
      <c r="L17" s="175">
        <f t="shared" si="2"/>
        <v>45.65249845200001</v>
      </c>
      <c r="M17" s="171">
        <f>'Rekapitulasi BaU Emisi GRK'!L21</f>
        <v>1.7160111583823077</v>
      </c>
      <c r="N17" s="171">
        <f>'Rekapitulasi BaU Emisi GRK'!M21</f>
        <v>36.036234326028463</v>
      </c>
      <c r="O17" s="171">
        <f t="shared" si="3"/>
        <v>36036.234326028462</v>
      </c>
      <c r="Q17" s="176">
        <f t="shared" si="4"/>
        <v>2023</v>
      </c>
      <c r="R17" s="177">
        <f t="shared" si="5"/>
        <v>162.92826000000002</v>
      </c>
      <c r="S17" s="169">
        <f>'Fraksi pengelolaan sampah BaU'!E18</f>
        <v>0.39019999999999999</v>
      </c>
      <c r="T17" s="175">
        <f t="shared" si="6"/>
        <v>63.574607052000005</v>
      </c>
      <c r="U17" s="178">
        <f>'Rekapitulasi BaU Emisi GRK'!B73</f>
        <v>7.5415377615434986E-2</v>
      </c>
      <c r="V17" s="178">
        <f>'Rekapitulasi BaU Emisi GRK'!C73</f>
        <v>1.5837229299241347</v>
      </c>
      <c r="W17" s="178">
        <f>'Rekapitulasi BaU Emisi GRK'!D73</f>
        <v>1.7403548680484998E-3</v>
      </c>
      <c r="X17" s="178">
        <f>'Rekapitulasi BaU Emisi GRK'!E73</f>
        <v>0.53951000909503488</v>
      </c>
      <c r="Y17" s="178">
        <f>'Rekapitulasi BaU Emisi GRK'!F73</f>
        <v>2.1232329390191698</v>
      </c>
      <c r="Z17" s="171">
        <f t="shared" si="7"/>
        <v>2123.2329390191699</v>
      </c>
      <c r="AB17" s="89">
        <f t="shared" si="8"/>
        <v>2023</v>
      </c>
      <c r="AC17" s="168">
        <f t="shared" si="9"/>
        <v>162.92826000000002</v>
      </c>
      <c r="AD17" s="179">
        <f>'Fraksi pengelolaan sampah BaU'!D18</f>
        <v>1.35E-2</v>
      </c>
      <c r="AE17" s="178">
        <f t="shared" si="10"/>
        <v>2.1995315100000004</v>
      </c>
      <c r="AF17" s="178">
        <f>'Rekapitulasi BaU Emisi GRK'!B47</f>
        <v>8.7981260400000014E-3</v>
      </c>
      <c r="AG17" s="178">
        <f>'Rekapitulasi BaU Emisi GRK'!C47</f>
        <v>0.18476064684000004</v>
      </c>
      <c r="AH17" s="178">
        <f>'Rekapitulasi BaU Emisi GRK'!D47</f>
        <v>6.5985945300000009E-4</v>
      </c>
      <c r="AI17" s="178">
        <f>'Rekapitulasi BaU Emisi GRK'!E47</f>
        <v>0.20455643043000002</v>
      </c>
      <c r="AJ17" s="178">
        <f>'Rekapitulasi BaU Emisi GRK'!F47</f>
        <v>0.38931707727000009</v>
      </c>
      <c r="AK17" s="171">
        <f t="shared" si="11"/>
        <v>389.31707727000008</v>
      </c>
    </row>
    <row r="18" spans="1:37" x14ac:dyDescent="0.25">
      <c r="A18" s="89">
        <v>2024</v>
      </c>
      <c r="B18" s="168">
        <f>'Fraksi pengelolaan sampah BaU'!I42</f>
        <v>166.25004000000001</v>
      </c>
      <c r="C18" s="169">
        <f>'Fraksi pengelolaan sampah BaU'!B19</f>
        <v>0.31609999999999999</v>
      </c>
      <c r="D18" s="168">
        <f>'Fraksi pengelolaan sampah BaU'!B42</f>
        <v>52.551637644000003</v>
      </c>
      <c r="E18" s="170">
        <f>'Rekapitulasi BaU Emisi GRK'!B22</f>
        <v>2.4792691265148195</v>
      </c>
      <c r="F18" s="171">
        <f>'Rekapitulasi BaU Emisi GRK'!C22</f>
        <v>52.064651656811208</v>
      </c>
      <c r="G18" s="173">
        <f t="shared" si="0"/>
        <v>52064.651656811206</v>
      </c>
      <c r="I18" s="89">
        <v>2024</v>
      </c>
      <c r="J18" s="168">
        <f t="shared" si="1"/>
        <v>166.25004000000001</v>
      </c>
      <c r="K18" s="174">
        <f>'Fraksi pengelolaan sampah BaU'!C19</f>
        <v>0.2802</v>
      </c>
      <c r="L18" s="175">
        <f t="shared" si="2"/>
        <v>46.583261208000003</v>
      </c>
      <c r="M18" s="171">
        <f>'Rekapitulasi BaU Emisi GRK'!L22</f>
        <v>1.7581555438138623</v>
      </c>
      <c r="N18" s="171">
        <f>'Rekapitulasi BaU Emisi GRK'!M22</f>
        <v>36.921266420091108</v>
      </c>
      <c r="O18" s="171">
        <f t="shared" si="3"/>
        <v>36921.266420091109</v>
      </c>
      <c r="Q18" s="176">
        <f t="shared" si="4"/>
        <v>2024</v>
      </c>
      <c r="R18" s="177">
        <f t="shared" si="5"/>
        <v>166.25004000000001</v>
      </c>
      <c r="S18" s="169">
        <f>'Fraksi pengelolaan sampah BaU'!E19</f>
        <v>0.39019999999999999</v>
      </c>
      <c r="T18" s="175">
        <f t="shared" si="6"/>
        <v>64.870765607999999</v>
      </c>
      <c r="U18" s="178">
        <f>'Rekapitulasi BaU Emisi GRK'!B74</f>
        <v>7.6952945702489992E-2</v>
      </c>
      <c r="V18" s="178">
        <f>'Rekapitulasi BaU Emisi GRK'!C74</f>
        <v>1.6160118597522899</v>
      </c>
      <c r="W18" s="178">
        <f>'Rekapitulasi BaU Emisi GRK'!D74</f>
        <v>1.775837208519E-3</v>
      </c>
      <c r="X18" s="178">
        <f>'Rekapitulasi BaU Emisi GRK'!E74</f>
        <v>0.55050953464089003</v>
      </c>
      <c r="Y18" s="178">
        <f>'Rekapitulasi BaU Emisi GRK'!F74</f>
        <v>2.1665213943931798</v>
      </c>
      <c r="Z18" s="171">
        <f t="shared" si="7"/>
        <v>2166.5213943931799</v>
      </c>
      <c r="AB18" s="89">
        <f t="shared" si="8"/>
        <v>2024</v>
      </c>
      <c r="AC18" s="168">
        <f t="shared" si="9"/>
        <v>166.25004000000001</v>
      </c>
      <c r="AD18" s="179">
        <f>'Fraksi pengelolaan sampah BaU'!D19</f>
        <v>1.35E-2</v>
      </c>
      <c r="AE18" s="178">
        <f t="shared" si="10"/>
        <v>2.2443755400000001</v>
      </c>
      <c r="AF18" s="178">
        <f>'Rekapitulasi BaU Emisi GRK'!B48</f>
        <v>8.9775021599999994E-3</v>
      </c>
      <c r="AG18" s="178">
        <f>'Rekapitulasi BaU Emisi GRK'!C48</f>
        <v>0.18852754535999999</v>
      </c>
      <c r="AH18" s="178">
        <f>'Rekapitulasi BaU Emisi GRK'!D48</f>
        <v>6.7331266199999998E-4</v>
      </c>
      <c r="AI18" s="178">
        <f>'Rekapitulasi BaU Emisi GRK'!E48</f>
        <v>0.20872692522</v>
      </c>
      <c r="AJ18" s="178">
        <f>'Rekapitulasi BaU Emisi GRK'!F48</f>
        <v>0.39725447057999996</v>
      </c>
      <c r="AK18" s="171">
        <f t="shared" si="11"/>
        <v>397.25447057999997</v>
      </c>
    </row>
    <row r="19" spans="1:37" x14ac:dyDescent="0.25">
      <c r="A19" s="89">
        <v>2025</v>
      </c>
      <c r="B19" s="168">
        <f>'Fraksi pengelolaan sampah BaU'!I43</f>
        <v>169.57182</v>
      </c>
      <c r="C19" s="169">
        <f>'Fraksi pengelolaan sampah BaU'!B20</f>
        <v>0.31609999999999999</v>
      </c>
      <c r="D19" s="168">
        <f>'Fraksi pengelolaan sampah BaU'!B43</f>
        <v>53.601652301999998</v>
      </c>
      <c r="E19" s="170">
        <f>'Rekapitulasi BaU Emisi GRK'!B23</f>
        <v>2.5384141782043628</v>
      </c>
      <c r="F19" s="171">
        <f>'Rekapitulasi BaU Emisi GRK'!C23</f>
        <v>53.306697742291618</v>
      </c>
      <c r="G19" s="173">
        <f t="shared" si="0"/>
        <v>53306.697742291617</v>
      </c>
      <c r="I19" s="89">
        <v>2025</v>
      </c>
      <c r="J19" s="168">
        <f t="shared" si="1"/>
        <v>169.57182</v>
      </c>
      <c r="K19" s="174">
        <f>'Fraksi pengelolaan sampah BaU'!C20</f>
        <v>0.2802</v>
      </c>
      <c r="L19" s="175">
        <f t="shared" si="2"/>
        <v>47.514023964000003</v>
      </c>
      <c r="M19" s="171">
        <f>'Rekapitulasi BaU Emisi GRK'!L23</f>
        <v>1.8000978240629228</v>
      </c>
      <c r="N19" s="171">
        <f>'Rekapitulasi BaU Emisi GRK'!M23</f>
        <v>37.802054305321377</v>
      </c>
      <c r="O19" s="171">
        <f t="shared" si="3"/>
        <v>37802.054305321377</v>
      </c>
      <c r="Q19" s="176">
        <f t="shared" si="4"/>
        <v>2025</v>
      </c>
      <c r="R19" s="177">
        <f t="shared" si="5"/>
        <v>169.57182</v>
      </c>
      <c r="S19" s="169">
        <f>'Fraksi pengelolaan sampah BaU'!E20</f>
        <v>0.39019999999999999</v>
      </c>
      <c r="T19" s="175">
        <f t="shared" si="6"/>
        <v>66.166924163999994</v>
      </c>
      <c r="U19" s="178">
        <f>'Rekapitulasi BaU Emisi GRK'!B75</f>
        <v>7.8490513789544997E-2</v>
      </c>
      <c r="V19" s="178">
        <f>'Rekapitulasi BaU Emisi GRK'!C75</f>
        <v>1.6483007895804449</v>
      </c>
      <c r="W19" s="178">
        <f>'Rekapitulasi BaU Emisi GRK'!D75</f>
        <v>1.8113195489894999E-3</v>
      </c>
      <c r="X19" s="178">
        <f>'Rekapitulasi BaU Emisi GRK'!E75</f>
        <v>0.56150906018674496</v>
      </c>
      <c r="Y19" s="178">
        <f>'Rekapitulasi BaU Emisi GRK'!F75</f>
        <v>2.2098098497671899</v>
      </c>
      <c r="Z19" s="171">
        <f t="shared" si="7"/>
        <v>2209.8098497671899</v>
      </c>
      <c r="AB19" s="89">
        <f t="shared" si="8"/>
        <v>2025</v>
      </c>
      <c r="AC19" s="168">
        <f t="shared" si="9"/>
        <v>169.57182</v>
      </c>
      <c r="AD19" s="179">
        <f>'Fraksi pengelolaan sampah BaU'!D20</f>
        <v>1.35E-2</v>
      </c>
      <c r="AE19" s="178">
        <f t="shared" si="10"/>
        <v>2.2892195700000002</v>
      </c>
      <c r="AF19" s="178">
        <f>'Rekapitulasi BaU Emisi GRK'!B49</f>
        <v>9.1568782800000009E-3</v>
      </c>
      <c r="AG19" s="178">
        <f>'Rekapitulasi BaU Emisi GRK'!C49</f>
        <v>0.19229444388000003</v>
      </c>
      <c r="AH19" s="178">
        <f>'Rekapitulasi BaU Emisi GRK'!D49</f>
        <v>6.8676587100000009E-4</v>
      </c>
      <c r="AI19" s="178">
        <f>'Rekapitulasi BaU Emisi GRK'!E49</f>
        <v>0.21289742001000003</v>
      </c>
      <c r="AJ19" s="178">
        <f>'Rekapitulasi BaU Emisi GRK'!F49</f>
        <v>0.40519186389000006</v>
      </c>
      <c r="AK19" s="171">
        <f t="shared" si="11"/>
        <v>405.19186389000004</v>
      </c>
    </row>
    <row r="20" spans="1:37" x14ac:dyDescent="0.25">
      <c r="A20" s="89">
        <v>2026</v>
      </c>
      <c r="B20" s="168">
        <f>'Fraksi pengelolaan sampah BaU'!I44</f>
        <v>172.89359999999999</v>
      </c>
      <c r="C20" s="169">
        <f>'Fraksi pengelolaan sampah BaU'!B21</f>
        <v>0.31609999999999999</v>
      </c>
      <c r="D20" s="168">
        <f>'Fraksi pengelolaan sampah BaU'!B44</f>
        <v>54.651666959999993</v>
      </c>
      <c r="E20" s="170">
        <f>'Rekapitulasi BaU Emisi GRK'!B24</f>
        <v>2.597318814440186</v>
      </c>
      <c r="F20" s="171">
        <f>'Rekapitulasi BaU Emisi GRK'!C24</f>
        <v>54.543695103243905</v>
      </c>
      <c r="G20" s="173">
        <f t="shared" si="0"/>
        <v>54543.695103243903</v>
      </c>
      <c r="I20" s="89">
        <v>2026</v>
      </c>
      <c r="J20" s="168">
        <f t="shared" si="1"/>
        <v>172.89359999999999</v>
      </c>
      <c r="K20" s="174">
        <f>'Fraksi pengelolaan sampah BaU'!C21</f>
        <v>0.2802</v>
      </c>
      <c r="L20" s="175">
        <f t="shared" si="2"/>
        <v>48.444786719999996</v>
      </c>
      <c r="M20" s="171">
        <f>'Rekapitulasi BaU Emisi GRK'!L24</f>
        <v>1.8418696154536922</v>
      </c>
      <c r="N20" s="171">
        <f>'Rekapitulasi BaU Emisi GRK'!M24</f>
        <v>38.679261924527538</v>
      </c>
      <c r="O20" s="171">
        <f t="shared" si="3"/>
        <v>38679.261924527535</v>
      </c>
      <c r="Q20" s="176">
        <f t="shared" si="4"/>
        <v>2026</v>
      </c>
      <c r="R20" s="177">
        <f t="shared" si="5"/>
        <v>172.89359999999999</v>
      </c>
      <c r="S20" s="169">
        <f>'Fraksi pengelolaan sampah BaU'!E21</f>
        <v>0.39019999999999999</v>
      </c>
      <c r="T20" s="175">
        <f t="shared" si="6"/>
        <v>67.463082719999989</v>
      </c>
      <c r="U20" s="178">
        <f>'Rekapitulasi BaU Emisi GRK'!B76</f>
        <v>8.0028081876599988E-2</v>
      </c>
      <c r="V20" s="178">
        <f>'Rekapitulasi BaU Emisi GRK'!C76</f>
        <v>1.6805897194085997</v>
      </c>
      <c r="W20" s="178">
        <f>'Rekapitulasi BaU Emisi GRK'!D76</f>
        <v>1.8468018894599995E-3</v>
      </c>
      <c r="X20" s="178">
        <f>'Rekapitulasi BaU Emisi GRK'!E76</f>
        <v>0.57250858573259988</v>
      </c>
      <c r="Y20" s="178">
        <f>'Rekapitulasi BaU Emisi GRK'!F76</f>
        <v>2.2530983051411995</v>
      </c>
      <c r="Z20" s="171">
        <f t="shared" si="7"/>
        <v>2253.0983051411995</v>
      </c>
      <c r="AB20" s="89">
        <f t="shared" si="8"/>
        <v>2026</v>
      </c>
      <c r="AC20" s="168">
        <f t="shared" si="9"/>
        <v>172.89359999999999</v>
      </c>
      <c r="AD20" s="179">
        <f>'Fraksi pengelolaan sampah BaU'!D21</f>
        <v>1.35E-2</v>
      </c>
      <c r="AE20" s="178">
        <f t="shared" si="10"/>
        <v>2.3340635999999999</v>
      </c>
      <c r="AF20" s="178">
        <f>'Rekapitulasi BaU Emisi GRK'!B50</f>
        <v>9.3362543999999988E-3</v>
      </c>
      <c r="AG20" s="178">
        <f>'Rekapitulasi BaU Emisi GRK'!C50</f>
        <v>0.19606134239999998</v>
      </c>
      <c r="AH20" s="178">
        <f>'Rekapitulasi BaU Emisi GRK'!D50</f>
        <v>7.0021907999999998E-4</v>
      </c>
      <c r="AI20" s="178">
        <f>'Rekapitulasi BaU Emisi GRK'!E50</f>
        <v>0.21706791479999998</v>
      </c>
      <c r="AJ20" s="178">
        <f>'Rekapitulasi BaU Emisi GRK'!F50</f>
        <v>0.41312925719999993</v>
      </c>
      <c r="AK20" s="171">
        <f t="shared" si="11"/>
        <v>413.12925719999993</v>
      </c>
    </row>
    <row r="21" spans="1:37" x14ac:dyDescent="0.25">
      <c r="A21" s="89">
        <v>2027</v>
      </c>
      <c r="B21" s="168">
        <f>'Fraksi pengelolaan sampah BaU'!I45</f>
        <v>176.21538000000001</v>
      </c>
      <c r="C21" s="169">
        <f>'Fraksi pengelolaan sampah BaU'!B22</f>
        <v>0.31609999999999999</v>
      </c>
      <c r="D21" s="168">
        <f>'Fraksi pengelolaan sampah BaU'!B45</f>
        <v>55.701681618000002</v>
      </c>
      <c r="E21" s="170">
        <f>'Rekapitulasi BaU Emisi GRK'!B25</f>
        <v>2.6560180536319438</v>
      </c>
      <c r="F21" s="171">
        <f>'Rekapitulasi BaU Emisi GRK'!C25</f>
        <v>55.776379126270818</v>
      </c>
      <c r="G21" s="173">
        <f t="shared" si="0"/>
        <v>55776.379126270818</v>
      </c>
      <c r="I21" s="89">
        <v>2027</v>
      </c>
      <c r="J21" s="168">
        <f t="shared" si="1"/>
        <v>176.21538000000001</v>
      </c>
      <c r="K21" s="174">
        <f>'Fraksi pengelolaan sampah BaU'!C22</f>
        <v>0.2802</v>
      </c>
      <c r="L21" s="175">
        <f t="shared" si="2"/>
        <v>49.375549476000003</v>
      </c>
      <c r="M21" s="171">
        <f>'Rekapitulasi BaU Emisi GRK'!L25</f>
        <v>1.8834957510349151</v>
      </c>
      <c r="N21" s="171">
        <f>'Rekapitulasi BaU Emisi GRK'!M25</f>
        <v>39.553410771733219</v>
      </c>
      <c r="O21" s="171">
        <f t="shared" si="3"/>
        <v>39553.410771733223</v>
      </c>
      <c r="Q21" s="176">
        <f t="shared" si="4"/>
        <v>2027</v>
      </c>
      <c r="R21" s="177">
        <f t="shared" si="5"/>
        <v>176.21538000000001</v>
      </c>
      <c r="S21" s="169">
        <f>'Fraksi pengelolaan sampah BaU'!E22</f>
        <v>0.39019999999999999</v>
      </c>
      <c r="T21" s="175">
        <f t="shared" si="6"/>
        <v>68.759241275999997</v>
      </c>
      <c r="U21" s="178">
        <f>'Rekapitulasi BaU Emisi GRK'!B77</f>
        <v>8.1565649963654993E-2</v>
      </c>
      <c r="V21" s="178">
        <f>'Rekapitulasi BaU Emisi GRK'!C77</f>
        <v>1.7128786492367549</v>
      </c>
      <c r="W21" s="178">
        <f>'Rekapitulasi BaU Emisi GRK'!D77</f>
        <v>1.8822842299305001E-3</v>
      </c>
      <c r="X21" s="178">
        <f>'Rekapitulasi BaU Emisi GRK'!E77</f>
        <v>0.58350811127845503</v>
      </c>
      <c r="Y21" s="178">
        <f>'Rekapitulasi BaU Emisi GRK'!F77</f>
        <v>2.29638676051521</v>
      </c>
      <c r="Z21" s="171">
        <f t="shared" si="7"/>
        <v>2296.38676051521</v>
      </c>
      <c r="AB21" s="89">
        <f t="shared" si="8"/>
        <v>2027</v>
      </c>
      <c r="AC21" s="168">
        <f t="shared" si="9"/>
        <v>176.21538000000001</v>
      </c>
      <c r="AD21" s="179">
        <f>'Fraksi pengelolaan sampah BaU'!D22</f>
        <v>1.35E-2</v>
      </c>
      <c r="AE21" s="178">
        <f t="shared" si="10"/>
        <v>2.3789076300000001</v>
      </c>
      <c r="AF21" s="178">
        <f>'Rekapitulasi BaU Emisi GRK'!B51</f>
        <v>9.5156305200000003E-3</v>
      </c>
      <c r="AG21" s="178">
        <f>'Rekapitulasi BaU Emisi GRK'!C51</f>
        <v>0.19982824092000001</v>
      </c>
      <c r="AH21" s="178">
        <f>'Rekapitulasi BaU Emisi GRK'!D51</f>
        <v>7.1367228899999998E-4</v>
      </c>
      <c r="AI21" s="178">
        <f>'Rekapitulasi BaU Emisi GRK'!E51</f>
        <v>0.22123840958999999</v>
      </c>
      <c r="AJ21" s="178">
        <f>'Rekapitulasi BaU Emisi GRK'!F51</f>
        <v>0.42106665051000003</v>
      </c>
      <c r="AK21" s="171">
        <f t="shared" si="11"/>
        <v>421.06665051000004</v>
      </c>
    </row>
    <row r="22" spans="1:37" x14ac:dyDescent="0.25">
      <c r="A22" s="89">
        <v>2028</v>
      </c>
      <c r="B22" s="168">
        <f>'Fraksi pengelolaan sampah BaU'!I46</f>
        <v>179.53716</v>
      </c>
      <c r="C22" s="169">
        <f>'Fraksi pengelolaan sampah BaU'!B23</f>
        <v>0.31609999999999999</v>
      </c>
      <c r="D22" s="168">
        <f>'Fraksi pengelolaan sampah BaU'!B46</f>
        <v>56.751696275999997</v>
      </c>
      <c r="E22" s="170">
        <f>'Rekapitulasi BaU Emisi GRK'!B26</f>
        <v>2.7145398746428735</v>
      </c>
      <c r="F22" s="171">
        <f>'Rekapitulasi BaU Emisi GRK'!C26</f>
        <v>57.005337367500346</v>
      </c>
      <c r="G22" s="173">
        <f t="shared" si="0"/>
        <v>57005.337367500346</v>
      </c>
      <c r="I22" s="89">
        <v>2028</v>
      </c>
      <c r="J22" s="168">
        <f t="shared" si="1"/>
        <v>179.53716</v>
      </c>
      <c r="K22" s="174">
        <f>'Fraksi pengelolaan sampah BaU'!C23</f>
        <v>0.2802</v>
      </c>
      <c r="L22" s="175">
        <f t="shared" si="2"/>
        <v>50.306312232000003</v>
      </c>
      <c r="M22" s="171">
        <f>'Rekapitulasi BaU Emisi GRK'!L26</f>
        <v>1.9249960718125483</v>
      </c>
      <c r="N22" s="171">
        <f>'Rekapitulasi BaU Emisi GRK'!M26</f>
        <v>40.424917508063515</v>
      </c>
      <c r="O22" s="171">
        <f t="shared" si="3"/>
        <v>40424.917508063518</v>
      </c>
      <c r="Q22" s="176">
        <f t="shared" si="4"/>
        <v>2028</v>
      </c>
      <c r="R22" s="177">
        <f t="shared" si="5"/>
        <v>179.53716</v>
      </c>
      <c r="S22" s="169">
        <f>'Fraksi pengelolaan sampah BaU'!E23</f>
        <v>0.39019999999999999</v>
      </c>
      <c r="T22" s="175">
        <f t="shared" si="6"/>
        <v>70.055399831999992</v>
      </c>
      <c r="U22" s="178">
        <f>'Rekapitulasi BaU Emisi GRK'!B78</f>
        <v>8.3103218050709984E-2</v>
      </c>
      <c r="V22" s="178">
        <f>'Rekapitulasi BaU Emisi GRK'!C78</f>
        <v>1.7451675790649097</v>
      </c>
      <c r="W22" s="178">
        <f>'Rekapitulasi BaU Emisi GRK'!D78</f>
        <v>1.9177665704009997E-3</v>
      </c>
      <c r="X22" s="178">
        <f>'Rekapitulasi BaU Emisi GRK'!E78</f>
        <v>0.59450763682430985</v>
      </c>
      <c r="Y22" s="178">
        <f>'Rekapitulasi BaU Emisi GRK'!F78</f>
        <v>2.3396752158892196</v>
      </c>
      <c r="Z22" s="171">
        <f t="shared" si="7"/>
        <v>2339.6752158892195</v>
      </c>
      <c r="AB22" s="89">
        <f t="shared" si="8"/>
        <v>2028</v>
      </c>
      <c r="AC22" s="168">
        <f t="shared" si="9"/>
        <v>179.53716</v>
      </c>
      <c r="AD22" s="179">
        <f>'Fraksi pengelolaan sampah BaU'!D23</f>
        <v>1.35E-2</v>
      </c>
      <c r="AE22" s="178">
        <f t="shared" si="10"/>
        <v>2.4237516599999998</v>
      </c>
      <c r="AF22" s="178">
        <f>'Rekapitulasi BaU Emisi GRK'!B52</f>
        <v>9.6950066399999982E-3</v>
      </c>
      <c r="AG22" s="178">
        <f>'Rekapitulasi BaU Emisi GRK'!C52</f>
        <v>0.20359513943999996</v>
      </c>
      <c r="AH22" s="178">
        <f>'Rekapitulasi BaU Emisi GRK'!D52</f>
        <v>7.2712549799999998E-4</v>
      </c>
      <c r="AI22" s="178">
        <f>'Rekapitulasi BaU Emisi GRK'!E52</f>
        <v>0.22540890438</v>
      </c>
      <c r="AJ22" s="178">
        <f>'Rekapitulasi BaU Emisi GRK'!F52</f>
        <v>0.42900404381999996</v>
      </c>
      <c r="AK22" s="171">
        <f t="shared" si="11"/>
        <v>429.00404381999994</v>
      </c>
    </row>
    <row r="23" spans="1:37" x14ac:dyDescent="0.25">
      <c r="A23" s="89">
        <v>2029</v>
      </c>
      <c r="B23" s="168">
        <f>'Fraksi pengelolaan sampah BaU'!I47</f>
        <v>182.85893999999999</v>
      </c>
      <c r="C23" s="169">
        <f>'Fraksi pengelolaan sampah BaU'!B24</f>
        <v>0.31609999999999999</v>
      </c>
      <c r="D23" s="168">
        <f>'Fraksi pengelolaan sampah BaU'!B47</f>
        <v>57.801710933999992</v>
      </c>
      <c r="E23" s="170">
        <f>'Rekapitulasi BaU Emisi GRK'!B27</f>
        <v>2.7729069962602924</v>
      </c>
      <c r="F23" s="171">
        <f>'Rekapitulasi BaU Emisi GRK'!C27</f>
        <v>58.231046921466138</v>
      </c>
      <c r="G23" s="173">
        <f t="shared" si="0"/>
        <v>58231.046921466135</v>
      </c>
      <c r="I23" s="89">
        <v>2029</v>
      </c>
      <c r="J23" s="168">
        <f t="shared" si="1"/>
        <v>182.85893999999999</v>
      </c>
      <c r="K23" s="174">
        <f>'Fraksi pengelolaan sampah BaU'!C24</f>
        <v>0.2802</v>
      </c>
      <c r="L23" s="175">
        <f t="shared" si="2"/>
        <v>51.237074987999996</v>
      </c>
      <c r="M23" s="171">
        <f>'Rekapitulasi BaU Emisi GRK'!L27</f>
        <v>1.9663866886482355</v>
      </c>
      <c r="N23" s="171">
        <f>'Rekapitulasi BaU Emisi GRK'!M27</f>
        <v>41.294120461612948</v>
      </c>
      <c r="O23" s="171">
        <f t="shared" si="3"/>
        <v>41294.120461612947</v>
      </c>
      <c r="Q23" s="176">
        <f t="shared" si="4"/>
        <v>2029</v>
      </c>
      <c r="R23" s="177">
        <f t="shared" si="5"/>
        <v>182.85893999999999</v>
      </c>
      <c r="S23" s="169">
        <f>'Fraksi pengelolaan sampah BaU'!E24</f>
        <v>0.39019999999999999</v>
      </c>
      <c r="T23" s="175">
        <f t="shared" si="6"/>
        <v>71.351558388000001</v>
      </c>
      <c r="U23" s="178">
        <f>'Rekapitulasi BaU Emisi GRK'!B79</f>
        <v>8.4640786137764976E-2</v>
      </c>
      <c r="V23" s="178">
        <f>'Rekapitulasi BaU Emisi GRK'!C79</f>
        <v>1.7774565088930645</v>
      </c>
      <c r="W23" s="178">
        <f>'Rekapitulasi BaU Emisi GRK'!D79</f>
        <v>1.9532489108714996E-3</v>
      </c>
      <c r="X23" s="178">
        <f>'Rekapitulasi BaU Emisi GRK'!E79</f>
        <v>0.60550716237016489</v>
      </c>
      <c r="Y23" s="178">
        <f>'Rekapitulasi BaU Emisi GRK'!F79</f>
        <v>2.3829636712632292</v>
      </c>
      <c r="Z23" s="171">
        <f t="shared" si="7"/>
        <v>2382.9636712632291</v>
      </c>
      <c r="AB23" s="89">
        <f t="shared" si="8"/>
        <v>2029</v>
      </c>
      <c r="AC23" s="168">
        <f t="shared" si="9"/>
        <v>182.85893999999999</v>
      </c>
      <c r="AD23" s="179">
        <f>'Fraksi pengelolaan sampah BaU'!D24</f>
        <v>1.35E-2</v>
      </c>
      <c r="AE23" s="178">
        <f t="shared" si="10"/>
        <v>2.4685956899999999</v>
      </c>
      <c r="AF23" s="178">
        <f>'Rekapitulasi BaU Emisi GRK'!B53</f>
        <v>9.8743827599999997E-3</v>
      </c>
      <c r="AG23" s="178">
        <f>'Rekapitulasi BaU Emisi GRK'!C53</f>
        <v>0.20736203796</v>
      </c>
      <c r="AH23" s="178">
        <f>'Rekapitulasi BaU Emisi GRK'!D53</f>
        <v>7.4057870699999998E-4</v>
      </c>
      <c r="AI23" s="178">
        <f>'Rekapitulasi BaU Emisi GRK'!E53</f>
        <v>0.22957939917</v>
      </c>
      <c r="AJ23" s="178">
        <f>'Rekapitulasi BaU Emisi GRK'!F53</f>
        <v>0.43694143713</v>
      </c>
      <c r="AK23" s="171">
        <f t="shared" si="11"/>
        <v>436.94143713</v>
      </c>
    </row>
    <row r="24" spans="1:37" x14ac:dyDescent="0.25">
      <c r="A24" s="89">
        <v>2030</v>
      </c>
      <c r="B24" s="168">
        <f>'Fraksi pengelolaan sampah BaU'!I48</f>
        <v>186.18072000000001</v>
      </c>
      <c r="C24" s="169">
        <f>'Fraksi pengelolaan sampah BaU'!B25</f>
        <v>0.31609999999999999</v>
      </c>
      <c r="D24" s="168">
        <f>'Fraksi pengelolaan sampah BaU'!B48</f>
        <v>58.851725592000001</v>
      </c>
      <c r="E24" s="170">
        <f>'Rekapitulasi BaU Emisi GRK'!B28</f>
        <v>2.8311381436180687</v>
      </c>
      <c r="F24" s="171">
        <f>'Rekapitulasi BaU Emisi GRK'!C28</f>
        <v>59.45390101597944</v>
      </c>
      <c r="G24" s="173">
        <f t="shared" si="0"/>
        <v>59453.901015979442</v>
      </c>
      <c r="I24" s="89">
        <v>2030</v>
      </c>
      <c r="J24" s="168">
        <f t="shared" si="1"/>
        <v>186.18072000000001</v>
      </c>
      <c r="K24" s="174">
        <f>'Fraksi pengelolaan sampah BaU'!C25</f>
        <v>0.2802</v>
      </c>
      <c r="L24" s="175">
        <f t="shared" si="2"/>
        <v>52.167837744000003</v>
      </c>
      <c r="M24" s="171">
        <f>'Rekapitulasi BaU Emisi GRK'!L28</f>
        <v>2.0076808803335222</v>
      </c>
      <c r="N24" s="171">
        <f>'Rekapitulasi BaU Emisi GRK'!M28</f>
        <v>42.161298487003968</v>
      </c>
      <c r="O24" s="171">
        <f t="shared" si="3"/>
        <v>42161.298487003965</v>
      </c>
      <c r="Q24" s="176">
        <f t="shared" si="4"/>
        <v>2030</v>
      </c>
      <c r="R24" s="177">
        <f t="shared" si="5"/>
        <v>186.18072000000001</v>
      </c>
      <c r="S24" s="169">
        <f>'Fraksi pengelolaan sampah BaU'!E25</f>
        <v>0.39019999999999999</v>
      </c>
      <c r="T24" s="175">
        <f t="shared" si="6"/>
        <v>72.647716943999995</v>
      </c>
      <c r="U24" s="178">
        <f>'Rekapitulasi BaU Emisi GRK'!B80</f>
        <v>8.6178354224820009E-2</v>
      </c>
      <c r="V24" s="178">
        <f>'Rekapitulasi BaU Emisi GRK'!C80</f>
        <v>1.8097454387212202</v>
      </c>
      <c r="W24" s="178">
        <f>'Rekapitulasi BaU Emisi GRK'!D80</f>
        <v>1.9887312513420003E-3</v>
      </c>
      <c r="X24" s="178">
        <f>'Rekapitulasi BaU Emisi GRK'!E80</f>
        <v>0.61650668791602004</v>
      </c>
      <c r="Y24" s="178">
        <f>'Rekapitulasi BaU Emisi GRK'!F80</f>
        <v>2.4262521266372401</v>
      </c>
      <c r="Z24" s="171">
        <f t="shared" si="7"/>
        <v>2426.2521266372401</v>
      </c>
      <c r="AB24" s="89">
        <f t="shared" si="8"/>
        <v>2030</v>
      </c>
      <c r="AC24" s="168">
        <f t="shared" si="9"/>
        <v>186.18072000000001</v>
      </c>
      <c r="AD24" s="179">
        <f>'Fraksi pengelolaan sampah BaU'!D25</f>
        <v>1.35E-2</v>
      </c>
      <c r="AE24" s="178">
        <f t="shared" si="10"/>
        <v>2.51343972</v>
      </c>
      <c r="AF24" s="178">
        <f>'Rekapitulasi BaU Emisi GRK'!B54</f>
        <v>1.0053758879999999E-2</v>
      </c>
      <c r="AG24" s="178">
        <f>'Rekapitulasi BaU Emisi GRK'!C54</f>
        <v>0.21112893647999997</v>
      </c>
      <c r="AH24" s="178">
        <f>'Rekapitulasi BaU Emisi GRK'!D54</f>
        <v>7.5403191599999998E-4</v>
      </c>
      <c r="AI24" s="178">
        <f>'Rekapitulasi BaU Emisi GRK'!E54</f>
        <v>0.23374989395999998</v>
      </c>
      <c r="AJ24" s="178">
        <f>'Rekapitulasi BaU Emisi GRK'!F54</f>
        <v>0.44487883043999998</v>
      </c>
      <c r="AK24" s="171">
        <f t="shared" si="11"/>
        <v>444.87883044</v>
      </c>
    </row>
    <row r="28" spans="1:37" x14ac:dyDescent="0.25">
      <c r="A28" s="79" t="s">
        <v>173</v>
      </c>
    </row>
    <row r="30" spans="1:37" ht="60" x14ac:dyDescent="0.25">
      <c r="A30" s="89" t="s">
        <v>174</v>
      </c>
      <c r="B30" s="89" t="s">
        <v>175</v>
      </c>
      <c r="C30" s="167" t="s">
        <v>176</v>
      </c>
      <c r="D30" s="167" t="s">
        <v>177</v>
      </c>
      <c r="E30" s="167" t="s">
        <v>178</v>
      </c>
      <c r="F30" s="167" t="s">
        <v>179</v>
      </c>
    </row>
    <row r="31" spans="1:37" x14ac:dyDescent="0.25">
      <c r="A31" s="176"/>
      <c r="B31" s="181">
        <f>G5</f>
        <v>34944.524526566391</v>
      </c>
      <c r="C31" s="171">
        <f>O5</f>
        <v>24780.653647184823</v>
      </c>
      <c r="D31" s="171">
        <f>Z5</f>
        <v>1640.4372176781594</v>
      </c>
      <c r="E31" s="171">
        <f>AK5</f>
        <v>300.79140695999996</v>
      </c>
      <c r="F31" s="181">
        <f>SUM(B31:E31)</f>
        <v>61666.406798389376</v>
      </c>
    </row>
    <row r="32" spans="1:37" x14ac:dyDescent="0.25">
      <c r="A32" s="176"/>
      <c r="B32" s="181">
        <f t="shared" ref="B32:B50" si="12">G6</f>
        <v>36651.144206788129</v>
      </c>
      <c r="C32" s="171">
        <f t="shared" ref="C32:C50" si="13">O6</f>
        <v>25990.890494759973</v>
      </c>
      <c r="D32" s="171">
        <f t="shared" ref="D32:D50" si="14">Z6</f>
        <v>1672.2262363672799</v>
      </c>
      <c r="E32" s="171">
        <f t="shared" ref="E32:E50" si="15">AK6</f>
        <v>306.62025767999995</v>
      </c>
      <c r="F32" s="181">
        <f t="shared" ref="F32:F50" si="16">SUM(B32:E32)</f>
        <v>64620.881195595379</v>
      </c>
    </row>
    <row r="33" spans="1:6" x14ac:dyDescent="0.25">
      <c r="A33" s="176"/>
      <c r="B33" s="181">
        <f t="shared" si="12"/>
        <v>38162.890625184613</v>
      </c>
      <c r="C33" s="171">
        <f t="shared" si="13"/>
        <v>27062.93439589176</v>
      </c>
      <c r="D33" s="171">
        <f t="shared" si="14"/>
        <v>1703.9063100067801</v>
      </c>
      <c r="E33" s="171">
        <f t="shared" si="15"/>
        <v>312.42913218000001</v>
      </c>
      <c r="F33" s="181">
        <f t="shared" si="16"/>
        <v>67242.16046326315</v>
      </c>
    </row>
    <row r="34" spans="1:6" x14ac:dyDescent="0.25">
      <c r="A34" s="176"/>
      <c r="B34" s="181">
        <f t="shared" si="12"/>
        <v>39534.563743766048</v>
      </c>
      <c r="C34" s="171">
        <f t="shared" si="13"/>
        <v>28035.646342304964</v>
      </c>
      <c r="D34" s="171">
        <f t="shared" si="14"/>
        <v>1734.7950985490399</v>
      </c>
      <c r="E34" s="171">
        <f t="shared" si="15"/>
        <v>318.09291623999991</v>
      </c>
      <c r="F34" s="181">
        <f t="shared" si="16"/>
        <v>69623.098100860065</v>
      </c>
    </row>
    <row r="35" spans="1:6" x14ac:dyDescent="0.25">
      <c r="A35" s="176"/>
      <c r="B35" s="181">
        <f t="shared" si="12"/>
        <v>40799.406105279937</v>
      </c>
      <c r="C35" s="171">
        <f t="shared" si="13"/>
        <v>28932.600039732835</v>
      </c>
      <c r="D35" s="171">
        <f t="shared" si="14"/>
        <v>1764.83526249426</v>
      </c>
      <c r="E35" s="171">
        <f t="shared" si="15"/>
        <v>323.60109605999997</v>
      </c>
      <c r="F35" s="181">
        <f t="shared" si="16"/>
        <v>71820.442503567028</v>
      </c>
    </row>
    <row r="36" spans="1:6" x14ac:dyDescent="0.25">
      <c r="A36" s="176"/>
      <c r="B36" s="181">
        <f t="shared" si="12"/>
        <v>41980.08285095945</v>
      </c>
      <c r="C36" s="171">
        <f t="shared" si="13"/>
        <v>29769.868307089753</v>
      </c>
      <c r="D36" s="171">
        <f t="shared" si="14"/>
        <v>1794.6346005403198</v>
      </c>
      <c r="E36" s="171">
        <f t="shared" si="15"/>
        <v>329.06511791999992</v>
      </c>
      <c r="F36" s="181">
        <f t="shared" si="16"/>
        <v>73873.65087650952</v>
      </c>
    </row>
    <row r="37" spans="1:6" x14ac:dyDescent="0.25">
      <c r="A37" s="176"/>
      <c r="B37" s="181">
        <f t="shared" si="12"/>
        <v>43096.511751669161</v>
      </c>
      <c r="C37" s="171">
        <f t="shared" si="13"/>
        <v>30561.575685713899</v>
      </c>
      <c r="D37" s="171">
        <f t="shared" si="14"/>
        <v>1863.5022067751099</v>
      </c>
      <c r="E37" s="171">
        <f t="shared" si="15"/>
        <v>341.69271740999994</v>
      </c>
      <c r="F37" s="181">
        <f t="shared" si="16"/>
        <v>75863.28236156817</v>
      </c>
    </row>
    <row r="38" spans="1:6" x14ac:dyDescent="0.25">
      <c r="A38" s="176"/>
      <c r="B38" s="181">
        <f t="shared" si="12"/>
        <v>44426.819070176476</v>
      </c>
      <c r="C38" s="171">
        <f t="shared" si="13"/>
        <v>31504.953377952421</v>
      </c>
      <c r="D38" s="171">
        <f t="shared" si="14"/>
        <v>1906.7906621491204</v>
      </c>
      <c r="E38" s="171">
        <f t="shared" si="15"/>
        <v>349.63011072000006</v>
      </c>
      <c r="F38" s="181">
        <f t="shared" si="16"/>
        <v>78188.19322099803</v>
      </c>
    </row>
    <row r="39" spans="1:6" x14ac:dyDescent="0.25">
      <c r="A39" s="176"/>
      <c r="B39" s="181">
        <f t="shared" si="12"/>
        <v>45733.560360612479</v>
      </c>
      <c r="C39" s="171">
        <f t="shared" si="13"/>
        <v>32431.619393973087</v>
      </c>
      <c r="D39" s="171">
        <f t="shared" si="14"/>
        <v>1950.0791175231298</v>
      </c>
      <c r="E39" s="171">
        <f t="shared" si="15"/>
        <v>357.56750403000007</v>
      </c>
      <c r="F39" s="181">
        <f t="shared" si="16"/>
        <v>80472.826376138692</v>
      </c>
    </row>
    <row r="40" spans="1:6" x14ac:dyDescent="0.25">
      <c r="A40" s="176"/>
      <c r="B40" s="181">
        <f t="shared" si="12"/>
        <v>47022.395256325333</v>
      </c>
      <c r="C40" s="171">
        <f t="shared" si="13"/>
        <v>33345.587221315676</v>
      </c>
      <c r="D40" s="171">
        <f t="shared" si="14"/>
        <v>1993.3675728971402</v>
      </c>
      <c r="E40" s="171">
        <f t="shared" si="15"/>
        <v>365.50489734000007</v>
      </c>
      <c r="F40" s="181">
        <f t="shared" si="16"/>
        <v>82726.85494787815</v>
      </c>
    </row>
    <row r="41" spans="1:6" x14ac:dyDescent="0.25">
      <c r="A41" s="176"/>
      <c r="B41" s="181">
        <f t="shared" si="12"/>
        <v>48297.364676495083</v>
      </c>
      <c r="C41" s="171">
        <f t="shared" si="13"/>
        <v>34249.722448222514</v>
      </c>
      <c r="D41" s="171">
        <f t="shared" si="14"/>
        <v>2036.6560282711496</v>
      </c>
      <c r="E41" s="171">
        <f t="shared" si="15"/>
        <v>373.44229065000002</v>
      </c>
      <c r="F41" s="181">
        <f t="shared" si="16"/>
        <v>84957.185443638737</v>
      </c>
    </row>
    <row r="42" spans="1:6" x14ac:dyDescent="0.25">
      <c r="A42" s="176"/>
      <c r="B42" s="181">
        <f t="shared" si="12"/>
        <v>49561.391432836681</v>
      </c>
      <c r="C42" s="171">
        <f t="shared" si="13"/>
        <v>35146.097765215665</v>
      </c>
      <c r="D42" s="171">
        <f t="shared" si="14"/>
        <v>2079.9444836451603</v>
      </c>
      <c r="E42" s="171">
        <f t="shared" si="15"/>
        <v>381.37968395999997</v>
      </c>
      <c r="F42" s="181">
        <f t="shared" si="16"/>
        <v>87168.813365657508</v>
      </c>
    </row>
    <row r="43" spans="1:6" x14ac:dyDescent="0.25">
      <c r="A43" s="176"/>
      <c r="B43" s="181">
        <f t="shared" si="12"/>
        <v>50816.620585553159</v>
      </c>
      <c r="C43" s="171">
        <f t="shared" si="13"/>
        <v>36036.234326028462</v>
      </c>
      <c r="D43" s="171">
        <f t="shared" si="14"/>
        <v>2123.2329390191699</v>
      </c>
      <c r="E43" s="171">
        <f t="shared" si="15"/>
        <v>389.31707727000008</v>
      </c>
      <c r="F43" s="181">
        <f t="shared" si="16"/>
        <v>89365.404927870783</v>
      </c>
    </row>
    <row r="44" spans="1:6" x14ac:dyDescent="0.25">
      <c r="A44" s="176"/>
      <c r="B44" s="181">
        <f t="shared" si="12"/>
        <v>52064.651656811206</v>
      </c>
      <c r="C44" s="171">
        <f t="shared" si="13"/>
        <v>36921.266420091109</v>
      </c>
      <c r="D44" s="171">
        <f t="shared" si="14"/>
        <v>2166.5213943931799</v>
      </c>
      <c r="E44" s="171">
        <f t="shared" si="15"/>
        <v>397.25447057999997</v>
      </c>
      <c r="F44" s="181">
        <f t="shared" si="16"/>
        <v>91549.693941875477</v>
      </c>
    </row>
    <row r="45" spans="1:6" x14ac:dyDescent="0.25">
      <c r="A45" s="176"/>
      <c r="B45" s="181">
        <f t="shared" si="12"/>
        <v>53306.697742291617</v>
      </c>
      <c r="C45" s="171">
        <f t="shared" si="13"/>
        <v>37802.054305321377</v>
      </c>
      <c r="D45" s="171">
        <f t="shared" si="14"/>
        <v>2209.8098497671899</v>
      </c>
      <c r="E45" s="171">
        <f t="shared" si="15"/>
        <v>405.19186389000004</v>
      </c>
      <c r="F45" s="181">
        <f t="shared" si="16"/>
        <v>93723.753761270185</v>
      </c>
    </row>
    <row r="46" spans="1:6" x14ac:dyDescent="0.25">
      <c r="A46" s="176"/>
      <c r="B46" s="181">
        <f t="shared" si="12"/>
        <v>54543.695103243903</v>
      </c>
      <c r="C46" s="171">
        <f t="shared" si="13"/>
        <v>38679.261924527535</v>
      </c>
      <c r="D46" s="171">
        <f t="shared" si="14"/>
        <v>2253.0983051411995</v>
      </c>
      <c r="E46" s="171">
        <f t="shared" si="15"/>
        <v>413.12925719999993</v>
      </c>
      <c r="F46" s="181">
        <f t="shared" si="16"/>
        <v>95889.184590112636</v>
      </c>
    </row>
    <row r="47" spans="1:6" x14ac:dyDescent="0.25">
      <c r="A47" s="176"/>
      <c r="B47" s="181">
        <f t="shared" si="12"/>
        <v>55776.379126270818</v>
      </c>
      <c r="C47" s="171">
        <f t="shared" si="13"/>
        <v>39553.410771733223</v>
      </c>
      <c r="D47" s="171">
        <f t="shared" si="14"/>
        <v>2296.38676051521</v>
      </c>
      <c r="E47" s="171">
        <f t="shared" si="15"/>
        <v>421.06665051000004</v>
      </c>
      <c r="F47" s="181">
        <f t="shared" si="16"/>
        <v>98047.243309029232</v>
      </c>
    </row>
    <row r="48" spans="1:6" x14ac:dyDescent="0.25">
      <c r="A48" s="176"/>
      <c r="B48" s="181">
        <f t="shared" si="12"/>
        <v>57005.337367500346</v>
      </c>
      <c r="C48" s="171">
        <f t="shared" si="13"/>
        <v>40424.917508063518</v>
      </c>
      <c r="D48" s="171">
        <f t="shared" si="14"/>
        <v>2339.6752158892195</v>
      </c>
      <c r="E48" s="171">
        <f t="shared" si="15"/>
        <v>429.00404381999994</v>
      </c>
      <c r="F48" s="181">
        <f t="shared" si="16"/>
        <v>100198.93413527308</v>
      </c>
    </row>
    <row r="49" spans="1:6" x14ac:dyDescent="0.25">
      <c r="A49" s="176"/>
      <c r="B49" s="181">
        <f t="shared" si="12"/>
        <v>58231.046921466135</v>
      </c>
      <c r="C49" s="171">
        <f t="shared" si="13"/>
        <v>41294.120461612947</v>
      </c>
      <c r="D49" s="171">
        <f t="shared" si="14"/>
        <v>2382.9636712632291</v>
      </c>
      <c r="E49" s="171">
        <f t="shared" si="15"/>
        <v>436.94143713</v>
      </c>
      <c r="F49" s="181">
        <f t="shared" si="16"/>
        <v>102345.07249147231</v>
      </c>
    </row>
    <row r="50" spans="1:6" x14ac:dyDescent="0.25">
      <c r="A50" s="176"/>
      <c r="B50" s="181">
        <f t="shared" si="12"/>
        <v>59453.901015979442</v>
      </c>
      <c r="C50" s="171">
        <f t="shared" si="13"/>
        <v>42161.298487003965</v>
      </c>
      <c r="D50" s="171">
        <f t="shared" si="14"/>
        <v>2426.2521266372401</v>
      </c>
      <c r="E50" s="171">
        <f t="shared" si="15"/>
        <v>444.87883044</v>
      </c>
      <c r="F50" s="181">
        <f t="shared" si="16"/>
        <v>104486.33046006064</v>
      </c>
    </row>
    <row r="51" spans="1:6" x14ac:dyDescent="0.25">
      <c r="B51" s="172"/>
      <c r="C51" s="166"/>
    </row>
    <row r="52" spans="1:6" x14ac:dyDescent="0.25">
      <c r="B52" s="172"/>
      <c r="C52" s="166"/>
    </row>
    <row r="53" spans="1:6" x14ac:dyDescent="0.25">
      <c r="C53" s="166"/>
    </row>
  </sheetData>
  <mergeCells count="24">
    <mergeCell ref="T3:T4"/>
    <mergeCell ref="U3:Z3"/>
    <mergeCell ref="AB1:AK1"/>
    <mergeCell ref="AB3:AB4"/>
    <mergeCell ref="AC3:AC4"/>
    <mergeCell ref="AD3:AD4"/>
    <mergeCell ref="AE3:AE4"/>
    <mergeCell ref="AF3:AK3"/>
    <mergeCell ref="Q1:Z1"/>
    <mergeCell ref="Q3:Q4"/>
    <mergeCell ref="R3:R4"/>
    <mergeCell ref="S3:S4"/>
    <mergeCell ref="M3:O3"/>
    <mergeCell ref="I1:O1"/>
    <mergeCell ref="A3:A4"/>
    <mergeCell ref="B3:B4"/>
    <mergeCell ref="C3:C4"/>
    <mergeCell ref="D3:D4"/>
    <mergeCell ref="E3:G3"/>
    <mergeCell ref="A1:G1"/>
    <mergeCell ref="I3:I4"/>
    <mergeCell ref="J3:J4"/>
    <mergeCell ref="K3:K4"/>
    <mergeCell ref="L3:L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zoomScale="85" zoomScaleNormal="85" workbookViewId="0">
      <selection activeCell="X47" sqref="X47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8" width="9.42578125" style="95" bestFit="1" customWidth="1"/>
    <col min="19" max="19" width="13.42578125" style="95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117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126</v>
      </c>
    </row>
    <row r="6" spans="1:24" ht="35.25" customHeight="1" x14ac:dyDescent="0.25">
      <c r="A6" s="194" t="s">
        <v>11</v>
      </c>
      <c r="B6" s="195" t="s">
        <v>118</v>
      </c>
      <c r="C6" s="195"/>
      <c r="D6" s="195"/>
      <c r="E6" s="106" t="s">
        <v>114</v>
      </c>
      <c r="F6" s="194" t="s">
        <v>11</v>
      </c>
      <c r="G6" s="195" t="s">
        <v>111</v>
      </c>
      <c r="H6" s="195"/>
      <c r="I6" s="195"/>
      <c r="J6" s="96" t="s">
        <v>115</v>
      </c>
      <c r="K6" s="194" t="s">
        <v>11</v>
      </c>
      <c r="L6" s="195" t="s">
        <v>112</v>
      </c>
      <c r="M6" s="195"/>
      <c r="N6" s="195"/>
      <c r="O6" s="96" t="s">
        <v>115</v>
      </c>
      <c r="P6" s="194" t="s">
        <v>11</v>
      </c>
      <c r="Q6" s="195" t="s">
        <v>113</v>
      </c>
      <c r="R6" s="195"/>
      <c r="S6" s="195"/>
      <c r="X6" s="97"/>
    </row>
    <row r="7" spans="1:24" ht="18" x14ac:dyDescent="0.25">
      <c r="A7" s="194"/>
      <c r="B7" s="194" t="s">
        <v>129</v>
      </c>
      <c r="C7" s="194"/>
      <c r="D7" s="195" t="s">
        <v>130</v>
      </c>
      <c r="E7" s="107"/>
      <c r="F7" s="194"/>
      <c r="G7" s="194" t="s">
        <v>129</v>
      </c>
      <c r="H7" s="194"/>
      <c r="I7" s="195" t="s">
        <v>130</v>
      </c>
      <c r="K7" s="194"/>
      <c r="L7" s="194" t="s">
        <v>129</v>
      </c>
      <c r="M7" s="194"/>
      <c r="N7" s="195" t="s">
        <v>130</v>
      </c>
      <c r="P7" s="194"/>
      <c r="Q7" s="194" t="s">
        <v>129</v>
      </c>
      <c r="R7" s="194"/>
      <c r="S7" s="195" t="s">
        <v>130</v>
      </c>
      <c r="X7" s="97"/>
    </row>
    <row r="8" spans="1:24" ht="18" x14ac:dyDescent="0.25">
      <c r="A8" s="194"/>
      <c r="B8" s="108" t="s">
        <v>131</v>
      </c>
      <c r="C8" s="108" t="s">
        <v>132</v>
      </c>
      <c r="D8" s="195"/>
      <c r="E8" s="109"/>
      <c r="F8" s="194"/>
      <c r="G8" s="108" t="s">
        <v>131</v>
      </c>
      <c r="H8" s="108" t="s">
        <v>132</v>
      </c>
      <c r="I8" s="195"/>
      <c r="K8" s="194"/>
      <c r="L8" s="108" t="s">
        <v>131</v>
      </c>
      <c r="M8" s="108" t="s">
        <v>132</v>
      </c>
      <c r="N8" s="195"/>
      <c r="P8" s="194"/>
      <c r="Q8" s="108" t="s">
        <v>131</v>
      </c>
      <c r="R8" s="108" t="s">
        <v>132</v>
      </c>
      <c r="S8" s="195"/>
    </row>
    <row r="9" spans="1:24" x14ac:dyDescent="0.25">
      <c r="A9" s="89">
        <v>2011</v>
      </c>
      <c r="B9" s="161">
        <f>[2]Results!O28</f>
        <v>1.6640249774555425</v>
      </c>
      <c r="C9" s="124">
        <f>B9*21</f>
        <v>34.94452452656639</v>
      </c>
      <c r="D9" s="162">
        <f>E9+C9</f>
        <v>34.94452452656639</v>
      </c>
      <c r="E9" s="112"/>
      <c r="F9" s="89">
        <v>2011</v>
      </c>
      <c r="G9" s="161">
        <f>[3]Results!O28</f>
        <v>0</v>
      </c>
      <c r="H9" s="124">
        <f>G9*21</f>
        <v>0</v>
      </c>
      <c r="I9" s="162">
        <f>J9+H9</f>
        <v>0</v>
      </c>
      <c r="K9" s="89">
        <v>2011</v>
      </c>
      <c r="L9" s="163">
        <f>[4]Results!O28</f>
        <v>1.1800311260564202</v>
      </c>
      <c r="M9" s="124">
        <f>L9*21</f>
        <v>24.780653647184824</v>
      </c>
      <c r="N9" s="162">
        <f>O9+M9</f>
        <v>24.780653647184824</v>
      </c>
      <c r="P9" s="89">
        <v>2011</v>
      </c>
      <c r="Q9" s="163">
        <f>[5]Results!O28</f>
        <v>0</v>
      </c>
      <c r="R9" s="124">
        <f>Q9*21</f>
        <v>0</v>
      </c>
      <c r="S9" s="162">
        <f>T9+R9</f>
        <v>0</v>
      </c>
    </row>
    <row r="10" spans="1:24" x14ac:dyDescent="0.25">
      <c r="A10" s="89">
        <v>2012</v>
      </c>
      <c r="B10" s="161">
        <f>[2]Results!O29</f>
        <v>1.7452925812756255</v>
      </c>
      <c r="C10" s="124">
        <f t="shared" ref="C10:C14" si="0">B10*21</f>
        <v>36.651144206788132</v>
      </c>
      <c r="D10" s="162">
        <f t="shared" ref="D10:D14" si="1">E10+C10</f>
        <v>36.651144206788132</v>
      </c>
      <c r="E10" s="112"/>
      <c r="F10" s="89">
        <v>2012</v>
      </c>
      <c r="G10" s="161">
        <f>[3]Results!O29</f>
        <v>0</v>
      </c>
      <c r="H10" s="124">
        <f t="shared" ref="H10:H14" si="2">G10*21</f>
        <v>0</v>
      </c>
      <c r="I10" s="162">
        <f t="shared" ref="I10:I14" si="3">J10+H10</f>
        <v>0</v>
      </c>
      <c r="K10" s="89">
        <v>2012</v>
      </c>
      <c r="L10" s="163">
        <f>[4]Results!O29</f>
        <v>1.2376614521314273</v>
      </c>
      <c r="M10" s="124">
        <f t="shared" ref="M10:M14" si="4">L10*21</f>
        <v>25.990890494759974</v>
      </c>
      <c r="N10" s="162">
        <f t="shared" ref="N10:N14" si="5">O10+M10</f>
        <v>25.990890494759974</v>
      </c>
      <c r="P10" s="89">
        <v>2012</v>
      </c>
      <c r="Q10" s="163">
        <f>[5]Results!O29</f>
        <v>0</v>
      </c>
      <c r="R10" s="124">
        <f t="shared" ref="R10:R14" si="6">Q10*21</f>
        <v>0</v>
      </c>
      <c r="S10" s="162">
        <f t="shared" ref="S10:S14" si="7">T10+R10</f>
        <v>0</v>
      </c>
    </row>
    <row r="11" spans="1:24" x14ac:dyDescent="0.25">
      <c r="A11" s="89">
        <v>2013</v>
      </c>
      <c r="B11" s="161">
        <f>[2]Results!O30</f>
        <v>1.8172805059611721</v>
      </c>
      <c r="C11" s="124">
        <f t="shared" si="0"/>
        <v>38.162890625184616</v>
      </c>
      <c r="D11" s="162">
        <f t="shared" si="1"/>
        <v>38.162890625184616</v>
      </c>
      <c r="E11" s="112"/>
      <c r="F11" s="89">
        <v>2013</v>
      </c>
      <c r="G11" s="161">
        <f>[3]Results!O30</f>
        <v>0</v>
      </c>
      <c r="H11" s="124">
        <f t="shared" si="2"/>
        <v>0</v>
      </c>
      <c r="I11" s="162">
        <f t="shared" si="3"/>
        <v>0</v>
      </c>
      <c r="K11" s="89">
        <v>2013</v>
      </c>
      <c r="L11" s="163">
        <f>[4]Results!O30</f>
        <v>1.2887111617091314</v>
      </c>
      <c r="M11" s="124">
        <f t="shared" si="4"/>
        <v>27.062934395891759</v>
      </c>
      <c r="N11" s="162">
        <f t="shared" si="5"/>
        <v>27.062934395891759</v>
      </c>
      <c r="P11" s="89">
        <v>2013</v>
      </c>
      <c r="Q11" s="163">
        <f>[5]Results!O30</f>
        <v>0</v>
      </c>
      <c r="R11" s="124">
        <f t="shared" si="6"/>
        <v>0</v>
      </c>
      <c r="S11" s="162">
        <f t="shared" si="7"/>
        <v>0</v>
      </c>
    </row>
    <row r="12" spans="1:24" x14ac:dyDescent="0.25">
      <c r="A12" s="89">
        <v>2014</v>
      </c>
      <c r="B12" s="161">
        <f>[2]Results!O31</f>
        <v>1.8825982735126692</v>
      </c>
      <c r="C12" s="124">
        <f t="shared" si="0"/>
        <v>39.53456374376605</v>
      </c>
      <c r="D12" s="162">
        <f t="shared" si="1"/>
        <v>39.53456374376605</v>
      </c>
      <c r="E12" s="112"/>
      <c r="F12" s="89">
        <v>2014</v>
      </c>
      <c r="G12" s="161">
        <f>[3]Results!O31</f>
        <v>0</v>
      </c>
      <c r="H12" s="124">
        <f t="shared" si="2"/>
        <v>0</v>
      </c>
      <c r="I12" s="162">
        <f t="shared" si="3"/>
        <v>0</v>
      </c>
      <c r="K12" s="89">
        <v>2014</v>
      </c>
      <c r="L12" s="163">
        <f>[4]Results!O31</f>
        <v>1.3350307782049984</v>
      </c>
      <c r="M12" s="124">
        <f t="shared" si="4"/>
        <v>28.035646342304965</v>
      </c>
      <c r="N12" s="162">
        <f t="shared" si="5"/>
        <v>28.035646342304965</v>
      </c>
      <c r="P12" s="89">
        <v>2014</v>
      </c>
      <c r="Q12" s="163">
        <f>[5]Results!O31</f>
        <v>0</v>
      </c>
      <c r="R12" s="124">
        <f t="shared" si="6"/>
        <v>0</v>
      </c>
      <c r="S12" s="162">
        <f t="shared" si="7"/>
        <v>0</v>
      </c>
    </row>
    <row r="13" spans="1:24" x14ac:dyDescent="0.25">
      <c r="A13" s="89">
        <v>2015</v>
      </c>
      <c r="B13" s="161">
        <f>[2]Results!O32</f>
        <v>1.9428288621561873</v>
      </c>
      <c r="C13" s="124">
        <f t="shared" si="0"/>
        <v>40.799406105279935</v>
      </c>
      <c r="D13" s="162">
        <f t="shared" si="1"/>
        <v>40.799406105279935</v>
      </c>
      <c r="E13" s="112"/>
      <c r="F13" s="89">
        <v>2015</v>
      </c>
      <c r="G13" s="161">
        <f>[3]Results!O32</f>
        <v>0</v>
      </c>
      <c r="H13" s="124">
        <f t="shared" si="2"/>
        <v>0</v>
      </c>
      <c r="I13" s="162">
        <f t="shared" si="3"/>
        <v>0</v>
      </c>
      <c r="K13" s="89">
        <v>2015</v>
      </c>
      <c r="L13" s="163">
        <f>[4]Results!O32</f>
        <v>1.377742859034897</v>
      </c>
      <c r="M13" s="124">
        <f t="shared" si="4"/>
        <v>28.932600039732836</v>
      </c>
      <c r="N13" s="162">
        <f t="shared" si="5"/>
        <v>28.932600039732836</v>
      </c>
      <c r="P13" s="89">
        <v>2015</v>
      </c>
      <c r="Q13" s="163">
        <f>[5]Results!O32</f>
        <v>0</v>
      </c>
      <c r="R13" s="124">
        <f t="shared" si="6"/>
        <v>0</v>
      </c>
      <c r="S13" s="162">
        <f t="shared" si="7"/>
        <v>0</v>
      </c>
    </row>
    <row r="14" spans="1:24" x14ac:dyDescent="0.25">
      <c r="A14" s="89">
        <v>2016</v>
      </c>
      <c r="B14" s="161">
        <f>[2]Results!O33</f>
        <v>1.9990515643314024</v>
      </c>
      <c r="C14" s="124">
        <f t="shared" si="0"/>
        <v>41.980082850959448</v>
      </c>
      <c r="D14" s="162">
        <f t="shared" si="1"/>
        <v>41.980082850959448</v>
      </c>
      <c r="E14" s="112"/>
      <c r="F14" s="89">
        <v>2016</v>
      </c>
      <c r="G14" s="161">
        <f>[3]Results!O33</f>
        <v>0</v>
      </c>
      <c r="H14" s="124">
        <f t="shared" si="2"/>
        <v>0</v>
      </c>
      <c r="I14" s="162">
        <f t="shared" si="3"/>
        <v>0</v>
      </c>
      <c r="K14" s="89">
        <v>2016</v>
      </c>
      <c r="L14" s="163">
        <f>[4]Results!O33</f>
        <v>1.4176127765280835</v>
      </c>
      <c r="M14" s="124">
        <f t="shared" si="4"/>
        <v>29.769868307089752</v>
      </c>
      <c r="N14" s="162">
        <f t="shared" si="5"/>
        <v>29.769868307089752</v>
      </c>
      <c r="P14" s="89">
        <v>2016</v>
      </c>
      <c r="Q14" s="163">
        <f>[5]Results!O33</f>
        <v>0</v>
      </c>
      <c r="R14" s="124">
        <f t="shared" si="6"/>
        <v>0</v>
      </c>
      <c r="S14" s="162">
        <f t="shared" si="7"/>
        <v>0</v>
      </c>
    </row>
    <row r="15" spans="1:24" x14ac:dyDescent="0.25">
      <c r="A15" s="89">
        <v>2017</v>
      </c>
      <c r="B15" s="161">
        <f>[2]Results!O34</f>
        <v>2.0522148453175793</v>
      </c>
      <c r="C15" s="124">
        <f t="shared" ref="C15:C29" si="8">B15*21</f>
        <v>43.096511751669162</v>
      </c>
      <c r="D15" s="162">
        <f t="shared" ref="D15:D29" si="9">E15+C15</f>
        <v>43.096511751669162</v>
      </c>
      <c r="E15" s="112"/>
      <c r="F15" s="89">
        <v>2017</v>
      </c>
      <c r="G15" s="161">
        <f>[3]Results!O34</f>
        <v>0</v>
      </c>
      <c r="H15" s="124">
        <f t="shared" ref="H15:H29" si="10">G15*21</f>
        <v>0</v>
      </c>
      <c r="I15" s="162">
        <f t="shared" ref="I15:I29" si="11">J15+H15</f>
        <v>0</v>
      </c>
      <c r="K15" s="89">
        <v>2017</v>
      </c>
      <c r="L15" s="163">
        <f>[4]Results!O34</f>
        <v>1.455313127891138</v>
      </c>
      <c r="M15" s="124">
        <f t="shared" ref="M15:M29" si="12">L15*21</f>
        <v>30.561575685713898</v>
      </c>
      <c r="N15" s="162">
        <f t="shared" ref="N15:N29" si="13">O15+M15</f>
        <v>30.561575685713898</v>
      </c>
      <c r="P15" s="89">
        <v>2017</v>
      </c>
      <c r="Q15" s="163">
        <f>[5]Results!O34</f>
        <v>0</v>
      </c>
      <c r="R15" s="124">
        <f t="shared" ref="R15:R29" si="14">Q15*21</f>
        <v>0</v>
      </c>
      <c r="S15" s="162">
        <f t="shared" ref="S15:S29" si="15">T15+R15</f>
        <v>0</v>
      </c>
    </row>
    <row r="16" spans="1:24" x14ac:dyDescent="0.25">
      <c r="A16" s="89">
        <v>2018</v>
      </c>
      <c r="B16" s="161">
        <f>[2]Results!O35</f>
        <v>2.1155628128655466</v>
      </c>
      <c r="C16" s="124">
        <f t="shared" si="8"/>
        <v>44.426819070176478</v>
      </c>
      <c r="D16" s="162">
        <f t="shared" si="9"/>
        <v>44.426819070176478</v>
      </c>
      <c r="E16" s="112"/>
      <c r="F16" s="89">
        <v>2018</v>
      </c>
      <c r="G16" s="161">
        <f>[3]Results!O35</f>
        <v>0</v>
      </c>
      <c r="H16" s="124">
        <f t="shared" si="10"/>
        <v>0</v>
      </c>
      <c r="I16" s="162">
        <f t="shared" si="11"/>
        <v>0</v>
      </c>
      <c r="K16" s="89">
        <v>2018</v>
      </c>
      <c r="L16" s="163">
        <f>[4]Results!O35</f>
        <v>1.5002358751405915</v>
      </c>
      <c r="M16" s="124">
        <f t="shared" si="12"/>
        <v>31.504953377952422</v>
      </c>
      <c r="N16" s="162">
        <f t="shared" si="13"/>
        <v>31.504953377952422</v>
      </c>
      <c r="P16" s="89">
        <v>2018</v>
      </c>
      <c r="Q16" s="163">
        <f>[5]Results!O35</f>
        <v>0</v>
      </c>
      <c r="R16" s="124">
        <f t="shared" si="14"/>
        <v>0</v>
      </c>
      <c r="S16" s="162">
        <f t="shared" si="15"/>
        <v>0</v>
      </c>
    </row>
    <row r="17" spans="1:19" x14ac:dyDescent="0.25">
      <c r="A17" s="89">
        <v>2019</v>
      </c>
      <c r="B17" s="161">
        <f>[2]Results!O36</f>
        <v>2.1777885886005941</v>
      </c>
      <c r="C17" s="124">
        <f t="shared" si="8"/>
        <v>45.733560360612479</v>
      </c>
      <c r="D17" s="162">
        <f t="shared" si="9"/>
        <v>45.733560360612479</v>
      </c>
      <c r="E17" s="112"/>
      <c r="F17" s="89">
        <v>2019</v>
      </c>
      <c r="G17" s="161">
        <f>[3]Results!O36</f>
        <v>0</v>
      </c>
      <c r="H17" s="124">
        <f t="shared" si="10"/>
        <v>0</v>
      </c>
      <c r="I17" s="162">
        <f t="shared" si="11"/>
        <v>0</v>
      </c>
      <c r="K17" s="89">
        <v>2019</v>
      </c>
      <c r="L17" s="163">
        <f>[4]Results!O36</f>
        <v>1.5443628282844326</v>
      </c>
      <c r="M17" s="124">
        <f t="shared" si="12"/>
        <v>32.431619393973087</v>
      </c>
      <c r="N17" s="162">
        <f t="shared" si="13"/>
        <v>32.431619393973087</v>
      </c>
      <c r="P17" s="89">
        <v>2019</v>
      </c>
      <c r="Q17" s="163">
        <f>[5]Results!O36</f>
        <v>0</v>
      </c>
      <c r="R17" s="124">
        <f t="shared" si="14"/>
        <v>0</v>
      </c>
      <c r="S17" s="162">
        <f t="shared" si="15"/>
        <v>0</v>
      </c>
    </row>
    <row r="18" spans="1:19" x14ac:dyDescent="0.25">
      <c r="A18" s="89">
        <v>2020</v>
      </c>
      <c r="B18" s="161">
        <f>[2]Results!O37</f>
        <v>2.2391616788726347</v>
      </c>
      <c r="C18" s="124">
        <f t="shared" si="8"/>
        <v>47.022395256325332</v>
      </c>
      <c r="D18" s="162">
        <f t="shared" si="9"/>
        <v>47.022395256325332</v>
      </c>
      <c r="E18" s="112"/>
      <c r="F18" s="89">
        <v>2020</v>
      </c>
      <c r="G18" s="161">
        <f>[3]Results!O37</f>
        <v>0</v>
      </c>
      <c r="H18" s="124">
        <f t="shared" si="10"/>
        <v>0</v>
      </c>
      <c r="I18" s="162">
        <f t="shared" si="11"/>
        <v>0</v>
      </c>
      <c r="K18" s="89">
        <v>2020</v>
      </c>
      <c r="L18" s="163">
        <f>[4]Results!O37</f>
        <v>1.587885105776937</v>
      </c>
      <c r="M18" s="124">
        <f t="shared" si="12"/>
        <v>33.345587221315675</v>
      </c>
      <c r="N18" s="162">
        <f t="shared" si="13"/>
        <v>33.345587221315675</v>
      </c>
      <c r="P18" s="89">
        <v>2020</v>
      </c>
      <c r="Q18" s="163">
        <f>[5]Results!O37</f>
        <v>0</v>
      </c>
      <c r="R18" s="124">
        <f t="shared" si="14"/>
        <v>0</v>
      </c>
      <c r="S18" s="162">
        <f t="shared" si="15"/>
        <v>0</v>
      </c>
    </row>
    <row r="19" spans="1:19" x14ac:dyDescent="0.25">
      <c r="A19" s="89">
        <v>2021</v>
      </c>
      <c r="B19" s="161">
        <f>[2]Results!O38</f>
        <v>2.2998745084045278</v>
      </c>
      <c r="C19" s="124">
        <f t="shared" si="8"/>
        <v>48.297364676495086</v>
      </c>
      <c r="D19" s="162">
        <f t="shared" si="9"/>
        <v>48.297364676495086</v>
      </c>
      <c r="E19" s="112"/>
      <c r="F19" s="89">
        <v>2021</v>
      </c>
      <c r="G19" s="161">
        <f>[3]Results!O38</f>
        <v>0</v>
      </c>
      <c r="H19" s="124">
        <f t="shared" si="10"/>
        <v>0</v>
      </c>
      <c r="I19" s="162">
        <f t="shared" si="11"/>
        <v>0</v>
      </c>
      <c r="K19" s="89">
        <v>2021</v>
      </c>
      <c r="L19" s="163">
        <f>[4]Results!O38</f>
        <v>1.630939164201072</v>
      </c>
      <c r="M19" s="124">
        <f t="shared" si="12"/>
        <v>34.249722448222514</v>
      </c>
      <c r="N19" s="162">
        <f t="shared" si="13"/>
        <v>34.249722448222514</v>
      </c>
      <c r="P19" s="89">
        <v>2021</v>
      </c>
      <c r="Q19" s="163">
        <f>[5]Results!O38</f>
        <v>0</v>
      </c>
      <c r="R19" s="124">
        <f t="shared" si="14"/>
        <v>0</v>
      </c>
      <c r="S19" s="162">
        <f t="shared" si="15"/>
        <v>0</v>
      </c>
    </row>
    <row r="20" spans="1:19" x14ac:dyDescent="0.25">
      <c r="A20" s="89">
        <v>2022</v>
      </c>
      <c r="B20" s="161">
        <f>[2]Results!O39</f>
        <v>2.3600662587065084</v>
      </c>
      <c r="C20" s="124">
        <f t="shared" si="8"/>
        <v>49.561391432836679</v>
      </c>
      <c r="D20" s="162">
        <f t="shared" si="9"/>
        <v>49.561391432836679</v>
      </c>
      <c r="E20" s="112"/>
      <c r="F20" s="89">
        <v>2022</v>
      </c>
      <c r="G20" s="161">
        <f>[3]Results!O39</f>
        <v>0</v>
      </c>
      <c r="H20" s="124">
        <f t="shared" si="10"/>
        <v>0</v>
      </c>
      <c r="I20" s="162">
        <f t="shared" si="11"/>
        <v>0</v>
      </c>
      <c r="K20" s="89">
        <v>2022</v>
      </c>
      <c r="L20" s="163">
        <f>[4]Results!O39</f>
        <v>1.6736237031055077</v>
      </c>
      <c r="M20" s="124">
        <f t="shared" si="12"/>
        <v>35.146097765215664</v>
      </c>
      <c r="N20" s="162">
        <f t="shared" si="13"/>
        <v>35.146097765215664</v>
      </c>
      <c r="P20" s="89">
        <v>2022</v>
      </c>
      <c r="Q20" s="163">
        <f>[5]Results!O39</f>
        <v>0</v>
      </c>
      <c r="R20" s="124">
        <f t="shared" si="14"/>
        <v>0</v>
      </c>
      <c r="S20" s="162">
        <f t="shared" si="15"/>
        <v>0</v>
      </c>
    </row>
    <row r="21" spans="1:19" x14ac:dyDescent="0.25">
      <c r="A21" s="89">
        <v>2023</v>
      </c>
      <c r="B21" s="161">
        <f>[2]Results!O40</f>
        <v>2.4198390755025314</v>
      </c>
      <c r="C21" s="124">
        <f t="shared" si="8"/>
        <v>50.81662058555316</v>
      </c>
      <c r="D21" s="162">
        <f t="shared" si="9"/>
        <v>50.81662058555316</v>
      </c>
      <c r="E21" s="112"/>
      <c r="F21" s="89">
        <v>2023</v>
      </c>
      <c r="G21" s="161">
        <f>[3]Results!O40</f>
        <v>0</v>
      </c>
      <c r="H21" s="124">
        <f t="shared" si="10"/>
        <v>0</v>
      </c>
      <c r="I21" s="162">
        <f t="shared" si="11"/>
        <v>0</v>
      </c>
      <c r="K21" s="89">
        <v>2023</v>
      </c>
      <c r="L21" s="163">
        <f>[4]Results!O40</f>
        <v>1.7160111583823077</v>
      </c>
      <c r="M21" s="124">
        <f t="shared" si="12"/>
        <v>36.036234326028463</v>
      </c>
      <c r="N21" s="162">
        <f t="shared" si="13"/>
        <v>36.036234326028463</v>
      </c>
      <c r="P21" s="89">
        <v>2023</v>
      </c>
      <c r="Q21" s="163">
        <f>[5]Results!O40</f>
        <v>0</v>
      </c>
      <c r="R21" s="124">
        <f t="shared" si="14"/>
        <v>0</v>
      </c>
      <c r="S21" s="162">
        <f t="shared" si="15"/>
        <v>0</v>
      </c>
    </row>
    <row r="22" spans="1:19" x14ac:dyDescent="0.25">
      <c r="A22" s="89">
        <v>2024</v>
      </c>
      <c r="B22" s="161">
        <f>[2]Results!O41</f>
        <v>2.4792691265148195</v>
      </c>
      <c r="C22" s="124">
        <f t="shared" si="8"/>
        <v>52.064651656811208</v>
      </c>
      <c r="D22" s="162">
        <f t="shared" si="9"/>
        <v>52.064651656811208</v>
      </c>
      <c r="E22" s="112"/>
      <c r="F22" s="89">
        <v>2024</v>
      </c>
      <c r="G22" s="161">
        <f>[3]Results!O41</f>
        <v>0</v>
      </c>
      <c r="H22" s="124">
        <f t="shared" si="10"/>
        <v>0</v>
      </c>
      <c r="I22" s="162">
        <f t="shared" si="11"/>
        <v>0</v>
      </c>
      <c r="K22" s="89">
        <v>2024</v>
      </c>
      <c r="L22" s="163">
        <f>[4]Results!O41</f>
        <v>1.7581555438138623</v>
      </c>
      <c r="M22" s="124">
        <f t="shared" si="12"/>
        <v>36.921266420091108</v>
      </c>
      <c r="N22" s="162">
        <f t="shared" si="13"/>
        <v>36.921266420091108</v>
      </c>
      <c r="P22" s="89">
        <v>2024</v>
      </c>
      <c r="Q22" s="163">
        <f>[5]Results!O41</f>
        <v>0</v>
      </c>
      <c r="R22" s="124">
        <f t="shared" si="14"/>
        <v>0</v>
      </c>
      <c r="S22" s="162">
        <f t="shared" si="15"/>
        <v>0</v>
      </c>
    </row>
    <row r="23" spans="1:19" x14ac:dyDescent="0.25">
      <c r="A23" s="89">
        <v>2025</v>
      </c>
      <c r="B23" s="161">
        <f>[2]Results!O42</f>
        <v>2.5384141782043628</v>
      </c>
      <c r="C23" s="124">
        <f t="shared" si="8"/>
        <v>53.306697742291618</v>
      </c>
      <c r="D23" s="162">
        <f t="shared" si="9"/>
        <v>53.306697742291618</v>
      </c>
      <c r="E23" s="112"/>
      <c r="F23" s="89">
        <v>2025</v>
      </c>
      <c r="G23" s="161">
        <f>[3]Results!O42</f>
        <v>0</v>
      </c>
      <c r="H23" s="124">
        <f t="shared" si="10"/>
        <v>0</v>
      </c>
      <c r="I23" s="162">
        <f t="shared" si="11"/>
        <v>0</v>
      </c>
      <c r="K23" s="89">
        <v>2025</v>
      </c>
      <c r="L23" s="163">
        <f>[4]Results!O42</f>
        <v>1.8000978240629228</v>
      </c>
      <c r="M23" s="124">
        <f t="shared" si="12"/>
        <v>37.802054305321377</v>
      </c>
      <c r="N23" s="162">
        <f t="shared" si="13"/>
        <v>37.802054305321377</v>
      </c>
      <c r="P23" s="89">
        <v>2025</v>
      </c>
      <c r="Q23" s="163">
        <f>[5]Results!O42</f>
        <v>0</v>
      </c>
      <c r="R23" s="124">
        <f t="shared" si="14"/>
        <v>0</v>
      </c>
      <c r="S23" s="162">
        <f t="shared" si="15"/>
        <v>0</v>
      </c>
    </row>
    <row r="24" spans="1:19" x14ac:dyDescent="0.25">
      <c r="A24" s="89">
        <v>2026</v>
      </c>
      <c r="B24" s="161">
        <f>[2]Results!O43</f>
        <v>2.597318814440186</v>
      </c>
      <c r="C24" s="124">
        <f t="shared" si="8"/>
        <v>54.543695103243905</v>
      </c>
      <c r="D24" s="162">
        <f t="shared" si="9"/>
        <v>54.543695103243905</v>
      </c>
      <c r="E24" s="112"/>
      <c r="F24" s="89">
        <v>2026</v>
      </c>
      <c r="G24" s="161">
        <f>[3]Results!O43</f>
        <v>0</v>
      </c>
      <c r="H24" s="124">
        <f t="shared" si="10"/>
        <v>0</v>
      </c>
      <c r="I24" s="162">
        <f t="shared" si="11"/>
        <v>0</v>
      </c>
      <c r="K24" s="89">
        <v>2026</v>
      </c>
      <c r="L24" s="163">
        <f>[4]Results!O43</f>
        <v>1.8418696154536922</v>
      </c>
      <c r="M24" s="124">
        <f t="shared" si="12"/>
        <v>38.679261924527538</v>
      </c>
      <c r="N24" s="162">
        <f t="shared" si="13"/>
        <v>38.679261924527538</v>
      </c>
      <c r="P24" s="89">
        <v>2026</v>
      </c>
      <c r="Q24" s="163">
        <f>[5]Results!O43</f>
        <v>0</v>
      </c>
      <c r="R24" s="124">
        <f t="shared" si="14"/>
        <v>0</v>
      </c>
      <c r="S24" s="162">
        <f t="shared" si="15"/>
        <v>0</v>
      </c>
    </row>
    <row r="25" spans="1:19" x14ac:dyDescent="0.25">
      <c r="A25" s="89">
        <v>2027</v>
      </c>
      <c r="B25" s="161">
        <f>[2]Results!O44</f>
        <v>2.6560180536319438</v>
      </c>
      <c r="C25" s="124">
        <f t="shared" si="8"/>
        <v>55.776379126270818</v>
      </c>
      <c r="D25" s="162">
        <f t="shared" si="9"/>
        <v>55.776379126270818</v>
      </c>
      <c r="E25" s="112"/>
      <c r="F25" s="89">
        <v>2027</v>
      </c>
      <c r="G25" s="161">
        <f>[3]Results!O44</f>
        <v>0</v>
      </c>
      <c r="H25" s="124">
        <f t="shared" si="10"/>
        <v>0</v>
      </c>
      <c r="I25" s="162">
        <f t="shared" si="11"/>
        <v>0</v>
      </c>
      <c r="K25" s="89">
        <v>2027</v>
      </c>
      <c r="L25" s="163">
        <f>[4]Results!O44</f>
        <v>1.8834957510349151</v>
      </c>
      <c r="M25" s="124">
        <f t="shared" si="12"/>
        <v>39.553410771733219</v>
      </c>
      <c r="N25" s="162">
        <f t="shared" si="13"/>
        <v>39.553410771733219</v>
      </c>
      <c r="P25" s="89">
        <v>2027</v>
      </c>
      <c r="Q25" s="163">
        <f>[5]Results!O44</f>
        <v>0</v>
      </c>
      <c r="R25" s="124">
        <f t="shared" si="14"/>
        <v>0</v>
      </c>
      <c r="S25" s="162">
        <f t="shared" si="15"/>
        <v>0</v>
      </c>
    </row>
    <row r="26" spans="1:19" x14ac:dyDescent="0.25">
      <c r="A26" s="89">
        <v>2028</v>
      </c>
      <c r="B26" s="161">
        <f>[2]Results!O45</f>
        <v>2.7145398746428735</v>
      </c>
      <c r="C26" s="124">
        <f t="shared" si="8"/>
        <v>57.005337367500346</v>
      </c>
      <c r="D26" s="162">
        <f t="shared" si="9"/>
        <v>57.005337367500346</v>
      </c>
      <c r="E26" s="112"/>
      <c r="F26" s="89">
        <v>2028</v>
      </c>
      <c r="G26" s="161">
        <f>[3]Results!O45</f>
        <v>0</v>
      </c>
      <c r="H26" s="124">
        <f t="shared" si="10"/>
        <v>0</v>
      </c>
      <c r="I26" s="162">
        <f t="shared" si="11"/>
        <v>0</v>
      </c>
      <c r="K26" s="89">
        <v>2028</v>
      </c>
      <c r="L26" s="163">
        <f>[4]Results!O45</f>
        <v>1.9249960718125483</v>
      </c>
      <c r="M26" s="124">
        <f t="shared" si="12"/>
        <v>40.424917508063515</v>
      </c>
      <c r="N26" s="162">
        <f t="shared" si="13"/>
        <v>40.424917508063515</v>
      </c>
      <c r="P26" s="89">
        <v>2028</v>
      </c>
      <c r="Q26" s="163">
        <f>[5]Results!O45</f>
        <v>0</v>
      </c>
      <c r="R26" s="124">
        <f t="shared" si="14"/>
        <v>0</v>
      </c>
      <c r="S26" s="162">
        <f t="shared" si="15"/>
        <v>0</v>
      </c>
    </row>
    <row r="27" spans="1:19" x14ac:dyDescent="0.25">
      <c r="A27" s="89">
        <v>2029</v>
      </c>
      <c r="B27" s="161">
        <f>[2]Results!O46</f>
        <v>2.7729069962602924</v>
      </c>
      <c r="C27" s="124">
        <f t="shared" si="8"/>
        <v>58.231046921466138</v>
      </c>
      <c r="D27" s="162">
        <f t="shared" si="9"/>
        <v>58.231046921466138</v>
      </c>
      <c r="E27" s="112"/>
      <c r="F27" s="89">
        <v>2029</v>
      </c>
      <c r="G27" s="161">
        <f>[3]Results!O46</f>
        <v>0</v>
      </c>
      <c r="H27" s="124">
        <f t="shared" si="10"/>
        <v>0</v>
      </c>
      <c r="I27" s="162">
        <f t="shared" si="11"/>
        <v>0</v>
      </c>
      <c r="K27" s="89">
        <v>2029</v>
      </c>
      <c r="L27" s="163">
        <f>[4]Results!O46</f>
        <v>1.9663866886482355</v>
      </c>
      <c r="M27" s="124">
        <f t="shared" si="12"/>
        <v>41.294120461612948</v>
      </c>
      <c r="N27" s="162">
        <f t="shared" si="13"/>
        <v>41.294120461612948</v>
      </c>
      <c r="P27" s="89">
        <v>2029</v>
      </c>
      <c r="Q27" s="163">
        <f>[5]Results!O46</f>
        <v>0</v>
      </c>
      <c r="R27" s="124">
        <f t="shared" si="14"/>
        <v>0</v>
      </c>
      <c r="S27" s="162">
        <f t="shared" si="15"/>
        <v>0</v>
      </c>
    </row>
    <row r="28" spans="1:19" x14ac:dyDescent="0.25">
      <c r="A28" s="89">
        <v>2030</v>
      </c>
      <c r="B28" s="161">
        <f>[2]Results!O47</f>
        <v>2.8311381436180687</v>
      </c>
      <c r="C28" s="124">
        <f t="shared" si="8"/>
        <v>59.45390101597944</v>
      </c>
      <c r="D28" s="162">
        <f t="shared" si="9"/>
        <v>59.45390101597944</v>
      </c>
      <c r="E28" s="112"/>
      <c r="F28" s="89">
        <v>2030</v>
      </c>
      <c r="G28" s="161">
        <f>[3]Results!O47</f>
        <v>0</v>
      </c>
      <c r="H28" s="124">
        <f t="shared" si="10"/>
        <v>0</v>
      </c>
      <c r="I28" s="162">
        <f t="shared" si="11"/>
        <v>0</v>
      </c>
      <c r="K28" s="89">
        <v>2030</v>
      </c>
      <c r="L28" s="163">
        <f>[4]Results!O47</f>
        <v>2.0076808803335222</v>
      </c>
      <c r="M28" s="124">
        <f t="shared" si="12"/>
        <v>42.161298487003968</v>
      </c>
      <c r="N28" s="162">
        <f t="shared" si="13"/>
        <v>42.161298487003968</v>
      </c>
      <c r="P28" s="89">
        <v>2030</v>
      </c>
      <c r="Q28" s="163">
        <f>[5]Results!O47</f>
        <v>0</v>
      </c>
      <c r="R28" s="124">
        <f t="shared" si="14"/>
        <v>0</v>
      </c>
      <c r="S28" s="162">
        <f t="shared" si="15"/>
        <v>0</v>
      </c>
    </row>
    <row r="29" spans="1:19" x14ac:dyDescent="0.25">
      <c r="A29" s="89">
        <v>2031</v>
      </c>
      <c r="B29" s="138"/>
      <c r="C29" s="110">
        <f t="shared" si="8"/>
        <v>0</v>
      </c>
      <c r="D29" s="111">
        <f t="shared" si="9"/>
        <v>0</v>
      </c>
      <c r="E29" s="112"/>
      <c r="F29" s="89">
        <v>2031</v>
      </c>
      <c r="G29" s="138"/>
      <c r="H29" s="110">
        <f t="shared" si="10"/>
        <v>0</v>
      </c>
      <c r="I29" s="111">
        <f t="shared" si="11"/>
        <v>0</v>
      </c>
      <c r="K29" s="89">
        <v>2031</v>
      </c>
      <c r="L29" s="137"/>
      <c r="M29" s="110">
        <f t="shared" si="12"/>
        <v>0</v>
      </c>
      <c r="N29" s="111">
        <f t="shared" si="13"/>
        <v>0</v>
      </c>
      <c r="P29" s="89">
        <v>2031</v>
      </c>
      <c r="Q29" s="137"/>
      <c r="R29" s="113">
        <f t="shared" si="14"/>
        <v>0</v>
      </c>
      <c r="S29" s="114">
        <f t="shared" si="15"/>
        <v>0</v>
      </c>
    </row>
    <row r="31" spans="1:19" ht="15.75" thickBot="1" x14ac:dyDescent="0.3">
      <c r="A31" s="115" t="s">
        <v>127</v>
      </c>
    </row>
    <row r="32" spans="1:19" ht="15.75" thickBot="1" x14ac:dyDescent="0.3">
      <c r="A32" s="201" t="s">
        <v>11</v>
      </c>
      <c r="B32" s="203" t="s">
        <v>81</v>
      </c>
      <c r="C32" s="204"/>
      <c r="D32" s="204"/>
      <c r="E32" s="204"/>
      <c r="F32" s="205"/>
    </row>
    <row r="33" spans="1:6" ht="18.75" thickBot="1" x14ac:dyDescent="0.3">
      <c r="A33" s="202"/>
      <c r="B33" s="203" t="s">
        <v>129</v>
      </c>
      <c r="C33" s="205"/>
      <c r="D33" s="203" t="s">
        <v>133</v>
      </c>
      <c r="E33" s="205"/>
      <c r="F33" s="206" t="s">
        <v>130</v>
      </c>
    </row>
    <row r="34" spans="1:6" ht="18" x14ac:dyDescent="0.25">
      <c r="A34" s="202"/>
      <c r="B34" s="116" t="s">
        <v>131</v>
      </c>
      <c r="C34" s="116" t="s">
        <v>132</v>
      </c>
      <c r="D34" s="116" t="s">
        <v>134</v>
      </c>
      <c r="E34" s="116" t="s">
        <v>132</v>
      </c>
      <c r="F34" s="207"/>
    </row>
    <row r="35" spans="1:6" x14ac:dyDescent="0.25">
      <c r="A35" s="89">
        <v>2011</v>
      </c>
      <c r="B35" s="110">
        <f>[6]REKAPITULASI!B6</f>
        <v>6.7975459199999992E-3</v>
      </c>
      <c r="C35" s="110">
        <f>B35*21</f>
        <v>0.14274846431999999</v>
      </c>
      <c r="D35" s="110">
        <f>[6]REKAPITULASI!D6</f>
        <v>5.0981594399999997E-4</v>
      </c>
      <c r="E35" s="110">
        <f>D35*310</f>
        <v>0.15804294263999999</v>
      </c>
      <c r="F35" s="162">
        <f>E35+C35</f>
        <v>0.30079140695999995</v>
      </c>
    </row>
    <row r="36" spans="1:6" x14ac:dyDescent="0.25">
      <c r="A36" s="89">
        <v>2012</v>
      </c>
      <c r="B36" s="110">
        <f>[6]REKAPITULASI!B7</f>
        <v>6.9292713599999993E-3</v>
      </c>
      <c r="C36" s="110">
        <f t="shared" ref="C36:C45" si="16">B36*21</f>
        <v>0.14551469855999999</v>
      </c>
      <c r="D36" s="110">
        <f>[6]REKAPITULASI!D7</f>
        <v>5.1969535199999993E-4</v>
      </c>
      <c r="E36" s="110">
        <f t="shared" ref="E36:E45" si="17">D36*310</f>
        <v>0.16110555911999996</v>
      </c>
      <c r="F36" s="162">
        <f t="shared" ref="F36:F45" si="18">E36+C36</f>
        <v>0.30662025767999995</v>
      </c>
    </row>
    <row r="37" spans="1:6" x14ac:dyDescent="0.25">
      <c r="A37" s="89">
        <v>2013</v>
      </c>
      <c r="B37" s="110">
        <f>[6]REKAPITULASI!B8</f>
        <v>7.0605453599999991E-3</v>
      </c>
      <c r="C37" s="110">
        <f t="shared" si="16"/>
        <v>0.14827145255999999</v>
      </c>
      <c r="D37" s="110">
        <f>[6]REKAPITULASI!D8</f>
        <v>5.2954090199999998E-4</v>
      </c>
      <c r="E37" s="110">
        <f t="shared" si="17"/>
        <v>0.16415767962</v>
      </c>
      <c r="F37" s="162">
        <f t="shared" si="18"/>
        <v>0.31242913218000001</v>
      </c>
    </row>
    <row r="38" spans="1:6" x14ac:dyDescent="0.25">
      <c r="A38" s="89">
        <v>2014</v>
      </c>
      <c r="B38" s="110">
        <f>[6]REKAPITULASI!B9</f>
        <v>7.1885404799999992E-3</v>
      </c>
      <c r="C38" s="110">
        <f t="shared" si="16"/>
        <v>0.15095935007999997</v>
      </c>
      <c r="D38" s="110">
        <f>[6]REKAPITULASI!D9</f>
        <v>5.3914053599999994E-4</v>
      </c>
      <c r="E38" s="110">
        <f t="shared" si="17"/>
        <v>0.16713356615999997</v>
      </c>
      <c r="F38" s="162">
        <f t="shared" si="18"/>
        <v>0.31809291623999991</v>
      </c>
    </row>
    <row r="39" spans="1:6" x14ac:dyDescent="0.25">
      <c r="A39" s="89">
        <v>2015</v>
      </c>
      <c r="B39" s="110">
        <f>[6]REKAPITULASI!B10</f>
        <v>7.31301912E-3</v>
      </c>
      <c r="C39" s="110">
        <f t="shared" si="16"/>
        <v>0.15357340151999999</v>
      </c>
      <c r="D39" s="110">
        <f>[6]REKAPITULASI!D10</f>
        <v>5.48476434E-4</v>
      </c>
      <c r="E39" s="110">
        <f t="shared" si="17"/>
        <v>0.17002769454</v>
      </c>
      <c r="F39" s="162">
        <f t="shared" si="18"/>
        <v>0.32360109605999998</v>
      </c>
    </row>
    <row r="40" spans="1:6" x14ac:dyDescent="0.25">
      <c r="A40" s="89">
        <v>2016</v>
      </c>
      <c r="B40" s="110">
        <f>[6]REKAPITULASI!B11</f>
        <v>7.4364998399999984E-3</v>
      </c>
      <c r="C40" s="110">
        <f t="shared" si="16"/>
        <v>0.15616649663999996</v>
      </c>
      <c r="D40" s="110">
        <f>[6]REKAPITULASI!D11</f>
        <v>5.5773748799999988E-4</v>
      </c>
      <c r="E40" s="110">
        <f t="shared" si="17"/>
        <v>0.17289862127999997</v>
      </c>
      <c r="F40" s="162">
        <f t="shared" si="18"/>
        <v>0.32906511791999993</v>
      </c>
    </row>
    <row r="41" spans="1:6" x14ac:dyDescent="0.25">
      <c r="A41" s="89">
        <v>2017</v>
      </c>
      <c r="B41" s="110">
        <f>[6]REKAPITULASI!B12</f>
        <v>7.7218693199999997E-3</v>
      </c>
      <c r="C41" s="110">
        <f t="shared" si="16"/>
        <v>0.16215925572000001</v>
      </c>
      <c r="D41" s="110">
        <f>[6]REKAPITULASI!D12</f>
        <v>5.7914019899999987E-4</v>
      </c>
      <c r="E41" s="110">
        <f t="shared" si="17"/>
        <v>0.17953346168999995</v>
      </c>
      <c r="F41" s="162">
        <f t="shared" si="18"/>
        <v>0.34169271740999996</v>
      </c>
    </row>
    <row r="42" spans="1:6" x14ac:dyDescent="0.25">
      <c r="A42" s="89">
        <v>2018</v>
      </c>
      <c r="B42" s="110">
        <f>[6]REKAPITULASI!B13</f>
        <v>7.9012454400000012E-3</v>
      </c>
      <c r="C42" s="110">
        <f t="shared" si="16"/>
        <v>0.16592615424000001</v>
      </c>
      <c r="D42" s="110">
        <f>[6]REKAPITULASI!D13</f>
        <v>5.9259340800000009E-4</v>
      </c>
      <c r="E42" s="110">
        <f t="shared" si="17"/>
        <v>0.18370395648000001</v>
      </c>
      <c r="F42" s="162">
        <f t="shared" si="18"/>
        <v>0.34963011072000005</v>
      </c>
    </row>
    <row r="43" spans="1:6" x14ac:dyDescent="0.25">
      <c r="A43" s="89">
        <v>2019</v>
      </c>
      <c r="B43" s="110">
        <f>[6]REKAPITULASI!B14</f>
        <v>8.0806215600000009E-3</v>
      </c>
      <c r="C43" s="110">
        <f t="shared" si="16"/>
        <v>0.16969305276000002</v>
      </c>
      <c r="D43" s="110">
        <f>[6]REKAPITULASI!D14</f>
        <v>6.0604661700000009E-4</v>
      </c>
      <c r="E43" s="110">
        <f t="shared" si="17"/>
        <v>0.18787445127000002</v>
      </c>
      <c r="F43" s="162">
        <f t="shared" si="18"/>
        <v>0.35756750403000004</v>
      </c>
    </row>
    <row r="44" spans="1:6" x14ac:dyDescent="0.25">
      <c r="A44" s="89">
        <v>2020</v>
      </c>
      <c r="B44" s="110">
        <f>[6]REKAPITULASI!B15</f>
        <v>8.2599976800000023E-3</v>
      </c>
      <c r="C44" s="110">
        <f t="shared" si="16"/>
        <v>0.17345995128000005</v>
      </c>
      <c r="D44" s="110">
        <f>[6]REKAPITULASI!D15</f>
        <v>6.1949982600000009E-4</v>
      </c>
      <c r="E44" s="110">
        <f t="shared" si="17"/>
        <v>0.19204494606000003</v>
      </c>
      <c r="F44" s="162">
        <f t="shared" si="18"/>
        <v>0.36550489734000008</v>
      </c>
    </row>
    <row r="45" spans="1:6" x14ac:dyDescent="0.25">
      <c r="A45" s="89">
        <v>2021</v>
      </c>
      <c r="B45" s="110">
        <f>[6]REKAPITULASI!B16</f>
        <v>8.4393738000000003E-3</v>
      </c>
      <c r="C45" s="110">
        <f t="shared" si="16"/>
        <v>0.1772268498</v>
      </c>
      <c r="D45" s="110">
        <f>[6]REKAPITULASI!D16</f>
        <v>6.3295303499999998E-4</v>
      </c>
      <c r="E45" s="110">
        <f t="shared" si="17"/>
        <v>0.19621544085000001</v>
      </c>
      <c r="F45" s="162">
        <f t="shared" si="18"/>
        <v>0.37344229065000001</v>
      </c>
    </row>
    <row r="46" spans="1:6" x14ac:dyDescent="0.25">
      <c r="A46" s="89">
        <v>2022</v>
      </c>
      <c r="B46" s="110">
        <f>[6]REKAPITULASI!B17</f>
        <v>8.61874992E-3</v>
      </c>
      <c r="C46" s="110">
        <f t="shared" ref="C46:C55" si="19">B46*21</f>
        <v>0.18099374832000001</v>
      </c>
      <c r="D46" s="110">
        <f>[6]REKAPITULASI!D17</f>
        <v>6.4640624399999998E-4</v>
      </c>
      <c r="E46" s="110">
        <f t="shared" ref="E46:E55" si="20">D46*310</f>
        <v>0.20038593563999998</v>
      </c>
      <c r="F46" s="162">
        <f t="shared" ref="F46:F55" si="21">E46+C46</f>
        <v>0.38137968395999999</v>
      </c>
    </row>
    <row r="47" spans="1:6" x14ac:dyDescent="0.25">
      <c r="A47" s="89">
        <v>2023</v>
      </c>
      <c r="B47" s="110">
        <f>[6]REKAPITULASI!B18</f>
        <v>8.7981260400000014E-3</v>
      </c>
      <c r="C47" s="110">
        <f t="shared" si="19"/>
        <v>0.18476064684000004</v>
      </c>
      <c r="D47" s="110">
        <f>[6]REKAPITULASI!D18</f>
        <v>6.5985945300000009E-4</v>
      </c>
      <c r="E47" s="110">
        <f t="shared" si="20"/>
        <v>0.20455643043000002</v>
      </c>
      <c r="F47" s="162">
        <f t="shared" si="21"/>
        <v>0.38931707727000009</v>
      </c>
    </row>
    <row r="48" spans="1:6" x14ac:dyDescent="0.25">
      <c r="A48" s="89">
        <v>2024</v>
      </c>
      <c r="B48" s="110">
        <f>[6]REKAPITULASI!B19</f>
        <v>8.9775021599999994E-3</v>
      </c>
      <c r="C48" s="110">
        <f t="shared" si="19"/>
        <v>0.18852754535999999</v>
      </c>
      <c r="D48" s="110">
        <f>[6]REKAPITULASI!D19</f>
        <v>6.7331266199999998E-4</v>
      </c>
      <c r="E48" s="110">
        <f t="shared" si="20"/>
        <v>0.20872692522</v>
      </c>
      <c r="F48" s="162">
        <f t="shared" si="21"/>
        <v>0.39725447057999996</v>
      </c>
    </row>
    <row r="49" spans="1:10" x14ac:dyDescent="0.25">
      <c r="A49" s="89">
        <v>2025</v>
      </c>
      <c r="B49" s="110">
        <f>[6]REKAPITULASI!B20</f>
        <v>9.1568782800000009E-3</v>
      </c>
      <c r="C49" s="110">
        <f t="shared" si="19"/>
        <v>0.19229444388000003</v>
      </c>
      <c r="D49" s="110">
        <f>[6]REKAPITULASI!D20</f>
        <v>6.8676587100000009E-4</v>
      </c>
      <c r="E49" s="110">
        <f t="shared" si="20"/>
        <v>0.21289742001000003</v>
      </c>
      <c r="F49" s="162">
        <f t="shared" si="21"/>
        <v>0.40519186389000006</v>
      </c>
    </row>
    <row r="50" spans="1:10" x14ac:dyDescent="0.25">
      <c r="A50" s="89">
        <v>2026</v>
      </c>
      <c r="B50" s="110">
        <f>[6]REKAPITULASI!B21</f>
        <v>9.3362543999999988E-3</v>
      </c>
      <c r="C50" s="110">
        <f t="shared" si="19"/>
        <v>0.19606134239999998</v>
      </c>
      <c r="D50" s="110">
        <f>[6]REKAPITULASI!D21</f>
        <v>7.0021907999999998E-4</v>
      </c>
      <c r="E50" s="110">
        <f t="shared" si="20"/>
        <v>0.21706791479999998</v>
      </c>
      <c r="F50" s="162">
        <f t="shared" si="21"/>
        <v>0.41312925719999993</v>
      </c>
    </row>
    <row r="51" spans="1:10" x14ac:dyDescent="0.25">
      <c r="A51" s="89">
        <v>2027</v>
      </c>
      <c r="B51" s="110">
        <f>[6]REKAPITULASI!B22</f>
        <v>9.5156305200000003E-3</v>
      </c>
      <c r="C51" s="110">
        <f t="shared" si="19"/>
        <v>0.19982824092000001</v>
      </c>
      <c r="D51" s="110">
        <f>[6]REKAPITULASI!D22</f>
        <v>7.1367228899999998E-4</v>
      </c>
      <c r="E51" s="110">
        <f t="shared" si="20"/>
        <v>0.22123840958999999</v>
      </c>
      <c r="F51" s="162">
        <f t="shared" si="21"/>
        <v>0.42106665051000003</v>
      </c>
    </row>
    <row r="52" spans="1:10" x14ac:dyDescent="0.25">
      <c r="A52" s="89">
        <v>2028</v>
      </c>
      <c r="B52" s="110">
        <f>[6]REKAPITULASI!B23</f>
        <v>9.6950066399999982E-3</v>
      </c>
      <c r="C52" s="110">
        <f t="shared" si="19"/>
        <v>0.20359513943999996</v>
      </c>
      <c r="D52" s="110">
        <f>[6]REKAPITULASI!D23</f>
        <v>7.2712549799999998E-4</v>
      </c>
      <c r="E52" s="110">
        <f t="shared" si="20"/>
        <v>0.22540890438</v>
      </c>
      <c r="F52" s="162">
        <f t="shared" si="21"/>
        <v>0.42900404381999996</v>
      </c>
    </row>
    <row r="53" spans="1:10" x14ac:dyDescent="0.25">
      <c r="A53" s="89">
        <v>2029</v>
      </c>
      <c r="B53" s="110">
        <f>[6]REKAPITULASI!B24</f>
        <v>9.8743827599999997E-3</v>
      </c>
      <c r="C53" s="110">
        <f t="shared" si="19"/>
        <v>0.20736203796</v>
      </c>
      <c r="D53" s="110">
        <f>[6]REKAPITULASI!D24</f>
        <v>7.4057870699999998E-4</v>
      </c>
      <c r="E53" s="110">
        <f t="shared" si="20"/>
        <v>0.22957939917</v>
      </c>
      <c r="F53" s="162">
        <f t="shared" si="21"/>
        <v>0.43694143713</v>
      </c>
    </row>
    <row r="54" spans="1:10" x14ac:dyDescent="0.25">
      <c r="A54" s="89">
        <v>2030</v>
      </c>
      <c r="B54" s="110">
        <f>[6]REKAPITULASI!B25</f>
        <v>1.0053758879999999E-2</v>
      </c>
      <c r="C54" s="110">
        <f t="shared" si="19"/>
        <v>0.21112893647999997</v>
      </c>
      <c r="D54" s="110">
        <f>[6]REKAPITULASI!D25</f>
        <v>7.5403191599999998E-4</v>
      </c>
      <c r="E54" s="110">
        <f t="shared" si="20"/>
        <v>0.23374989395999998</v>
      </c>
      <c r="F54" s="162">
        <f t="shared" si="21"/>
        <v>0.44487883043999998</v>
      </c>
    </row>
    <row r="55" spans="1:10" x14ac:dyDescent="0.25">
      <c r="A55" s="89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ht="15.75" thickBot="1" x14ac:dyDescent="0.3">
      <c r="A57" s="104" t="s">
        <v>88</v>
      </c>
      <c r="J57" s="95">
        <v>1000</v>
      </c>
    </row>
    <row r="58" spans="1:10" ht="15.75" thickBot="1" x14ac:dyDescent="0.3">
      <c r="A58" s="196" t="s">
        <v>11</v>
      </c>
      <c r="B58" s="198" t="s">
        <v>89</v>
      </c>
      <c r="C58" s="199"/>
      <c r="D58" s="199"/>
      <c r="E58" s="199"/>
      <c r="F58" s="199"/>
    </row>
    <row r="59" spans="1:10" ht="18.75" thickBot="1" x14ac:dyDescent="0.3">
      <c r="A59" s="197"/>
      <c r="B59" s="198" t="s">
        <v>129</v>
      </c>
      <c r="C59" s="200"/>
      <c r="D59" s="198" t="s">
        <v>133</v>
      </c>
      <c r="E59" s="200"/>
      <c r="F59" s="117" t="s">
        <v>135</v>
      </c>
      <c r="H59" s="209" t="s">
        <v>11</v>
      </c>
      <c r="I59" s="209" t="s">
        <v>145</v>
      </c>
      <c r="J59" s="209"/>
    </row>
    <row r="60" spans="1:10" ht="18" x14ac:dyDescent="0.25">
      <c r="A60" s="197"/>
      <c r="B60" s="118" t="s">
        <v>131</v>
      </c>
      <c r="C60" s="118" t="s">
        <v>132</v>
      </c>
      <c r="D60" s="118" t="s">
        <v>134</v>
      </c>
      <c r="E60" s="118" t="s">
        <v>132</v>
      </c>
      <c r="F60" s="118" t="s">
        <v>136</v>
      </c>
      <c r="H60" s="209"/>
      <c r="I60" s="130" t="s">
        <v>146</v>
      </c>
      <c r="J60" s="130" t="s">
        <v>147</v>
      </c>
    </row>
    <row r="61" spans="1:10" x14ac:dyDescent="0.25">
      <c r="A61" s="89">
        <v>2011</v>
      </c>
      <c r="B61" s="125">
        <f>[6]REKAPITULASI!B32</f>
        <v>5.8266895709879987E-2</v>
      </c>
      <c r="C61" s="120">
        <f>B61*21</f>
        <v>1.2236048099074797</v>
      </c>
      <c r="D61" s="125">
        <f>[6]REKAPITULASI!D32</f>
        <v>1.3446206702279995E-3</v>
      </c>
      <c r="E61" s="120">
        <f>D61*310</f>
        <v>0.41683240777067987</v>
      </c>
      <c r="F61" s="162">
        <f>SUM(C61+E61)</f>
        <v>1.6404372176781594</v>
      </c>
      <c r="H61" s="89">
        <v>2011</v>
      </c>
      <c r="I61" s="131">
        <f>D9+F35+F61+I9+N9+S9</f>
        <v>61.666406798389374</v>
      </c>
      <c r="J61" s="160">
        <f>I61*$J$57</f>
        <v>61666.406798389376</v>
      </c>
    </row>
    <row r="62" spans="1:10" x14ac:dyDescent="0.25">
      <c r="A62" s="89">
        <v>2012</v>
      </c>
      <c r="B62" s="125">
        <f>[6]REKAPITULASI!B33</f>
        <v>5.9396013860040002E-2</v>
      </c>
      <c r="C62" s="120">
        <f t="shared" ref="C62:C81" si="22">B62*21</f>
        <v>1.24731629106084</v>
      </c>
      <c r="D62" s="125">
        <f>[6]REKAPITULASI!D33</f>
        <v>1.370677242924E-3</v>
      </c>
      <c r="E62" s="120">
        <f t="shared" ref="E62:E81" si="23">D62*310</f>
        <v>0.42490994530644</v>
      </c>
      <c r="F62" s="162">
        <f t="shared" ref="F62:F81" si="24">SUM(C62+E62)</f>
        <v>1.67222623636728</v>
      </c>
      <c r="H62" s="89">
        <v>2012</v>
      </c>
      <c r="I62" s="131">
        <f t="shared" ref="I62:I81" si="25">D10+F36+F62+I10+N10+S10</f>
        <v>64.620881195595388</v>
      </c>
      <c r="J62" s="160">
        <f t="shared" ref="J62:J70" si="26">I62*$J$57</f>
        <v>64620.881195595386</v>
      </c>
    </row>
    <row r="63" spans="1:10" x14ac:dyDescent="0.25">
      <c r="A63" s="89">
        <v>2013</v>
      </c>
      <c r="B63" s="125">
        <f>[6]REKAPITULASI!B34</f>
        <v>6.0521262377290004E-2</v>
      </c>
      <c r="C63" s="120">
        <f t="shared" si="22"/>
        <v>1.2709465099230901</v>
      </c>
      <c r="D63" s="125">
        <f>[6]REKAPITULASI!D34</f>
        <v>1.396644516399E-3</v>
      </c>
      <c r="E63" s="120">
        <f t="shared" si="23"/>
        <v>0.43295980008369001</v>
      </c>
      <c r="F63" s="162">
        <f>SUM(C63+E63)</f>
        <v>1.7039063100067802</v>
      </c>
      <c r="H63" s="89">
        <v>2013</v>
      </c>
      <c r="I63" s="131">
        <f t="shared" si="25"/>
        <v>67.242160463263161</v>
      </c>
      <c r="J63" s="160">
        <f t="shared" si="26"/>
        <v>67242.160463263164</v>
      </c>
    </row>
    <row r="64" spans="1:10" x14ac:dyDescent="0.25">
      <c r="A64" s="89">
        <v>2014</v>
      </c>
      <c r="B64" s="125">
        <f>[6]REKAPITULASI!B35</f>
        <v>6.1618405139719994E-2</v>
      </c>
      <c r="C64" s="120">
        <f t="shared" si="22"/>
        <v>1.29398650793412</v>
      </c>
      <c r="D64" s="125">
        <f>[6]REKAPITULASI!D35</f>
        <v>1.4219631955319999E-3</v>
      </c>
      <c r="E64" s="120">
        <f t="shared" si="23"/>
        <v>0.44080859061492</v>
      </c>
      <c r="F64" s="162">
        <f t="shared" si="24"/>
        <v>1.7347950985490399</v>
      </c>
      <c r="H64" s="89">
        <v>2014</v>
      </c>
      <c r="I64" s="131">
        <f t="shared" si="25"/>
        <v>69.623098100860062</v>
      </c>
      <c r="J64" s="160">
        <f t="shared" si="26"/>
        <v>69623.098100860065</v>
      </c>
    </row>
    <row r="65" spans="1:10" x14ac:dyDescent="0.25">
      <c r="A65" s="89">
        <v>2015</v>
      </c>
      <c r="B65" s="125">
        <f>[6]REKAPITULASI!B36</f>
        <v>6.2685405498430005E-2</v>
      </c>
      <c r="C65" s="120">
        <f t="shared" si="22"/>
        <v>1.3163935154670301</v>
      </c>
      <c r="D65" s="125">
        <f>[6]REKAPITULASI!D36</f>
        <v>1.4465862807329999E-3</v>
      </c>
      <c r="E65" s="120">
        <f t="shared" si="23"/>
        <v>0.44844174702723</v>
      </c>
      <c r="F65" s="162">
        <f t="shared" si="24"/>
        <v>1.76483526249426</v>
      </c>
      <c r="H65" s="89">
        <v>2015</v>
      </c>
      <c r="I65" s="131">
        <f t="shared" si="25"/>
        <v>71.820442503567037</v>
      </c>
      <c r="J65" s="160">
        <f t="shared" si="26"/>
        <v>71820.442503567043</v>
      </c>
    </row>
    <row r="66" spans="1:10" x14ac:dyDescent="0.25">
      <c r="A66" s="89">
        <v>2016</v>
      </c>
      <c r="B66" s="125">
        <f>[6]REKAPITULASI!B37</f>
        <v>6.3743851931759993E-2</v>
      </c>
      <c r="C66" s="120">
        <f t="shared" si="22"/>
        <v>1.3386208905669599</v>
      </c>
      <c r="D66" s="125">
        <f>[6]REKAPITULASI!D37</f>
        <v>1.4710119676559997E-3</v>
      </c>
      <c r="E66" s="120">
        <f t="shared" si="23"/>
        <v>0.45601370997335994</v>
      </c>
      <c r="F66" s="162">
        <f t="shared" si="24"/>
        <v>1.7946346005403198</v>
      </c>
      <c r="H66" s="89">
        <v>2016</v>
      </c>
      <c r="I66" s="131">
        <f t="shared" si="25"/>
        <v>73.873650876509515</v>
      </c>
      <c r="J66" s="160">
        <f t="shared" si="26"/>
        <v>73873.65087650952</v>
      </c>
    </row>
    <row r="67" spans="1:10" x14ac:dyDescent="0.25">
      <c r="A67" s="89">
        <v>2017</v>
      </c>
      <c r="B67" s="125">
        <f>[6]REKAPITULASI!B38</f>
        <v>6.6189969093104997E-2</v>
      </c>
      <c r="C67" s="120">
        <f t="shared" si="22"/>
        <v>1.389989350955205</v>
      </c>
      <c r="D67" s="125">
        <f>[6]REKAPITULASI!D38</f>
        <v>1.5274608252254999E-3</v>
      </c>
      <c r="E67" s="120">
        <f t="shared" si="23"/>
        <v>0.47351285581990499</v>
      </c>
      <c r="F67" s="162">
        <f t="shared" si="24"/>
        <v>1.8635022067751099</v>
      </c>
      <c r="H67" s="89">
        <v>2017</v>
      </c>
      <c r="I67" s="131">
        <f t="shared" si="25"/>
        <v>75.863282361568167</v>
      </c>
      <c r="J67" s="160">
        <f t="shared" si="26"/>
        <v>75863.28236156817</v>
      </c>
    </row>
    <row r="68" spans="1:10" x14ac:dyDescent="0.25">
      <c r="A68" s="89">
        <v>2018</v>
      </c>
      <c r="B68" s="125">
        <f>[6]REKAPITULASI!B39</f>
        <v>6.7727537180160016E-2</v>
      </c>
      <c r="C68" s="120">
        <f t="shared" si="22"/>
        <v>1.4222782807833603</v>
      </c>
      <c r="D68" s="125">
        <f>[6]REKAPITULASI!D39</f>
        <v>1.5629431656960001E-3</v>
      </c>
      <c r="E68" s="120">
        <f t="shared" si="23"/>
        <v>0.48451238136576003</v>
      </c>
      <c r="F68" s="162">
        <f t="shared" si="24"/>
        <v>1.9067906621491204</v>
      </c>
      <c r="H68" s="89">
        <v>2018</v>
      </c>
      <c r="I68" s="131">
        <f t="shared" si="25"/>
        <v>78.188193220998016</v>
      </c>
      <c r="J68" s="160">
        <f t="shared" si="26"/>
        <v>78188.193220998015</v>
      </c>
    </row>
    <row r="69" spans="1:10" x14ac:dyDescent="0.25">
      <c r="A69" s="89">
        <v>2019</v>
      </c>
      <c r="B69" s="125">
        <f>[6]REKAPITULASI!B40</f>
        <v>6.9265105267214994E-2</v>
      </c>
      <c r="C69" s="120">
        <f t="shared" si="22"/>
        <v>1.4545672106115148</v>
      </c>
      <c r="D69" s="125">
        <f>[6]REKAPITULASI!D40</f>
        <v>1.5984255061664999E-3</v>
      </c>
      <c r="E69" s="120">
        <f t="shared" si="23"/>
        <v>0.49551190691161495</v>
      </c>
      <c r="F69" s="162">
        <f t="shared" si="24"/>
        <v>1.9500791175231298</v>
      </c>
      <c r="H69" s="89">
        <v>2019</v>
      </c>
      <c r="I69" s="131">
        <f t="shared" si="25"/>
        <v>80.472826376138698</v>
      </c>
      <c r="J69" s="160">
        <f t="shared" si="26"/>
        <v>80472.826376138692</v>
      </c>
    </row>
    <row r="70" spans="1:10" x14ac:dyDescent="0.25">
      <c r="A70" s="89">
        <v>2020</v>
      </c>
      <c r="B70" s="125">
        <f>[6]REKAPITULASI!B41</f>
        <v>7.0802673354270013E-2</v>
      </c>
      <c r="C70" s="120">
        <f t="shared" si="22"/>
        <v>1.4868561404396703</v>
      </c>
      <c r="D70" s="125">
        <f>[6]REKAPITULASI!D41</f>
        <v>1.6339078466370001E-3</v>
      </c>
      <c r="E70" s="120">
        <f t="shared" si="23"/>
        <v>0.50651143245746999</v>
      </c>
      <c r="F70" s="162">
        <f t="shared" si="24"/>
        <v>1.9933675728971403</v>
      </c>
      <c r="H70" s="89">
        <v>2020</v>
      </c>
      <c r="I70" s="131">
        <f t="shared" si="25"/>
        <v>82.726854947878152</v>
      </c>
      <c r="J70" s="160">
        <f t="shared" si="26"/>
        <v>82726.85494787815</v>
      </c>
    </row>
    <row r="71" spans="1:10" x14ac:dyDescent="0.25">
      <c r="A71" s="89">
        <v>2021</v>
      </c>
      <c r="B71" s="125">
        <f>[6]REKAPITULASI!B42</f>
        <v>7.234024144132499E-2</v>
      </c>
      <c r="C71" s="120">
        <f t="shared" si="22"/>
        <v>1.5191450702678249</v>
      </c>
      <c r="D71" s="125">
        <f>[6]REKAPITULASI!D42</f>
        <v>1.6693901871074998E-3</v>
      </c>
      <c r="E71" s="120">
        <f t="shared" si="23"/>
        <v>0.51751095800332492</v>
      </c>
      <c r="F71" s="162">
        <f t="shared" si="24"/>
        <v>2.0366560282711497</v>
      </c>
      <c r="H71" s="89">
        <v>2021</v>
      </c>
      <c r="I71" s="131">
        <f t="shared" si="25"/>
        <v>84.95718544363875</v>
      </c>
      <c r="J71" s="160">
        <f>I71*$J$57</f>
        <v>84957.185443638751</v>
      </c>
    </row>
    <row r="72" spans="1:10" x14ac:dyDescent="0.25">
      <c r="A72" s="89">
        <v>2022</v>
      </c>
      <c r="B72" s="125">
        <f>[6]REKAPITULASI!B43</f>
        <v>7.3877809528380009E-2</v>
      </c>
      <c r="C72" s="120">
        <f t="shared" si="22"/>
        <v>1.5514340000959801</v>
      </c>
      <c r="D72" s="125">
        <f>[6]REKAPITULASI!D43</f>
        <v>1.7048725275780002E-3</v>
      </c>
      <c r="E72" s="120">
        <f t="shared" si="23"/>
        <v>0.52851048354918007</v>
      </c>
      <c r="F72" s="162">
        <f t="shared" si="24"/>
        <v>2.0799444836451602</v>
      </c>
      <c r="H72" s="89">
        <v>2022</v>
      </c>
      <c r="I72" s="131">
        <f t="shared" si="25"/>
        <v>87.168813365657499</v>
      </c>
      <c r="J72" s="160">
        <f t="shared" ref="J72:J81" si="27">I72*$J$57</f>
        <v>87168.813365657494</v>
      </c>
    </row>
    <row r="73" spans="1:10" x14ac:dyDescent="0.25">
      <c r="A73" s="89">
        <v>2023</v>
      </c>
      <c r="B73" s="125">
        <f>[6]REKAPITULASI!B44</f>
        <v>7.5415377615434986E-2</v>
      </c>
      <c r="C73" s="120">
        <f t="shared" si="22"/>
        <v>1.5837229299241347</v>
      </c>
      <c r="D73" s="125">
        <f>[6]REKAPITULASI!D44</f>
        <v>1.7403548680484998E-3</v>
      </c>
      <c r="E73" s="120">
        <f t="shared" si="23"/>
        <v>0.53951000909503488</v>
      </c>
      <c r="F73" s="162">
        <f t="shared" si="24"/>
        <v>2.1232329390191698</v>
      </c>
      <c r="H73" s="89">
        <v>2023</v>
      </c>
      <c r="I73" s="131">
        <f t="shared" si="25"/>
        <v>89.365404927870799</v>
      </c>
      <c r="J73" s="160">
        <f t="shared" si="27"/>
        <v>89365.404927870797</v>
      </c>
    </row>
    <row r="74" spans="1:10" x14ac:dyDescent="0.25">
      <c r="A74" s="89">
        <v>2024</v>
      </c>
      <c r="B74" s="125">
        <f>[6]REKAPITULASI!B45</f>
        <v>7.6952945702489992E-2</v>
      </c>
      <c r="C74" s="120">
        <f t="shared" si="22"/>
        <v>1.6160118597522899</v>
      </c>
      <c r="D74" s="125">
        <f>[6]REKAPITULASI!D45</f>
        <v>1.775837208519E-3</v>
      </c>
      <c r="E74" s="120">
        <f t="shared" si="23"/>
        <v>0.55050953464089003</v>
      </c>
      <c r="F74" s="162">
        <f t="shared" si="24"/>
        <v>2.1665213943931798</v>
      </c>
      <c r="H74" s="89">
        <v>2024</v>
      </c>
      <c r="I74" s="131">
        <f t="shared" si="25"/>
        <v>91.549693941875489</v>
      </c>
      <c r="J74" s="160">
        <f t="shared" si="27"/>
        <v>91549.693941875492</v>
      </c>
    </row>
    <row r="75" spans="1:10" x14ac:dyDescent="0.25">
      <c r="A75" s="89">
        <v>2025</v>
      </c>
      <c r="B75" s="125">
        <f>[6]REKAPITULASI!B46</f>
        <v>7.8490513789544997E-2</v>
      </c>
      <c r="C75" s="120">
        <f t="shared" si="22"/>
        <v>1.6483007895804449</v>
      </c>
      <c r="D75" s="125">
        <f>[6]REKAPITULASI!D46</f>
        <v>1.8113195489894999E-3</v>
      </c>
      <c r="E75" s="120">
        <f t="shared" si="23"/>
        <v>0.56150906018674496</v>
      </c>
      <c r="F75" s="162">
        <f t="shared" si="24"/>
        <v>2.2098098497671899</v>
      </c>
      <c r="H75" s="89">
        <v>2025</v>
      </c>
      <c r="I75" s="131">
        <f t="shared" si="25"/>
        <v>93.723753761270189</v>
      </c>
      <c r="J75" s="160">
        <f t="shared" si="27"/>
        <v>93723.753761270185</v>
      </c>
    </row>
    <row r="76" spans="1:10" x14ac:dyDescent="0.25">
      <c r="A76" s="89">
        <v>2026</v>
      </c>
      <c r="B76" s="125">
        <f>[6]REKAPITULASI!B47</f>
        <v>8.0028081876599988E-2</v>
      </c>
      <c r="C76" s="120">
        <f t="shared" si="22"/>
        <v>1.6805897194085997</v>
      </c>
      <c r="D76" s="125">
        <f>[6]REKAPITULASI!D47</f>
        <v>1.8468018894599995E-3</v>
      </c>
      <c r="E76" s="120">
        <f t="shared" si="23"/>
        <v>0.57250858573259988</v>
      </c>
      <c r="F76" s="162">
        <f t="shared" si="24"/>
        <v>2.2530983051411995</v>
      </c>
      <c r="H76" s="89">
        <v>2026</v>
      </c>
      <c r="I76" s="131">
        <f t="shared" si="25"/>
        <v>95.889184590112649</v>
      </c>
      <c r="J76" s="160">
        <f t="shared" si="27"/>
        <v>95889.184590112651</v>
      </c>
    </row>
    <row r="77" spans="1:10" x14ac:dyDescent="0.25">
      <c r="A77" s="89">
        <v>2027</v>
      </c>
      <c r="B77" s="125">
        <f>[6]REKAPITULASI!B48</f>
        <v>8.1565649963654993E-2</v>
      </c>
      <c r="C77" s="120">
        <f t="shared" si="22"/>
        <v>1.7128786492367549</v>
      </c>
      <c r="D77" s="125">
        <f>[6]REKAPITULASI!D48</f>
        <v>1.8822842299305001E-3</v>
      </c>
      <c r="E77" s="120">
        <f t="shared" si="23"/>
        <v>0.58350811127845503</v>
      </c>
      <c r="F77" s="162">
        <f t="shared" si="24"/>
        <v>2.29638676051521</v>
      </c>
      <c r="H77" s="89">
        <v>2027</v>
      </c>
      <c r="I77" s="131">
        <f t="shared" si="25"/>
        <v>98.047243309029255</v>
      </c>
      <c r="J77" s="160">
        <f t="shared" si="27"/>
        <v>98047.243309029262</v>
      </c>
    </row>
    <row r="78" spans="1:10" x14ac:dyDescent="0.25">
      <c r="A78" s="89">
        <v>2028</v>
      </c>
      <c r="B78" s="125">
        <f>[6]REKAPITULASI!B49</f>
        <v>8.3103218050709984E-2</v>
      </c>
      <c r="C78" s="120">
        <f t="shared" si="22"/>
        <v>1.7451675790649097</v>
      </c>
      <c r="D78" s="125">
        <f>[6]REKAPITULASI!D49</f>
        <v>1.9177665704009997E-3</v>
      </c>
      <c r="E78" s="120">
        <f t="shared" si="23"/>
        <v>0.59450763682430985</v>
      </c>
      <c r="F78" s="162">
        <f t="shared" si="24"/>
        <v>2.3396752158892196</v>
      </c>
      <c r="H78" s="89">
        <v>2028</v>
      </c>
      <c r="I78" s="131">
        <f t="shared" si="25"/>
        <v>100.19893413527308</v>
      </c>
      <c r="J78" s="160">
        <f t="shared" si="27"/>
        <v>100198.93413527308</v>
      </c>
    </row>
    <row r="79" spans="1:10" x14ac:dyDescent="0.25">
      <c r="A79" s="89">
        <v>2029</v>
      </c>
      <c r="B79" s="125">
        <f>[6]REKAPITULASI!B50</f>
        <v>8.4640786137764976E-2</v>
      </c>
      <c r="C79" s="120">
        <f t="shared" si="22"/>
        <v>1.7774565088930645</v>
      </c>
      <c r="D79" s="125">
        <f>[6]REKAPITULASI!D50</f>
        <v>1.9532489108714996E-3</v>
      </c>
      <c r="E79" s="120">
        <f t="shared" si="23"/>
        <v>0.60550716237016489</v>
      </c>
      <c r="F79" s="162">
        <f t="shared" si="24"/>
        <v>2.3829636712632292</v>
      </c>
      <c r="H79" s="89">
        <v>2029</v>
      </c>
      <c r="I79" s="131">
        <f t="shared" si="25"/>
        <v>102.34507249147231</v>
      </c>
      <c r="J79" s="160">
        <f t="shared" si="27"/>
        <v>102345.07249147231</v>
      </c>
    </row>
    <row r="80" spans="1:10" x14ac:dyDescent="0.25">
      <c r="A80" s="89">
        <v>2030</v>
      </c>
      <c r="B80" s="125">
        <f>[6]REKAPITULASI!B51</f>
        <v>8.6178354224820009E-2</v>
      </c>
      <c r="C80" s="120">
        <f t="shared" si="22"/>
        <v>1.8097454387212202</v>
      </c>
      <c r="D80" s="125">
        <f>[6]REKAPITULASI!D51</f>
        <v>1.9887312513420003E-3</v>
      </c>
      <c r="E80" s="120">
        <f t="shared" si="23"/>
        <v>0.61650668791602004</v>
      </c>
      <c r="F80" s="162">
        <f t="shared" si="24"/>
        <v>2.4262521266372401</v>
      </c>
      <c r="H80" s="89">
        <v>2030</v>
      </c>
      <c r="I80" s="131">
        <f t="shared" si="25"/>
        <v>104.48633046006064</v>
      </c>
      <c r="J80" s="160">
        <f t="shared" si="27"/>
        <v>104486.33046006065</v>
      </c>
    </row>
    <row r="81" spans="1:10" x14ac:dyDescent="0.25">
      <c r="A81" s="89">
        <v>2031</v>
      </c>
      <c r="B81" s="119"/>
      <c r="C81" s="120">
        <f t="shared" si="22"/>
        <v>0</v>
      </c>
      <c r="D81" s="119"/>
      <c r="E81" s="120">
        <f t="shared" si="23"/>
        <v>0</v>
      </c>
      <c r="F81" s="121">
        <f t="shared" si="24"/>
        <v>0</v>
      </c>
      <c r="H81" s="89">
        <v>2031</v>
      </c>
      <c r="I81" s="131">
        <f t="shared" si="25"/>
        <v>0</v>
      </c>
      <c r="J81" s="160">
        <f t="shared" si="27"/>
        <v>0</v>
      </c>
    </row>
    <row r="84" spans="1:10" x14ac:dyDescent="0.25">
      <c r="A84" s="122"/>
      <c r="B84" s="100"/>
      <c r="C84" s="101"/>
      <c r="D84" s="100"/>
      <c r="E84" s="101"/>
      <c r="F84" s="101"/>
    </row>
    <row r="85" spans="1:10" x14ac:dyDescent="0.25">
      <c r="A85" s="123" t="s">
        <v>144</v>
      </c>
      <c r="B85" s="101"/>
      <c r="C85" s="100"/>
      <c r="D85" s="101"/>
      <c r="G85" s="95">
        <v>1000</v>
      </c>
    </row>
    <row r="86" spans="1:10" ht="18" x14ac:dyDescent="0.25">
      <c r="A86" s="211" t="s">
        <v>11</v>
      </c>
      <c r="B86" s="212" t="s">
        <v>137</v>
      </c>
      <c r="C86" s="212"/>
      <c r="D86" s="208" t="s">
        <v>138</v>
      </c>
      <c r="E86" s="208"/>
      <c r="F86" s="210" t="s">
        <v>95</v>
      </c>
      <c r="G86" s="210"/>
    </row>
    <row r="87" spans="1:10" ht="81" x14ac:dyDescent="0.25">
      <c r="A87" s="211"/>
      <c r="B87" s="154" t="s">
        <v>139</v>
      </c>
      <c r="C87" s="154" t="s">
        <v>140</v>
      </c>
      <c r="D87" s="155" t="s">
        <v>141</v>
      </c>
      <c r="E87" s="155" t="s">
        <v>142</v>
      </c>
      <c r="F87" s="156" t="s">
        <v>143</v>
      </c>
      <c r="G87" s="156" t="s">
        <v>148</v>
      </c>
    </row>
    <row r="88" spans="1:10" x14ac:dyDescent="0.25">
      <c r="A88" s="211"/>
      <c r="B88" s="213" t="s">
        <v>101</v>
      </c>
      <c r="C88" s="157" t="s">
        <v>102</v>
      </c>
      <c r="D88" s="158" t="s">
        <v>103</v>
      </c>
      <c r="E88" s="158" t="s">
        <v>104</v>
      </c>
      <c r="F88" s="159" t="s">
        <v>105</v>
      </c>
      <c r="G88" s="159" t="s">
        <v>105</v>
      </c>
    </row>
    <row r="89" spans="1:10" x14ac:dyDescent="0.25">
      <c r="A89" s="211"/>
      <c r="B89" s="213"/>
      <c r="C89" s="157" t="s">
        <v>106</v>
      </c>
      <c r="D89" s="158"/>
      <c r="E89" s="158" t="s">
        <v>107</v>
      </c>
      <c r="F89" s="159" t="s">
        <v>108</v>
      </c>
      <c r="G89" s="159" t="s">
        <v>108</v>
      </c>
    </row>
    <row r="90" spans="1:10" x14ac:dyDescent="0.25">
      <c r="A90" s="89">
        <v>2011</v>
      </c>
      <c r="B90" s="126">
        <f>[6]REKAPITULASI!B59</f>
        <v>0.59777069523839998</v>
      </c>
      <c r="C90" s="129">
        <f>B90*21</f>
        <v>12.5531846000064</v>
      </c>
      <c r="D90" s="128">
        <f>[6]REKAPITULASI!D59</f>
        <v>2.0315311179428572E-2</v>
      </c>
      <c r="E90" s="124">
        <f>D90*310</f>
        <v>6.2977464656228577</v>
      </c>
      <c r="F90" s="127">
        <f>C90+E90</f>
        <v>18.850931065629258</v>
      </c>
      <c r="G90" s="132">
        <f>F90*$G$85</f>
        <v>18850.931065629258</v>
      </c>
    </row>
    <row r="91" spans="1:10" x14ac:dyDescent="0.25">
      <c r="A91" s="89">
        <v>2012</v>
      </c>
      <c r="B91" s="126">
        <f>[6]REKAPITULASI!B60</f>
        <v>0.60935452398719991</v>
      </c>
      <c r="C91" s="129">
        <f t="shared" ref="C91:C110" si="28">B91*21</f>
        <v>12.796445003731199</v>
      </c>
      <c r="D91" s="128">
        <f>[6]REKAPITULASI!D60</f>
        <v>1.9962900822857146E-2</v>
      </c>
      <c r="E91" s="124">
        <f t="shared" ref="E91:E110" si="29">D91*310</f>
        <v>6.1884992550857154</v>
      </c>
      <c r="F91" s="127">
        <f t="shared" ref="F91:F110" si="30">C91+E91</f>
        <v>18.984944258816913</v>
      </c>
      <c r="G91" s="132">
        <f t="shared" ref="G91:G109" si="31">F91*$G$85</f>
        <v>18984.944258816915</v>
      </c>
    </row>
    <row r="92" spans="1:10" x14ac:dyDescent="0.25">
      <c r="A92" s="89">
        <v>2013</v>
      </c>
      <c r="B92" s="126">
        <f>[6]REKAPITULASI!B61</f>
        <v>0.62089865346720008</v>
      </c>
      <c r="C92" s="129">
        <f t="shared" si="28"/>
        <v>13.038871722811201</v>
      </c>
      <c r="D92" s="128">
        <f>[6]REKAPITULASI!D61</f>
        <v>2.0053443117714287E-2</v>
      </c>
      <c r="E92" s="124">
        <f t="shared" si="29"/>
        <v>6.2165673664914287</v>
      </c>
      <c r="F92" s="127">
        <f t="shared" si="30"/>
        <v>19.25543908930263</v>
      </c>
      <c r="G92" s="132">
        <f t="shared" si="31"/>
        <v>19255.439089302628</v>
      </c>
    </row>
    <row r="93" spans="1:10" x14ac:dyDescent="0.25">
      <c r="A93" s="89">
        <v>2014</v>
      </c>
      <c r="B93" s="126">
        <f>[6]REKAPITULASI!B62</f>
        <v>0.63215444088960004</v>
      </c>
      <c r="C93" s="129">
        <f t="shared" si="28"/>
        <v>13.2752432586816</v>
      </c>
      <c r="D93" s="128">
        <f>[6]REKAPITULASI!D62</f>
        <v>2.0870222065523813E-2</v>
      </c>
      <c r="E93" s="124">
        <f t="shared" si="29"/>
        <v>6.4697688403123816</v>
      </c>
      <c r="F93" s="127">
        <f t="shared" si="30"/>
        <v>19.745012098993982</v>
      </c>
      <c r="G93" s="132">
        <f t="shared" si="31"/>
        <v>19745.012098993982</v>
      </c>
    </row>
    <row r="94" spans="1:10" x14ac:dyDescent="0.25">
      <c r="A94" s="89">
        <v>2015</v>
      </c>
      <c r="B94" s="126">
        <f>[6]REKAPITULASI!B63</f>
        <v>0.64310099190240011</v>
      </c>
      <c r="C94" s="129">
        <f t="shared" si="28"/>
        <v>13.505120829950402</v>
      </c>
      <c r="D94" s="128">
        <f>[6]REKAPITULASI!D63</f>
        <v>2.1231616268761907E-2</v>
      </c>
      <c r="E94" s="124">
        <f t="shared" si="29"/>
        <v>6.5818010433161911</v>
      </c>
      <c r="F94" s="127">
        <f t="shared" si="30"/>
        <v>20.086921873266594</v>
      </c>
      <c r="G94" s="132">
        <f t="shared" si="31"/>
        <v>20086.921873266594</v>
      </c>
    </row>
    <row r="95" spans="1:10" x14ac:dyDescent="0.25">
      <c r="A95" s="89">
        <v>2016</v>
      </c>
      <c r="B95" s="126">
        <f>[6]REKAPITULASI!B64</f>
        <v>0.65395978663679977</v>
      </c>
      <c r="C95" s="129">
        <f t="shared" si="28"/>
        <v>13.733155519372795</v>
      </c>
      <c r="D95" s="128">
        <f>[6]REKAPITULASI!D64</f>
        <v>2.1590113248E-2</v>
      </c>
      <c r="E95" s="124">
        <f t="shared" si="29"/>
        <v>6.6929351068800003</v>
      </c>
      <c r="F95" s="127">
        <f t="shared" si="30"/>
        <v>20.426090626252794</v>
      </c>
      <c r="G95" s="132">
        <f t="shared" si="31"/>
        <v>20426.090626252793</v>
      </c>
    </row>
    <row r="96" spans="1:10" x14ac:dyDescent="0.25">
      <c r="A96" s="89">
        <v>2017</v>
      </c>
      <c r="B96" s="126">
        <f>[6]REKAPITULASI!B65</f>
        <v>0.6790549481064001</v>
      </c>
      <c r="C96" s="129">
        <f t="shared" si="28"/>
        <v>14.260153910234402</v>
      </c>
      <c r="D96" s="128">
        <f>[6]REKAPITULASI!D65</f>
        <v>2.2418615839714291E-2</v>
      </c>
      <c r="E96" s="124">
        <f t="shared" si="29"/>
        <v>6.9497709103114298</v>
      </c>
      <c r="F96" s="127">
        <f t="shared" si="30"/>
        <v>21.209924820545833</v>
      </c>
      <c r="G96" s="132">
        <f t="shared" si="31"/>
        <v>21209.924820545832</v>
      </c>
    </row>
    <row r="97" spans="1:7" x14ac:dyDescent="0.25">
      <c r="A97" s="89">
        <v>2018</v>
      </c>
      <c r="B97" s="126">
        <f>[6]REKAPITULASI!B66</f>
        <v>0.69482913914879996</v>
      </c>
      <c r="C97" s="129">
        <f t="shared" si="28"/>
        <v>14.591411922124799</v>
      </c>
      <c r="D97" s="128">
        <f>[6]REKAPITULASI!D66</f>
        <v>2.293939185371429E-2</v>
      </c>
      <c r="E97" s="124">
        <f t="shared" si="29"/>
        <v>7.1112114746514301</v>
      </c>
      <c r="F97" s="127">
        <f t="shared" si="30"/>
        <v>21.702623396776229</v>
      </c>
      <c r="G97" s="132">
        <f t="shared" si="31"/>
        <v>21702.623396776227</v>
      </c>
    </row>
    <row r="98" spans="1:7" x14ac:dyDescent="0.25">
      <c r="A98" s="89">
        <v>2019</v>
      </c>
      <c r="B98" s="126">
        <f>[6]REKAPITULASI!B67</f>
        <v>0.71060333019120003</v>
      </c>
      <c r="C98" s="129">
        <f t="shared" si="28"/>
        <v>14.9226699340152</v>
      </c>
      <c r="D98" s="128">
        <f>[6]REKAPITULASI!D67</f>
        <v>2.346016786771429E-2</v>
      </c>
      <c r="E98" s="124">
        <f t="shared" si="29"/>
        <v>7.2726520389914295</v>
      </c>
      <c r="F98" s="127">
        <f t="shared" si="30"/>
        <v>22.195321973006628</v>
      </c>
      <c r="G98" s="132">
        <f t="shared" si="31"/>
        <v>22195.321973006627</v>
      </c>
    </row>
    <row r="99" spans="1:7" x14ac:dyDescent="0.25">
      <c r="A99" s="89">
        <v>2020</v>
      </c>
      <c r="B99" s="126">
        <f>[6]REKAPITULASI!B68</f>
        <v>0.72637752123360011</v>
      </c>
      <c r="C99" s="129">
        <f t="shared" si="28"/>
        <v>15.253927945905602</v>
      </c>
      <c r="D99" s="128">
        <f>[6]REKAPITULASI!D68</f>
        <v>2.3980943881714289E-2</v>
      </c>
      <c r="E99" s="124">
        <f t="shared" si="29"/>
        <v>7.4340926033314298</v>
      </c>
      <c r="F99" s="127">
        <f t="shared" si="30"/>
        <v>22.688020549237031</v>
      </c>
      <c r="G99" s="132">
        <f t="shared" si="31"/>
        <v>22688.02054923703</v>
      </c>
    </row>
    <row r="100" spans="1:7" x14ac:dyDescent="0.25">
      <c r="A100" s="89">
        <v>2021</v>
      </c>
      <c r="B100" s="126">
        <f>[6]REKAPITULASI!B69</f>
        <v>0.74215171227599996</v>
      </c>
      <c r="C100" s="129">
        <f t="shared" si="28"/>
        <v>15.585185957796</v>
      </c>
      <c r="D100" s="128">
        <f>[6]REKAPITULASI!D69</f>
        <v>2.4501719895714286E-2</v>
      </c>
      <c r="E100" s="124">
        <f t="shared" si="29"/>
        <v>7.5955331676714284</v>
      </c>
      <c r="F100" s="127">
        <f t="shared" si="30"/>
        <v>23.180719125467427</v>
      </c>
      <c r="G100" s="132">
        <f t="shared" si="31"/>
        <v>23180.719125467425</v>
      </c>
    </row>
    <row r="101" spans="1:7" x14ac:dyDescent="0.25">
      <c r="A101" s="89">
        <v>2022</v>
      </c>
      <c r="B101" s="126">
        <f>[6]REKAPITULASI!B70</f>
        <v>0.75792590331840004</v>
      </c>
      <c r="C101" s="129">
        <f t="shared" si="28"/>
        <v>15.916443969686402</v>
      </c>
      <c r="D101" s="128">
        <f>[6]REKAPITULASI!D70</f>
        <v>2.5022495909714285E-2</v>
      </c>
      <c r="E101" s="124">
        <f t="shared" si="29"/>
        <v>7.7569737320114287</v>
      </c>
      <c r="F101" s="127">
        <f t="shared" si="30"/>
        <v>23.673417701697829</v>
      </c>
      <c r="G101" s="132">
        <f t="shared" si="31"/>
        <v>23673.417701697828</v>
      </c>
    </row>
    <row r="102" spans="1:7" x14ac:dyDescent="0.25">
      <c r="A102" s="89">
        <v>2023</v>
      </c>
      <c r="B102" s="126">
        <f>[6]REKAPITULASI!B71</f>
        <v>0.77370009436080001</v>
      </c>
      <c r="C102" s="129">
        <f t="shared" si="28"/>
        <v>16.2477019815768</v>
      </c>
      <c r="D102" s="128">
        <f>[6]REKAPITULASI!D71</f>
        <v>2.5543271923714292E-2</v>
      </c>
      <c r="E102" s="124">
        <f t="shared" si="29"/>
        <v>7.9184142963514308</v>
      </c>
      <c r="F102" s="127">
        <f t="shared" si="30"/>
        <v>24.166116277928232</v>
      </c>
      <c r="G102" s="132">
        <f t="shared" si="31"/>
        <v>24166.116277928231</v>
      </c>
    </row>
    <row r="103" spans="1:7" x14ac:dyDescent="0.25">
      <c r="A103" s="89">
        <v>2024</v>
      </c>
      <c r="B103" s="126">
        <f>[6]REKAPITULASI!B72</f>
        <v>0.78947428540319997</v>
      </c>
      <c r="C103" s="129">
        <f t="shared" si="28"/>
        <v>16.578959993467201</v>
      </c>
      <c r="D103" s="128">
        <f>[6]REKAPITULASI!D72</f>
        <v>2.6064047937714285E-2</v>
      </c>
      <c r="E103" s="124">
        <f t="shared" si="29"/>
        <v>8.0798548606914284</v>
      </c>
      <c r="F103" s="127">
        <f t="shared" si="30"/>
        <v>24.658814854158628</v>
      </c>
      <c r="G103" s="132">
        <f t="shared" si="31"/>
        <v>24658.814854158627</v>
      </c>
    </row>
    <row r="104" spans="1:7" x14ac:dyDescent="0.25">
      <c r="A104" s="89">
        <v>2025</v>
      </c>
      <c r="B104" s="126">
        <f>[6]REKAPITULASI!B73</f>
        <v>0.80524847644560005</v>
      </c>
      <c r="C104" s="129">
        <f t="shared" si="28"/>
        <v>16.910218005357599</v>
      </c>
      <c r="D104" s="128">
        <f>[6]REKAPITULASI!D73</f>
        <v>2.6584823951714291E-2</v>
      </c>
      <c r="E104" s="124">
        <f t="shared" si="29"/>
        <v>8.2412954250314296</v>
      </c>
      <c r="F104" s="127">
        <f t="shared" si="30"/>
        <v>25.151513430389031</v>
      </c>
      <c r="G104" s="132">
        <f t="shared" si="31"/>
        <v>25151.51343038903</v>
      </c>
    </row>
    <row r="105" spans="1:7" x14ac:dyDescent="0.25">
      <c r="A105" s="89">
        <v>2026</v>
      </c>
      <c r="B105" s="126">
        <f>[6]REKAPITULASI!B74</f>
        <v>0.82102266748800012</v>
      </c>
      <c r="C105" s="129">
        <f t="shared" si="28"/>
        <v>17.241476017248004</v>
      </c>
      <c r="D105" s="128">
        <f>[6]REKAPITULASI!D74</f>
        <v>2.7105599965714287E-2</v>
      </c>
      <c r="E105" s="124">
        <f t="shared" si="29"/>
        <v>8.4027359893714291</v>
      </c>
      <c r="F105" s="127">
        <f t="shared" si="30"/>
        <v>25.644212006619433</v>
      </c>
      <c r="G105" s="132">
        <f t="shared" si="31"/>
        <v>25644.212006619433</v>
      </c>
    </row>
    <row r="106" spans="1:7" x14ac:dyDescent="0.25">
      <c r="A106" s="89">
        <v>2027</v>
      </c>
      <c r="B106" s="126">
        <f>[6]REKAPITULASI!B75</f>
        <v>0.83679685853039998</v>
      </c>
      <c r="C106" s="129">
        <f t="shared" si="28"/>
        <v>17.572734029138399</v>
      </c>
      <c r="D106" s="128">
        <f>[6]REKAPITULASI!D75</f>
        <v>2.7626375979714287E-2</v>
      </c>
      <c r="E106" s="124">
        <f t="shared" si="29"/>
        <v>8.5641765537114285</v>
      </c>
      <c r="F106" s="127">
        <f t="shared" si="30"/>
        <v>26.136910582849829</v>
      </c>
      <c r="G106" s="132">
        <f t="shared" si="31"/>
        <v>26136.910582849829</v>
      </c>
    </row>
    <row r="107" spans="1:7" x14ac:dyDescent="0.25">
      <c r="A107" s="89">
        <v>2028</v>
      </c>
      <c r="B107" s="126">
        <f>[6]REKAPITULASI!B76</f>
        <v>0.85257104957279994</v>
      </c>
      <c r="C107" s="129">
        <f t="shared" si="28"/>
        <v>17.9039920410288</v>
      </c>
      <c r="D107" s="128">
        <f>[6]REKAPITULASI!D76</f>
        <v>2.814715199371429E-2</v>
      </c>
      <c r="E107" s="124">
        <f t="shared" si="29"/>
        <v>8.7256171180514297</v>
      </c>
      <c r="F107" s="127">
        <f t="shared" si="30"/>
        <v>26.629609159080232</v>
      </c>
      <c r="G107" s="132">
        <f t="shared" si="31"/>
        <v>26629.609159080232</v>
      </c>
    </row>
    <row r="108" spans="1:7" x14ac:dyDescent="0.25">
      <c r="A108" s="89">
        <v>2029</v>
      </c>
      <c r="B108" s="126">
        <f>[6]REKAPITULASI!B77</f>
        <v>0.86834524061519991</v>
      </c>
      <c r="C108" s="129">
        <f t="shared" si="28"/>
        <v>18.235250052919199</v>
      </c>
      <c r="D108" s="128">
        <f>[6]REKAPITULASI!D77</f>
        <v>2.866792800771429E-2</v>
      </c>
      <c r="E108" s="124">
        <f t="shared" si="29"/>
        <v>8.8870576823914291</v>
      </c>
      <c r="F108" s="127">
        <f t="shared" si="30"/>
        <v>27.122307735310628</v>
      </c>
      <c r="G108" s="132">
        <f t="shared" si="31"/>
        <v>27122.307735310627</v>
      </c>
    </row>
    <row r="109" spans="1:7" x14ac:dyDescent="0.25">
      <c r="A109" s="89">
        <v>2030</v>
      </c>
      <c r="B109" s="126">
        <f>[6]REKAPITULASI!B78</f>
        <v>0.8841194316576001</v>
      </c>
      <c r="C109" s="129">
        <f t="shared" si="28"/>
        <v>18.566508064809604</v>
      </c>
      <c r="D109" s="128">
        <f>[6]REKAPITULASI!D78</f>
        <v>2.9188704021714289E-2</v>
      </c>
      <c r="E109" s="124">
        <f t="shared" si="29"/>
        <v>9.0484982467314303</v>
      </c>
      <c r="F109" s="127">
        <f t="shared" si="30"/>
        <v>27.615006311541034</v>
      </c>
      <c r="G109" s="132">
        <f t="shared" si="31"/>
        <v>27615.006311541034</v>
      </c>
    </row>
    <row r="110" spans="1:7" x14ac:dyDescent="0.25">
      <c r="A110" s="89">
        <v>2031</v>
      </c>
      <c r="B110" s="126"/>
      <c r="C110" s="129">
        <f t="shared" si="28"/>
        <v>0</v>
      </c>
      <c r="D110" s="128"/>
      <c r="E110" s="124">
        <f t="shared" si="29"/>
        <v>0</v>
      </c>
      <c r="F110" s="127">
        <f t="shared" si="30"/>
        <v>0</v>
      </c>
      <c r="G110" s="98"/>
    </row>
  </sheetData>
  <mergeCells count="32">
    <mergeCell ref="D86:E86"/>
    <mergeCell ref="H59:H60"/>
    <mergeCell ref="I59:J59"/>
    <mergeCell ref="F86:G86"/>
    <mergeCell ref="A86:A89"/>
    <mergeCell ref="B86:C86"/>
    <mergeCell ref="B88:B89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workbookViewId="0">
      <selection activeCell="C5" sqref="C5"/>
    </sheetView>
  </sheetViews>
  <sheetFormatPr defaultRowHeight="12.75" x14ac:dyDescent="0.25"/>
  <cols>
    <col min="1" max="2" width="9.140625" style="134"/>
    <col min="3" max="3" width="14.5703125" style="134" customWidth="1"/>
    <col min="4" max="4" width="19.140625" style="134" customWidth="1"/>
    <col min="5" max="16384" width="9.140625" style="134"/>
  </cols>
  <sheetData>
    <row r="3" spans="2:4" x14ac:dyDescent="0.25">
      <c r="B3" s="214" t="s">
        <v>11</v>
      </c>
      <c r="C3" s="214" t="s">
        <v>152</v>
      </c>
      <c r="D3" s="214"/>
    </row>
    <row r="4" spans="2:4" x14ac:dyDescent="0.25">
      <c r="B4" s="214"/>
      <c r="C4" s="135" t="s">
        <v>151</v>
      </c>
      <c r="D4" s="135" t="s">
        <v>147</v>
      </c>
    </row>
    <row r="5" spans="2:4" ht="15" x14ac:dyDescent="0.25">
      <c r="B5" s="89">
        <v>2011</v>
      </c>
      <c r="C5" s="136"/>
      <c r="D5" s="136">
        <f>(C5*21)/1000</f>
        <v>0</v>
      </c>
    </row>
    <row r="6" spans="2:4" ht="15" x14ac:dyDescent="0.25">
      <c r="B6" s="89">
        <v>2012</v>
      </c>
      <c r="C6" s="136"/>
      <c r="D6" s="136">
        <f t="shared" ref="D6:D15" si="0">(C6*21)/1000</f>
        <v>0</v>
      </c>
    </row>
    <row r="7" spans="2:4" ht="15" x14ac:dyDescent="0.25">
      <c r="B7" s="89">
        <v>2013</v>
      </c>
      <c r="C7" s="136"/>
      <c r="D7" s="136">
        <f t="shared" si="0"/>
        <v>0</v>
      </c>
    </row>
    <row r="8" spans="2:4" ht="15" x14ac:dyDescent="0.25">
      <c r="B8" s="89">
        <v>2014</v>
      </c>
      <c r="C8" s="136"/>
      <c r="D8" s="136">
        <f t="shared" si="0"/>
        <v>0</v>
      </c>
    </row>
    <row r="9" spans="2:4" ht="15" x14ac:dyDescent="0.25">
      <c r="B9" s="89">
        <v>2015</v>
      </c>
      <c r="C9" s="136"/>
      <c r="D9" s="136">
        <f t="shared" si="0"/>
        <v>0</v>
      </c>
    </row>
    <row r="10" spans="2:4" ht="15" x14ac:dyDescent="0.25">
      <c r="B10" s="89">
        <v>2016</v>
      </c>
      <c r="C10" s="136"/>
      <c r="D10" s="136">
        <f t="shared" si="0"/>
        <v>0</v>
      </c>
    </row>
    <row r="11" spans="2:4" ht="15" x14ac:dyDescent="0.25">
      <c r="B11" s="89">
        <v>2017</v>
      </c>
      <c r="C11" s="136"/>
      <c r="D11" s="136">
        <f t="shared" si="0"/>
        <v>0</v>
      </c>
    </row>
    <row r="12" spans="2:4" ht="15" x14ac:dyDescent="0.25">
      <c r="B12" s="89">
        <v>2018</v>
      </c>
      <c r="C12" s="136"/>
      <c r="D12" s="136">
        <f t="shared" si="0"/>
        <v>0</v>
      </c>
    </row>
    <row r="13" spans="2:4" ht="15" x14ac:dyDescent="0.25">
      <c r="B13" s="89">
        <v>2019</v>
      </c>
      <c r="C13" s="136"/>
      <c r="D13" s="136">
        <f t="shared" si="0"/>
        <v>0</v>
      </c>
    </row>
    <row r="14" spans="2:4" ht="15" x14ac:dyDescent="0.25">
      <c r="B14" s="89">
        <v>2020</v>
      </c>
      <c r="C14" s="136"/>
      <c r="D14" s="136">
        <f t="shared" si="0"/>
        <v>0</v>
      </c>
    </row>
    <row r="15" spans="2:4" ht="15" x14ac:dyDescent="0.25">
      <c r="B15" s="89">
        <v>2021</v>
      </c>
      <c r="C15" s="136"/>
      <c r="D15" s="136">
        <f t="shared" si="0"/>
        <v>0</v>
      </c>
    </row>
    <row r="16" spans="2:4" ht="15" x14ac:dyDescent="0.25">
      <c r="B16" s="89">
        <v>2022</v>
      </c>
      <c r="C16" s="136"/>
      <c r="D16" s="136">
        <f t="shared" ref="D16:D25" si="1">(C16*21)/1000</f>
        <v>0</v>
      </c>
    </row>
    <row r="17" spans="2:4" ht="15" x14ac:dyDescent="0.25">
      <c r="B17" s="89">
        <v>2023</v>
      </c>
      <c r="C17" s="136"/>
      <c r="D17" s="136">
        <f t="shared" si="1"/>
        <v>0</v>
      </c>
    </row>
    <row r="18" spans="2:4" ht="15" x14ac:dyDescent="0.25">
      <c r="B18" s="89">
        <v>2024</v>
      </c>
      <c r="C18" s="136"/>
      <c r="D18" s="136">
        <f t="shared" si="1"/>
        <v>0</v>
      </c>
    </row>
    <row r="19" spans="2:4" ht="15" x14ac:dyDescent="0.25">
      <c r="B19" s="89">
        <v>2025</v>
      </c>
      <c r="C19" s="136"/>
      <c r="D19" s="136">
        <f t="shared" si="1"/>
        <v>0</v>
      </c>
    </row>
    <row r="20" spans="2:4" ht="15" x14ac:dyDescent="0.25">
      <c r="B20" s="89">
        <v>2026</v>
      </c>
      <c r="C20" s="136"/>
      <c r="D20" s="136">
        <f t="shared" si="1"/>
        <v>0</v>
      </c>
    </row>
    <row r="21" spans="2:4" ht="15" x14ac:dyDescent="0.25">
      <c r="B21" s="89">
        <v>2027</v>
      </c>
      <c r="C21" s="136"/>
      <c r="D21" s="136">
        <f t="shared" si="1"/>
        <v>0</v>
      </c>
    </row>
    <row r="22" spans="2:4" ht="15" x14ac:dyDescent="0.25">
      <c r="B22" s="89">
        <v>2028</v>
      </c>
      <c r="C22" s="136"/>
      <c r="D22" s="136">
        <f t="shared" si="1"/>
        <v>0</v>
      </c>
    </row>
    <row r="23" spans="2:4" ht="15" x14ac:dyDescent="0.25">
      <c r="B23" s="89">
        <v>2029</v>
      </c>
      <c r="C23" s="136"/>
      <c r="D23" s="136">
        <f t="shared" si="1"/>
        <v>0</v>
      </c>
    </row>
    <row r="24" spans="2:4" ht="15" x14ac:dyDescent="0.25">
      <c r="B24" s="89">
        <v>2030</v>
      </c>
      <c r="C24" s="136"/>
      <c r="D24" s="136">
        <f t="shared" si="1"/>
        <v>0</v>
      </c>
    </row>
    <row r="25" spans="2:4" ht="15" x14ac:dyDescent="0.25">
      <c r="B25" s="89">
        <v>2031</v>
      </c>
      <c r="C25" s="136"/>
      <c r="D25" s="136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65</v>
      </c>
    </row>
    <row r="5" spans="1:9" s="20" customFormat="1" ht="47.25" customHeight="1" x14ac:dyDescent="0.25">
      <c r="A5" s="25" t="s">
        <v>46</v>
      </c>
      <c r="B5" s="26" t="s">
        <v>47</v>
      </c>
      <c r="C5" s="21" t="s">
        <v>55</v>
      </c>
      <c r="D5" s="221" t="s">
        <v>54</v>
      </c>
      <c r="E5" s="221"/>
      <c r="F5" s="222" t="s">
        <v>64</v>
      </c>
      <c r="G5" s="222"/>
      <c r="H5" s="222"/>
      <c r="I5" s="222"/>
    </row>
    <row r="6" spans="1:9" s="20" customFormat="1" ht="16.5" customHeight="1" x14ac:dyDescent="0.25">
      <c r="A6" s="238" t="s">
        <v>48</v>
      </c>
      <c r="B6" s="238" t="s">
        <v>50</v>
      </c>
      <c r="C6" s="239"/>
      <c r="D6" s="228" t="s">
        <v>70</v>
      </c>
      <c r="E6" s="228"/>
      <c r="F6" s="223" t="s">
        <v>56</v>
      </c>
      <c r="G6" s="223"/>
      <c r="H6" s="223"/>
      <c r="I6" s="223"/>
    </row>
    <row r="7" spans="1:9" s="20" customFormat="1" ht="29.25" customHeight="1" x14ac:dyDescent="0.25">
      <c r="A7" s="238"/>
      <c r="B7" s="238"/>
      <c r="C7" s="239"/>
      <c r="D7" s="228"/>
      <c r="E7" s="228"/>
      <c r="F7" s="223" t="s">
        <v>57</v>
      </c>
      <c r="G7" s="223"/>
      <c r="H7" s="223"/>
      <c r="I7" s="223"/>
    </row>
    <row r="8" spans="1:9" s="20" customFormat="1" ht="51" customHeight="1" x14ac:dyDescent="0.25">
      <c r="A8" s="238"/>
      <c r="B8" s="29" t="s">
        <v>59</v>
      </c>
      <c r="C8" s="22"/>
      <c r="D8" s="228" t="s">
        <v>58</v>
      </c>
      <c r="E8" s="228"/>
      <c r="F8" s="223" t="s">
        <v>61</v>
      </c>
      <c r="G8" s="223"/>
      <c r="H8" s="223"/>
      <c r="I8" s="223"/>
    </row>
    <row r="9" spans="1:9" s="20" customFormat="1" ht="31.5" customHeight="1" x14ac:dyDescent="0.25">
      <c r="A9" s="238"/>
      <c r="B9" s="227" t="s">
        <v>51</v>
      </c>
      <c r="C9" s="22"/>
      <c r="D9" s="228" t="s">
        <v>60</v>
      </c>
      <c r="E9" s="228"/>
      <c r="F9" s="235" t="s">
        <v>66</v>
      </c>
      <c r="G9" s="236"/>
      <c r="H9" s="236"/>
      <c r="I9" s="237"/>
    </row>
    <row r="10" spans="1:9" s="20" customFormat="1" ht="20.25" customHeight="1" x14ac:dyDescent="0.25">
      <c r="A10" s="238"/>
      <c r="B10" s="227"/>
      <c r="C10" s="22"/>
      <c r="D10" s="228"/>
      <c r="E10" s="228"/>
      <c r="F10" s="223" t="s">
        <v>62</v>
      </c>
      <c r="G10" s="223"/>
      <c r="H10" s="223"/>
      <c r="I10" s="223"/>
    </row>
    <row r="11" spans="1:9" s="20" customFormat="1" ht="17.25" customHeight="1" x14ac:dyDescent="0.25">
      <c r="A11" s="238"/>
      <c r="B11" s="227"/>
      <c r="C11" s="22"/>
      <c r="D11" s="228"/>
      <c r="E11" s="228"/>
      <c r="F11" s="223" t="s">
        <v>63</v>
      </c>
      <c r="G11" s="223"/>
      <c r="H11" s="223"/>
      <c r="I11" s="223"/>
    </row>
    <row r="12" spans="1:9" s="20" customFormat="1" ht="60" customHeight="1" x14ac:dyDescent="0.25">
      <c r="A12" s="238" t="s">
        <v>49</v>
      </c>
      <c r="B12" s="27" t="s">
        <v>52</v>
      </c>
      <c r="C12" s="23"/>
      <c r="D12" s="24"/>
      <c r="E12" s="22"/>
      <c r="F12" s="229" t="s">
        <v>67</v>
      </c>
      <c r="G12" s="230"/>
      <c r="H12" s="230"/>
      <c r="I12" s="231"/>
    </row>
    <row r="13" spans="1:9" s="20" customFormat="1" ht="30" x14ac:dyDescent="0.25">
      <c r="A13" s="238"/>
      <c r="B13" s="28" t="s">
        <v>53</v>
      </c>
      <c r="C13" s="23"/>
      <c r="D13" s="24"/>
      <c r="E13" s="22"/>
      <c r="F13" s="232"/>
      <c r="G13" s="233"/>
      <c r="H13" s="233"/>
      <c r="I13" s="234"/>
    </row>
    <row r="18" spans="1:22" ht="21" x14ac:dyDescent="0.35">
      <c r="A18" s="240" t="s">
        <v>74</v>
      </c>
      <c r="B18" s="240"/>
      <c r="C18" s="240"/>
      <c r="D18" s="240"/>
      <c r="E18" s="240"/>
      <c r="F18" s="240"/>
      <c r="G18" s="240"/>
      <c r="H18" s="240"/>
      <c r="I18" s="240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69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224" t="s">
        <v>8</v>
      </c>
      <c r="B21" s="225" t="s">
        <v>40</v>
      </c>
      <c r="C21" s="225"/>
      <c r="D21" s="225"/>
      <c r="E21" s="225"/>
      <c r="F21" s="225"/>
      <c r="G21" s="225"/>
      <c r="H21" s="225"/>
      <c r="I21" s="226"/>
      <c r="K21" t="s">
        <v>22</v>
      </c>
      <c r="L21" t="s">
        <v>25</v>
      </c>
    </row>
    <row r="22" spans="1:22" ht="38.25" x14ac:dyDescent="0.25">
      <c r="A22" s="224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26"/>
      <c r="O22" s="8" t="s">
        <v>19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41</v>
      </c>
      <c r="K23" s="10" t="s">
        <v>43</v>
      </c>
    </row>
    <row r="24" spans="1:22" ht="15" customHeight="1" x14ac:dyDescent="0.25">
      <c r="A24" s="2">
        <v>2011</v>
      </c>
      <c r="B24" s="246" t="s">
        <v>71</v>
      </c>
      <c r="C24" s="35">
        <v>0</v>
      </c>
      <c r="D24" s="246" t="s">
        <v>73</v>
      </c>
      <c r="E24" s="246" t="s">
        <v>79</v>
      </c>
      <c r="F24" s="246"/>
      <c r="G24" s="246"/>
      <c r="H24" s="246"/>
      <c r="I24" s="34"/>
      <c r="K24" t="s">
        <v>26</v>
      </c>
      <c r="L24" s="15">
        <v>4000</v>
      </c>
      <c r="M24" s="16" t="s">
        <v>33</v>
      </c>
      <c r="N24" s="15">
        <v>6000</v>
      </c>
      <c r="O24" s="8" t="s">
        <v>28</v>
      </c>
      <c r="R24" s="18">
        <f>L24*1000/365</f>
        <v>10958.904109589041</v>
      </c>
      <c r="S24" s="19" t="s">
        <v>33</v>
      </c>
      <c r="T24" s="18">
        <f>N24*1000/365</f>
        <v>16438.35616438356</v>
      </c>
      <c r="U24" s="11" t="s">
        <v>31</v>
      </c>
      <c r="V24" t="s">
        <v>72</v>
      </c>
    </row>
    <row r="25" spans="1:22" ht="60" customHeight="1" x14ac:dyDescent="0.25">
      <c r="A25" s="2">
        <v>2012</v>
      </c>
      <c r="B25" s="246"/>
      <c r="C25" s="35">
        <v>0</v>
      </c>
      <c r="D25" s="246"/>
      <c r="E25" s="246"/>
      <c r="F25" s="246"/>
      <c r="G25" s="246"/>
      <c r="H25" s="246"/>
      <c r="I25" s="34"/>
      <c r="K25" t="s">
        <v>27</v>
      </c>
      <c r="L25" s="244">
        <v>1000</v>
      </c>
      <c r="M25" s="244"/>
      <c r="N25" s="244"/>
      <c r="O25" s="8" t="s">
        <v>28</v>
      </c>
      <c r="R25" s="245">
        <f>L25*1000/365</f>
        <v>2739.7260273972602</v>
      </c>
      <c r="S25" s="245"/>
      <c r="T25" s="245"/>
      <c r="U25" s="11" t="s">
        <v>45</v>
      </c>
    </row>
    <row r="26" spans="1:22" x14ac:dyDescent="0.25">
      <c r="A26" s="2">
        <v>2013</v>
      </c>
      <c r="B26" s="246"/>
      <c r="C26" s="35">
        <v>0</v>
      </c>
      <c r="D26" s="246"/>
      <c r="E26" s="246"/>
      <c r="F26" s="246"/>
      <c r="G26" s="246"/>
      <c r="H26" s="246"/>
      <c r="I26" s="34"/>
      <c r="K26" t="s">
        <v>29</v>
      </c>
      <c r="L26" s="244">
        <v>3000</v>
      </c>
      <c r="M26" s="244"/>
      <c r="N26" s="244"/>
      <c r="O26" s="8" t="s">
        <v>28</v>
      </c>
    </row>
    <row r="27" spans="1:22" x14ac:dyDescent="0.25">
      <c r="A27" s="2">
        <v>2014</v>
      </c>
      <c r="B27" s="246"/>
      <c r="C27" s="35">
        <v>0</v>
      </c>
      <c r="D27" s="246"/>
      <c r="E27" s="246"/>
      <c r="F27" s="246"/>
      <c r="G27" s="246"/>
      <c r="H27" s="246"/>
      <c r="I27" s="34"/>
      <c r="K27" s="9" t="s">
        <v>30</v>
      </c>
      <c r="L27" s="15">
        <v>8000</v>
      </c>
      <c r="M27" s="16" t="s">
        <v>33</v>
      </c>
      <c r="N27" s="15">
        <v>10000</v>
      </c>
      <c r="O27" s="8" t="s">
        <v>19</v>
      </c>
    </row>
    <row r="28" spans="1:22" x14ac:dyDescent="0.25">
      <c r="A28" s="2">
        <v>2015</v>
      </c>
      <c r="B28" s="246"/>
      <c r="C28" s="35">
        <v>0</v>
      </c>
      <c r="D28" s="246"/>
      <c r="E28" s="246"/>
      <c r="F28" s="246"/>
      <c r="G28" s="246"/>
      <c r="H28" s="246"/>
      <c r="I28" s="34"/>
    </row>
    <row r="29" spans="1:22" x14ac:dyDescent="0.25">
      <c r="A29" s="2">
        <v>2016</v>
      </c>
      <c r="B29" s="246"/>
      <c r="C29" s="35">
        <v>0</v>
      </c>
      <c r="D29" s="246"/>
      <c r="E29" s="246"/>
      <c r="F29" s="246"/>
      <c r="G29" s="246"/>
      <c r="H29" s="246"/>
      <c r="I29" s="34"/>
    </row>
    <row r="30" spans="1:22" x14ac:dyDescent="0.25">
      <c r="A30" s="2">
        <v>2017</v>
      </c>
      <c r="B30" s="246"/>
      <c r="C30" s="35">
        <v>0</v>
      </c>
      <c r="D30" s="246"/>
      <c r="E30" s="246"/>
      <c r="F30" s="246"/>
      <c r="G30" s="246"/>
      <c r="H30" s="246"/>
      <c r="I30" s="34"/>
    </row>
    <row r="31" spans="1:22" ht="25.5" x14ac:dyDescent="0.25">
      <c r="A31" s="2">
        <v>2018</v>
      </c>
      <c r="B31" s="246"/>
      <c r="C31" s="35">
        <v>0</v>
      </c>
      <c r="D31" s="246"/>
      <c r="E31" s="246"/>
      <c r="F31" s="246"/>
      <c r="G31" s="246"/>
      <c r="H31" s="246"/>
      <c r="I31" s="34"/>
      <c r="J31" s="9" t="s">
        <v>42</v>
      </c>
      <c r="K31" s="10" t="s">
        <v>44</v>
      </c>
    </row>
    <row r="32" spans="1:22" x14ac:dyDescent="0.25">
      <c r="A32" s="2">
        <v>2019</v>
      </c>
      <c r="B32" s="246"/>
      <c r="C32" s="35">
        <v>0</v>
      </c>
      <c r="D32" s="246"/>
      <c r="E32" s="246"/>
      <c r="F32" s="246"/>
      <c r="G32" s="246"/>
      <c r="H32" s="246"/>
      <c r="I32" s="34"/>
      <c r="K32" t="s">
        <v>26</v>
      </c>
      <c r="L32" s="17">
        <f>0.6*L35</f>
        <v>360</v>
      </c>
      <c r="M32" s="8" t="s">
        <v>28</v>
      </c>
      <c r="R32" s="18">
        <f>L32*1000/365</f>
        <v>986.30136986301375</v>
      </c>
      <c r="S32" s="11" t="s">
        <v>31</v>
      </c>
      <c r="T32" s="11"/>
    </row>
    <row r="33" spans="1:20" x14ac:dyDescent="0.25">
      <c r="A33" s="2">
        <v>2020</v>
      </c>
      <c r="B33" s="246"/>
      <c r="C33" s="35">
        <v>0</v>
      </c>
      <c r="D33" s="246"/>
      <c r="E33" s="246"/>
      <c r="F33" s="246"/>
      <c r="G33" s="246"/>
      <c r="H33" s="246"/>
      <c r="I33" s="34"/>
      <c r="K33" t="s">
        <v>27</v>
      </c>
      <c r="L33" s="17">
        <f>0.1*L35</f>
        <v>60</v>
      </c>
      <c r="M33" s="8" t="s">
        <v>28</v>
      </c>
      <c r="R33" s="18">
        <f>L33*1000/365</f>
        <v>164.38356164383561</v>
      </c>
      <c r="S33" s="11" t="s">
        <v>32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29</v>
      </c>
      <c r="L34" s="17">
        <f>0.3*L35</f>
        <v>180</v>
      </c>
      <c r="M34" s="8" t="s">
        <v>28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30</v>
      </c>
      <c r="L35" s="17">
        <v>600</v>
      </c>
      <c r="M35" s="8" t="s">
        <v>19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68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224" t="s">
        <v>8</v>
      </c>
      <c r="B37" s="247" t="s">
        <v>78</v>
      </c>
      <c r="C37" s="248"/>
      <c r="D37" s="248"/>
      <c r="E37" s="248"/>
      <c r="F37" s="248"/>
      <c r="G37" s="248"/>
      <c r="H37" s="249"/>
      <c r="I37" s="242" t="s">
        <v>40</v>
      </c>
    </row>
    <row r="38" spans="1:20" ht="38.25" x14ac:dyDescent="0.25">
      <c r="A38" s="224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43"/>
    </row>
    <row r="39" spans="1:20" x14ac:dyDescent="0.25">
      <c r="A39" s="2">
        <v>2010</v>
      </c>
      <c r="B39" s="215" t="s">
        <v>75</v>
      </c>
      <c r="C39" s="215" t="s">
        <v>76</v>
      </c>
      <c r="D39" s="215" t="s">
        <v>75</v>
      </c>
      <c r="E39" s="215" t="s">
        <v>76</v>
      </c>
      <c r="F39" s="215" t="s">
        <v>76</v>
      </c>
      <c r="G39" s="215" t="s">
        <v>76</v>
      </c>
      <c r="H39" s="215" t="s">
        <v>76</v>
      </c>
      <c r="I39" s="14">
        <f>'timbulan sampah'!E5</f>
        <v>125.88047999999999</v>
      </c>
    </row>
    <row r="40" spans="1:20" x14ac:dyDescent="0.25">
      <c r="A40" s="2">
        <v>2011</v>
      </c>
      <c r="B40" s="216"/>
      <c r="C40" s="216"/>
      <c r="D40" s="216"/>
      <c r="E40" s="216"/>
      <c r="F40" s="216"/>
      <c r="G40" s="216"/>
      <c r="H40" s="216"/>
      <c r="I40" s="14">
        <f>'timbulan sampah'!E6</f>
        <v>128.31984</v>
      </c>
      <c r="K40" t="s">
        <v>20</v>
      </c>
      <c r="O40" s="8" t="s">
        <v>21</v>
      </c>
    </row>
    <row r="41" spans="1:20" x14ac:dyDescent="0.25">
      <c r="A41" s="2">
        <v>2012</v>
      </c>
      <c r="B41" s="216"/>
      <c r="C41" s="216"/>
      <c r="D41" s="216"/>
      <c r="E41" s="216"/>
      <c r="F41" s="216"/>
      <c r="G41" s="216"/>
      <c r="H41" s="216"/>
      <c r="I41" s="14">
        <f>'timbulan sampah'!E7</f>
        <v>130.75083999999998</v>
      </c>
      <c r="K41" t="s">
        <v>23</v>
      </c>
      <c r="O41" s="8" t="s">
        <v>24</v>
      </c>
    </row>
    <row r="42" spans="1:20" x14ac:dyDescent="0.25">
      <c r="A42" s="2">
        <v>2013</v>
      </c>
      <c r="B42" s="216"/>
      <c r="C42" s="216"/>
      <c r="D42" s="216"/>
      <c r="E42" s="216"/>
      <c r="F42" s="216"/>
      <c r="G42" s="216"/>
      <c r="H42" s="216"/>
      <c r="I42" s="14">
        <f>'timbulan sampah'!E8</f>
        <v>133.12111999999999</v>
      </c>
    </row>
    <row r="43" spans="1:20" x14ac:dyDescent="0.25">
      <c r="A43" s="2">
        <v>2014</v>
      </c>
      <c r="B43" s="216"/>
      <c r="C43" s="216"/>
      <c r="D43" s="216"/>
      <c r="E43" s="216"/>
      <c r="F43" s="216"/>
      <c r="G43" s="216"/>
      <c r="H43" s="216"/>
      <c r="I43" s="14">
        <f>'timbulan sampah'!E9</f>
        <v>135.42627999999999</v>
      </c>
    </row>
    <row r="44" spans="1:20" x14ac:dyDescent="0.25">
      <c r="A44" s="2">
        <v>2015</v>
      </c>
      <c r="B44" s="216"/>
      <c r="C44" s="216"/>
      <c r="D44" s="216"/>
      <c r="E44" s="216"/>
      <c r="F44" s="216"/>
      <c r="G44" s="216"/>
      <c r="H44" s="216"/>
      <c r="I44" s="14">
        <f>'timbulan sampah'!E10</f>
        <v>137.71295999999998</v>
      </c>
    </row>
    <row r="45" spans="1:20" x14ac:dyDescent="0.25">
      <c r="A45" s="2">
        <v>2016</v>
      </c>
      <c r="B45" s="216"/>
      <c r="C45" s="216"/>
      <c r="D45" s="216"/>
      <c r="E45" s="216"/>
      <c r="F45" s="216"/>
      <c r="G45" s="216"/>
      <c r="H45" s="216"/>
      <c r="I45" s="14">
        <f>'timbulan sampah'!E11</f>
        <v>142.99758</v>
      </c>
    </row>
    <row r="46" spans="1:20" x14ac:dyDescent="0.25">
      <c r="A46" s="2">
        <v>2017</v>
      </c>
      <c r="B46" s="216"/>
      <c r="C46" s="216"/>
      <c r="D46" s="216"/>
      <c r="E46" s="216"/>
      <c r="F46" s="216"/>
      <c r="G46" s="216"/>
      <c r="H46" s="216"/>
      <c r="I46" s="14">
        <f>'timbulan sampah'!E12</f>
        <v>146.31936000000002</v>
      </c>
    </row>
    <row r="47" spans="1:20" x14ac:dyDescent="0.25">
      <c r="A47" s="2">
        <v>2018</v>
      </c>
      <c r="B47" s="216"/>
      <c r="C47" s="216"/>
      <c r="D47" s="216"/>
      <c r="E47" s="216"/>
      <c r="F47" s="216"/>
      <c r="G47" s="216"/>
      <c r="H47" s="216"/>
      <c r="I47" s="14">
        <f>'timbulan sampah'!E13</f>
        <v>149.64114000000001</v>
      </c>
    </row>
    <row r="48" spans="1:20" x14ac:dyDescent="0.25">
      <c r="A48" s="2">
        <v>2019</v>
      </c>
      <c r="B48" s="216"/>
      <c r="C48" s="216"/>
      <c r="D48" s="216"/>
      <c r="E48" s="216"/>
      <c r="F48" s="216"/>
      <c r="G48" s="216"/>
      <c r="H48" s="216"/>
      <c r="I48" s="14">
        <f>'timbulan sampah'!E14</f>
        <v>152.96292000000003</v>
      </c>
    </row>
    <row r="49" spans="1:21" x14ac:dyDescent="0.25">
      <c r="A49" s="2">
        <v>2020</v>
      </c>
      <c r="B49" s="217"/>
      <c r="C49" s="217"/>
      <c r="D49" s="217"/>
      <c r="E49" s="217"/>
      <c r="F49" s="217"/>
      <c r="G49" s="217"/>
      <c r="H49" s="217"/>
      <c r="I49" s="14">
        <f>'timbulan sampah'!E15</f>
        <v>156.28470000000002</v>
      </c>
    </row>
    <row r="52" spans="1:21" x14ac:dyDescent="0.25">
      <c r="A52" s="224" t="s">
        <v>8</v>
      </c>
      <c r="B52" s="241" t="s">
        <v>0</v>
      </c>
      <c r="C52" s="241"/>
      <c r="D52" s="241"/>
      <c r="E52" s="241"/>
      <c r="F52" s="241"/>
      <c r="G52" s="241"/>
      <c r="H52" s="241"/>
      <c r="I52" s="242" t="s">
        <v>10</v>
      </c>
    </row>
    <row r="53" spans="1:21" ht="42.75" customHeight="1" x14ac:dyDescent="0.25">
      <c r="A53" s="224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43"/>
    </row>
    <row r="54" spans="1:21" ht="17.25" customHeight="1" x14ac:dyDescent="0.25">
      <c r="A54" s="2">
        <v>2010</v>
      </c>
      <c r="B54" s="218" t="s">
        <v>77</v>
      </c>
      <c r="C54" s="218" t="s">
        <v>77</v>
      </c>
      <c r="D54" s="218" t="s">
        <v>77</v>
      </c>
      <c r="E54" s="218" t="s">
        <v>77</v>
      </c>
      <c r="F54" s="218" t="s">
        <v>77</v>
      </c>
      <c r="G54" s="218" t="s">
        <v>77</v>
      </c>
      <c r="H54" s="218" t="s">
        <v>77</v>
      </c>
      <c r="I54" s="3">
        <v>1</v>
      </c>
    </row>
    <row r="55" spans="1:21" x14ac:dyDescent="0.25">
      <c r="A55" s="2">
        <v>2011</v>
      </c>
      <c r="B55" s="219"/>
      <c r="C55" s="219"/>
      <c r="D55" s="219"/>
      <c r="E55" s="219"/>
      <c r="F55" s="219"/>
      <c r="G55" s="219"/>
      <c r="H55" s="219"/>
      <c r="I55" s="3">
        <v>1</v>
      </c>
    </row>
    <row r="56" spans="1:21" x14ac:dyDescent="0.25">
      <c r="A56" s="2">
        <v>2012</v>
      </c>
      <c r="B56" s="219"/>
      <c r="C56" s="219"/>
      <c r="D56" s="219"/>
      <c r="E56" s="219"/>
      <c r="F56" s="219"/>
      <c r="G56" s="219"/>
      <c r="H56" s="219"/>
      <c r="I56" s="3">
        <v>1</v>
      </c>
    </row>
    <row r="57" spans="1:21" x14ac:dyDescent="0.25">
      <c r="A57" s="2">
        <v>2013</v>
      </c>
      <c r="B57" s="219"/>
      <c r="C57" s="219"/>
      <c r="D57" s="219"/>
      <c r="E57" s="219"/>
      <c r="F57" s="219"/>
      <c r="G57" s="219"/>
      <c r="H57" s="219"/>
      <c r="I57" s="3">
        <v>1</v>
      </c>
    </row>
    <row r="58" spans="1:21" x14ac:dyDescent="0.25">
      <c r="A58" s="2">
        <v>2014</v>
      </c>
      <c r="B58" s="219"/>
      <c r="C58" s="219"/>
      <c r="D58" s="219"/>
      <c r="E58" s="219"/>
      <c r="F58" s="219"/>
      <c r="G58" s="219"/>
      <c r="H58" s="219"/>
      <c r="I58" s="3">
        <v>1</v>
      </c>
    </row>
    <row r="59" spans="1:21" x14ac:dyDescent="0.25">
      <c r="A59" s="2">
        <v>2015</v>
      </c>
      <c r="B59" s="219"/>
      <c r="C59" s="219"/>
      <c r="D59" s="219"/>
      <c r="E59" s="219"/>
      <c r="F59" s="219"/>
      <c r="G59" s="219"/>
      <c r="H59" s="219"/>
      <c r="I59" s="3">
        <v>1</v>
      </c>
    </row>
    <row r="60" spans="1:21" x14ac:dyDescent="0.25">
      <c r="A60" s="2">
        <v>2016</v>
      </c>
      <c r="B60" s="219"/>
      <c r="C60" s="219"/>
      <c r="D60" s="219"/>
      <c r="E60" s="219"/>
      <c r="F60" s="219"/>
      <c r="G60" s="219"/>
      <c r="H60" s="219"/>
      <c r="I60" s="3">
        <v>1</v>
      </c>
    </row>
    <row r="61" spans="1:21" x14ac:dyDescent="0.25">
      <c r="A61" s="2">
        <v>2017</v>
      </c>
      <c r="B61" s="219"/>
      <c r="C61" s="219"/>
      <c r="D61" s="219"/>
      <c r="E61" s="219"/>
      <c r="F61" s="219"/>
      <c r="G61" s="219"/>
      <c r="H61" s="219"/>
      <c r="I61" s="3">
        <v>1</v>
      </c>
    </row>
    <row r="62" spans="1:21" x14ac:dyDescent="0.25">
      <c r="A62" s="2">
        <v>2018</v>
      </c>
      <c r="B62" s="219"/>
      <c r="C62" s="219"/>
      <c r="D62" s="219"/>
      <c r="E62" s="219"/>
      <c r="F62" s="219"/>
      <c r="G62" s="219"/>
      <c r="H62" s="219"/>
      <c r="I62" s="3">
        <v>1</v>
      </c>
    </row>
    <row r="63" spans="1:21" x14ac:dyDescent="0.25">
      <c r="A63" s="2">
        <v>2019</v>
      </c>
      <c r="B63" s="219"/>
      <c r="C63" s="219"/>
      <c r="D63" s="219"/>
      <c r="E63" s="219"/>
      <c r="F63" s="219"/>
      <c r="G63" s="219"/>
      <c r="H63" s="219"/>
      <c r="I63" s="3">
        <v>1</v>
      </c>
      <c r="U63" s="4"/>
    </row>
    <row r="64" spans="1:21" x14ac:dyDescent="0.25">
      <c r="A64" s="2">
        <v>2020</v>
      </c>
      <c r="B64" s="220"/>
      <c r="C64" s="220"/>
      <c r="D64" s="220"/>
      <c r="E64" s="220"/>
      <c r="F64" s="220"/>
      <c r="G64" s="220"/>
      <c r="H64" s="220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D5:E5"/>
    <mergeCell ref="F5:I5"/>
    <mergeCell ref="F6:I6"/>
    <mergeCell ref="F7:I7"/>
    <mergeCell ref="F8:I8"/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116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109</v>
      </c>
    </row>
    <row r="6" spans="1:19" ht="54" customHeight="1" x14ac:dyDescent="0.25">
      <c r="A6" s="265" t="s">
        <v>11</v>
      </c>
      <c r="B6" s="266" t="s">
        <v>110</v>
      </c>
      <c r="C6" s="266"/>
      <c r="D6" s="266"/>
      <c r="E6" s="71" t="s">
        <v>114</v>
      </c>
      <c r="F6" s="265" t="s">
        <v>11</v>
      </c>
      <c r="G6" s="266" t="s">
        <v>111</v>
      </c>
      <c r="H6" s="266"/>
      <c r="I6" s="266"/>
      <c r="J6" s="72" t="s">
        <v>115</v>
      </c>
      <c r="K6" s="265" t="s">
        <v>11</v>
      </c>
      <c r="L6" s="266" t="s">
        <v>112</v>
      </c>
      <c r="M6" s="266"/>
      <c r="N6" s="266"/>
      <c r="O6" s="72" t="s">
        <v>115</v>
      </c>
      <c r="P6" s="265" t="s">
        <v>11</v>
      </c>
      <c r="Q6" s="266" t="s">
        <v>113</v>
      </c>
      <c r="R6" s="266"/>
      <c r="S6" s="266"/>
    </row>
    <row r="7" spans="1:19" x14ac:dyDescent="0.25">
      <c r="A7" s="265"/>
      <c r="B7" s="265" t="s">
        <v>82</v>
      </c>
      <c r="C7" s="265"/>
      <c r="D7" s="266" t="s">
        <v>84</v>
      </c>
      <c r="E7" s="69"/>
      <c r="F7" s="265"/>
      <c r="G7" s="265" t="s">
        <v>82</v>
      </c>
      <c r="H7" s="265"/>
      <c r="I7" s="266" t="s">
        <v>84</v>
      </c>
      <c r="K7" s="265"/>
      <c r="L7" s="265" t="s">
        <v>82</v>
      </c>
      <c r="M7" s="265"/>
      <c r="N7" s="266" t="s">
        <v>84</v>
      </c>
      <c r="P7" s="265"/>
      <c r="Q7" s="265" t="s">
        <v>82</v>
      </c>
      <c r="R7" s="265"/>
      <c r="S7" s="266" t="s">
        <v>84</v>
      </c>
    </row>
    <row r="8" spans="1:19" x14ac:dyDescent="0.25">
      <c r="A8" s="265"/>
      <c r="B8" s="74" t="s">
        <v>85</v>
      </c>
      <c r="C8" s="74" t="s">
        <v>86</v>
      </c>
      <c r="D8" s="266"/>
      <c r="E8" s="6"/>
      <c r="F8" s="265"/>
      <c r="G8" s="74" t="s">
        <v>85</v>
      </c>
      <c r="H8" s="74" t="s">
        <v>86</v>
      </c>
      <c r="I8" s="266"/>
      <c r="K8" s="265"/>
      <c r="L8" s="74" t="s">
        <v>85</v>
      </c>
      <c r="M8" s="74" t="s">
        <v>86</v>
      </c>
      <c r="N8" s="266"/>
      <c r="P8" s="265"/>
      <c r="Q8" s="74" t="s">
        <v>85</v>
      </c>
      <c r="R8" s="74" t="s">
        <v>86</v>
      </c>
      <c r="S8" s="266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80</v>
      </c>
      <c r="K22" t="s">
        <v>120</v>
      </c>
      <c r="L22">
        <v>16000</v>
      </c>
    </row>
    <row r="23" spans="1:19" ht="15.75" thickBot="1" x14ac:dyDescent="0.3">
      <c r="A23" s="256" t="s">
        <v>11</v>
      </c>
      <c r="B23" s="258" t="s">
        <v>81</v>
      </c>
      <c r="C23" s="259"/>
      <c r="D23" s="259"/>
      <c r="E23" s="259"/>
      <c r="F23" s="260"/>
      <c r="K23" t="s">
        <v>121</v>
      </c>
      <c r="L23">
        <v>280</v>
      </c>
      <c r="M23" t="s">
        <v>123</v>
      </c>
    </row>
    <row r="24" spans="1:19" ht="15.75" thickBot="1" x14ac:dyDescent="0.3">
      <c r="A24" s="257"/>
      <c r="B24" s="258" t="s">
        <v>82</v>
      </c>
      <c r="C24" s="260"/>
      <c r="D24" s="258" t="s">
        <v>83</v>
      </c>
      <c r="E24" s="260"/>
      <c r="F24" s="261" t="s">
        <v>84</v>
      </c>
      <c r="K24" t="s">
        <v>122</v>
      </c>
      <c r="L24">
        <v>4800</v>
      </c>
      <c r="M24" t="s">
        <v>123</v>
      </c>
    </row>
    <row r="25" spans="1:19" x14ac:dyDescent="0.25">
      <c r="A25" s="257"/>
      <c r="B25" s="36" t="s">
        <v>85</v>
      </c>
      <c r="C25" s="36" t="s">
        <v>86</v>
      </c>
      <c r="D25" s="36" t="s">
        <v>87</v>
      </c>
      <c r="E25" s="36" t="s">
        <v>86</v>
      </c>
      <c r="F25" s="262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88</v>
      </c>
    </row>
    <row r="40" spans="1:6" ht="15.75" thickBot="1" x14ac:dyDescent="0.3">
      <c r="A40" s="263" t="s">
        <v>11</v>
      </c>
      <c r="B40" s="42" t="s">
        <v>89</v>
      </c>
      <c r="C40" s="43"/>
      <c r="D40" s="43"/>
      <c r="E40" s="43"/>
      <c r="F40" s="43"/>
    </row>
    <row r="41" spans="1:6" ht="15.75" thickBot="1" x14ac:dyDescent="0.3">
      <c r="A41" s="264"/>
      <c r="B41" s="42" t="s">
        <v>82</v>
      </c>
      <c r="C41" s="44"/>
      <c r="D41" s="42" t="s">
        <v>83</v>
      </c>
      <c r="E41" s="44"/>
      <c r="F41" s="45" t="s">
        <v>90</v>
      </c>
    </row>
    <row r="42" spans="1:6" x14ac:dyDescent="0.25">
      <c r="A42" s="264"/>
      <c r="B42" s="46" t="s">
        <v>85</v>
      </c>
      <c r="C42" s="46" t="s">
        <v>86</v>
      </c>
      <c r="D42" s="46" t="s">
        <v>87</v>
      </c>
      <c r="E42" s="46" t="s">
        <v>86</v>
      </c>
      <c r="F42" s="46" t="s">
        <v>91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1.5838992959067411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1.6139060289914244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1.6431632726343544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1.6716167160064193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1.6998420538962109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1.7650720752018383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1.8060740356403577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1.8470759960788758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1.888077956517396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1.9290799169559145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1.9700818773944342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92</v>
      </c>
      <c r="B57" s="51"/>
      <c r="C57" s="50"/>
      <c r="D57" s="51"/>
    </row>
    <row r="58" spans="1:6" ht="15.75" thickBot="1" x14ac:dyDescent="0.3">
      <c r="A58" s="250" t="s">
        <v>11</v>
      </c>
      <c r="B58" s="252" t="s">
        <v>93</v>
      </c>
      <c r="C58" s="253"/>
      <c r="D58" s="53" t="s">
        <v>94</v>
      </c>
      <c r="E58" s="54"/>
      <c r="F58" s="55" t="s">
        <v>95</v>
      </c>
    </row>
    <row r="59" spans="1:6" ht="63.75" thickBot="1" x14ac:dyDescent="0.3">
      <c r="A59" s="251"/>
      <c r="B59" s="56" t="s">
        <v>96</v>
      </c>
      <c r="C59" s="56" t="s">
        <v>97</v>
      </c>
      <c r="D59" s="57" t="s">
        <v>98</v>
      </c>
      <c r="E59" s="57" t="s">
        <v>99</v>
      </c>
      <c r="F59" s="58" t="s">
        <v>100</v>
      </c>
    </row>
    <row r="60" spans="1:6" ht="15.75" thickBot="1" x14ac:dyDescent="0.3">
      <c r="A60" s="251"/>
      <c r="B60" s="254" t="s">
        <v>101</v>
      </c>
      <c r="C60" s="59" t="s">
        <v>102</v>
      </c>
      <c r="D60" s="60" t="s">
        <v>103</v>
      </c>
      <c r="E60" s="61" t="s">
        <v>104</v>
      </c>
      <c r="F60" s="62" t="s">
        <v>105</v>
      </c>
    </row>
    <row r="61" spans="1:6" ht="26.25" x14ac:dyDescent="0.25">
      <c r="A61" s="251"/>
      <c r="B61" s="255"/>
      <c r="C61" s="63" t="s">
        <v>106</v>
      </c>
      <c r="D61" s="64"/>
      <c r="E61" s="65" t="s">
        <v>107</v>
      </c>
      <c r="F61" s="66" t="s">
        <v>108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6:A8"/>
    <mergeCell ref="B6:D6"/>
    <mergeCell ref="F6:F8"/>
    <mergeCell ref="G6:I6"/>
    <mergeCell ref="K6:K8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timbulan sampah</vt:lpstr>
      <vt:lpstr>Fraksi pengelolaan sampah BaU</vt:lpstr>
      <vt:lpstr>Format Rekap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2017-10-18T09:05:30Z</dcterms:modified>
</cp:coreProperties>
</file>