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erau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6" i="6" l="1"/>
  <c r="C7" i="6"/>
  <c r="C8" i="6"/>
  <c r="C9" i="6"/>
  <c r="C10" i="6"/>
  <c r="C11" i="6"/>
  <c r="C12" i="6"/>
  <c r="C13" i="6"/>
  <c r="C14" i="6"/>
  <c r="C15" i="6"/>
  <c r="C5" i="6"/>
  <c r="D5" i="6" s="1"/>
  <c r="Q28" i="3" l="1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25" i="6" l="1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I6" i="1" l="1"/>
  <c r="E110" i="3" l="1"/>
  <c r="C110" i="3"/>
  <c r="F110" i="3" l="1"/>
  <c r="E81" i="3" l="1"/>
  <c r="C81" i="3"/>
  <c r="F81" i="3" s="1"/>
  <c r="C55" i="3"/>
  <c r="E55" i="3"/>
  <c r="F55" i="3" l="1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R14" i="3" l="1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27" i="5"/>
  <c r="F29" i="5"/>
  <c r="F65" i="5"/>
  <c r="F69" i="5"/>
  <c r="I49" i="2"/>
  <c r="I39" i="1"/>
  <c r="C39" i="1" s="1"/>
  <c r="F26" i="5"/>
  <c r="F30" i="5"/>
  <c r="F70" i="5"/>
  <c r="F72" i="5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H10" i="3" l="1"/>
  <c r="I10" i="3" s="1"/>
  <c r="H11" i="3" l="1"/>
  <c r="I11" i="3" s="1"/>
  <c r="H12" i="3" l="1"/>
  <c r="I12" i="3" s="1"/>
  <c r="H13" i="3" l="1"/>
  <c r="I13" i="3" s="1"/>
  <c r="H14" i="3" l="1"/>
  <c r="I14" i="3" s="1"/>
  <c r="H15" i="3" l="1"/>
  <c r="I15" i="3" s="1"/>
  <c r="H16" i="3" l="1"/>
  <c r="I16" i="3" s="1"/>
  <c r="H17" i="3" l="1"/>
  <c r="I17" i="3" s="1"/>
  <c r="H18" i="3" l="1"/>
  <c r="I18" i="3" s="1"/>
  <c r="H19" i="3" l="1"/>
  <c r="I19" i="3" s="1"/>
  <c r="H20" i="3" l="1"/>
  <c r="I20" i="3" s="1"/>
  <c r="H21" i="3" l="1"/>
  <c r="I21" i="3" s="1"/>
  <c r="H22" i="3" l="1"/>
  <c r="I22" i="3" s="1"/>
  <c r="H23" i="3" l="1"/>
  <c r="I23" i="3" s="1"/>
  <c r="H24" i="3" l="1"/>
  <c r="I24" i="3" s="1"/>
  <c r="H25" i="3" l="1"/>
  <c r="I25" i="3" s="1"/>
  <c r="H26" i="3" l="1"/>
  <c r="I26" i="3" s="1"/>
  <c r="H27" i="3" l="1"/>
  <c r="I27" i="3" s="1"/>
  <c r="H28" i="3" l="1"/>
  <c r="I28" i="3" s="1"/>
  <c r="D44" i="3" l="1"/>
  <c r="E44" i="3" s="1"/>
  <c r="D45" i="3"/>
  <c r="E45" i="3" s="1"/>
  <c r="B45" i="3"/>
  <c r="C45" i="3" s="1"/>
  <c r="B74" i="3" l="1"/>
  <c r="C74" i="3" s="1"/>
  <c r="B53" i="3"/>
  <c r="C53" i="3" s="1"/>
  <c r="D51" i="3"/>
  <c r="E51" i="3" s="1"/>
  <c r="B49" i="3"/>
  <c r="C49" i="3" s="1"/>
  <c r="D47" i="3"/>
  <c r="E47" i="3" s="1"/>
  <c r="B77" i="3"/>
  <c r="C77" i="3" s="1"/>
  <c r="B48" i="3"/>
  <c r="C48" i="3" s="1"/>
  <c r="D46" i="3"/>
  <c r="E46" i="3" s="1"/>
  <c r="D104" i="3"/>
  <c r="E104" i="3" s="1"/>
  <c r="B46" i="3"/>
  <c r="C46" i="3" s="1"/>
  <c r="D102" i="3"/>
  <c r="E102" i="3" s="1"/>
  <c r="D101" i="3"/>
  <c r="E101" i="3" s="1"/>
  <c r="B52" i="3"/>
  <c r="C52" i="3" s="1"/>
  <c r="D105" i="3"/>
  <c r="E105" i="3" s="1"/>
  <c r="D76" i="3"/>
  <c r="E76" i="3" s="1"/>
  <c r="B47" i="3"/>
  <c r="C47" i="3" s="1"/>
  <c r="D53" i="3"/>
  <c r="E53" i="3" s="1"/>
  <c r="F45" i="3"/>
  <c r="D103" i="3"/>
  <c r="E103" i="3" s="1"/>
  <c r="B54" i="3"/>
  <c r="C54" i="3" s="1"/>
  <c r="D52" i="3"/>
  <c r="E52" i="3" s="1"/>
  <c r="F52" i="3" s="1"/>
  <c r="D109" i="3"/>
  <c r="E109" i="3" s="1"/>
  <c r="D50" i="3"/>
  <c r="E50" i="3" s="1"/>
  <c r="B80" i="3"/>
  <c r="C80" i="3" s="1"/>
  <c r="B72" i="3"/>
  <c r="C72" i="3" s="1"/>
  <c r="B51" i="3"/>
  <c r="C51" i="3" s="1"/>
  <c r="D49" i="3"/>
  <c r="E49" i="3" s="1"/>
  <c r="D107" i="3"/>
  <c r="E107" i="3" s="1"/>
  <c r="B73" i="3"/>
  <c r="C73" i="3" s="1"/>
  <c r="D108" i="3"/>
  <c r="E108" i="3" s="1"/>
  <c r="D79" i="3"/>
  <c r="E79" i="3" s="1"/>
  <c r="B50" i="3"/>
  <c r="C50" i="3" s="1"/>
  <c r="D48" i="3"/>
  <c r="E48" i="3" s="1"/>
  <c r="D106" i="3"/>
  <c r="E106" i="3" s="1"/>
  <c r="F49" i="3" l="1"/>
  <c r="D80" i="3"/>
  <c r="E80" i="3" s="1"/>
  <c r="F80" i="3" s="1"/>
  <c r="B43" i="3"/>
  <c r="C43" i="3" s="1"/>
  <c r="B37" i="3"/>
  <c r="C37" i="3" s="1"/>
  <c r="D98" i="3"/>
  <c r="E98" i="3" s="1"/>
  <c r="F51" i="3"/>
  <c r="B36" i="3"/>
  <c r="C36" i="3" s="1"/>
  <c r="D93" i="3"/>
  <c r="E93" i="3" s="1"/>
  <c r="D35" i="3"/>
  <c r="E35" i="3" s="1"/>
  <c r="B75" i="3"/>
  <c r="C75" i="3" s="1"/>
  <c r="D77" i="3"/>
  <c r="E77" i="3" s="1"/>
  <c r="F77" i="3" s="1"/>
  <c r="F50" i="3"/>
  <c r="D94" i="3"/>
  <c r="E94" i="3" s="1"/>
  <c r="D97" i="3"/>
  <c r="E97" i="3" s="1"/>
  <c r="D38" i="3"/>
  <c r="E38" i="3" s="1"/>
  <c r="D92" i="3"/>
  <c r="E92" i="3" s="1"/>
  <c r="D100" i="3"/>
  <c r="E100" i="3" s="1"/>
  <c r="D39" i="3"/>
  <c r="E39" i="3" s="1"/>
  <c r="B78" i="3"/>
  <c r="C78" i="3" s="1"/>
  <c r="D72" i="3"/>
  <c r="E72" i="3" s="1"/>
  <c r="F72" i="3" s="1"/>
  <c r="F53" i="3"/>
  <c r="F47" i="3"/>
  <c r="D43" i="3"/>
  <c r="E43" i="3" s="1"/>
  <c r="D42" i="3"/>
  <c r="E42" i="3" s="1"/>
  <c r="D36" i="3"/>
  <c r="E36" i="3" s="1"/>
  <c r="D74" i="3"/>
  <c r="E74" i="3" s="1"/>
  <c r="F74" i="3" s="1"/>
  <c r="B42" i="3"/>
  <c r="C42" i="3" s="1"/>
  <c r="D91" i="3"/>
  <c r="E91" i="3" s="1"/>
  <c r="D40" i="3"/>
  <c r="E40" i="3" s="1"/>
  <c r="D75" i="3"/>
  <c r="E75" i="3" s="1"/>
  <c r="F48" i="3"/>
  <c r="B40" i="3"/>
  <c r="C40" i="3" s="1"/>
  <c r="B38" i="3"/>
  <c r="C38" i="3" s="1"/>
  <c r="D73" i="3"/>
  <c r="E73" i="3" s="1"/>
  <c r="F73" i="3" s="1"/>
  <c r="B44" i="3"/>
  <c r="C44" i="3" s="1"/>
  <c r="F44" i="3" s="1"/>
  <c r="B76" i="3"/>
  <c r="C76" i="3" s="1"/>
  <c r="F76" i="3" s="1"/>
  <c r="D37" i="3"/>
  <c r="E37" i="3" s="1"/>
  <c r="F37" i="3" s="1"/>
  <c r="B39" i="3"/>
  <c r="C39" i="3" s="1"/>
  <c r="B41" i="3"/>
  <c r="C41" i="3" s="1"/>
  <c r="D99" i="3"/>
  <c r="E99" i="3" s="1"/>
  <c r="D41" i="3"/>
  <c r="E41" i="3" s="1"/>
  <c r="B79" i="3"/>
  <c r="C79" i="3" s="1"/>
  <c r="F79" i="3" s="1"/>
  <c r="D78" i="3"/>
  <c r="E78" i="3" s="1"/>
  <c r="F46" i="3"/>
  <c r="F43" i="3" l="1"/>
  <c r="F41" i="3"/>
  <c r="I76" i="3"/>
  <c r="J76" i="3" s="1"/>
  <c r="I72" i="3"/>
  <c r="J72" i="3" s="1"/>
  <c r="F78" i="3"/>
  <c r="I78" i="3" s="1"/>
  <c r="J78" i="3" s="1"/>
  <c r="F39" i="3"/>
  <c r="D67" i="3"/>
  <c r="E67" i="3" s="1"/>
  <c r="D61" i="3"/>
  <c r="E61" i="3" s="1"/>
  <c r="B69" i="3"/>
  <c r="C69" i="3" s="1"/>
  <c r="D69" i="3"/>
  <c r="E69" i="3" s="1"/>
  <c r="D71" i="3"/>
  <c r="E71" i="3" s="1"/>
  <c r="B68" i="3"/>
  <c r="C68" i="3" s="1"/>
  <c r="D65" i="3"/>
  <c r="E65" i="3" s="1"/>
  <c r="B102" i="3"/>
  <c r="C102" i="3" s="1"/>
  <c r="F102" i="3" s="1"/>
  <c r="G102" i="3" s="1"/>
  <c r="F42" i="3"/>
  <c r="D90" i="3"/>
  <c r="E90" i="3" s="1"/>
  <c r="B67" i="3"/>
  <c r="C67" i="3" s="1"/>
  <c r="D68" i="3"/>
  <c r="E68" i="3" s="1"/>
  <c r="B66" i="3"/>
  <c r="C66" i="3" s="1"/>
  <c r="B106" i="3"/>
  <c r="C106" i="3" s="1"/>
  <c r="F106" i="3" s="1"/>
  <c r="G106" i="3" s="1"/>
  <c r="D54" i="3"/>
  <c r="E54" i="3" s="1"/>
  <c r="F54" i="3" s="1"/>
  <c r="I80" i="3" s="1"/>
  <c r="J80" i="3" s="1"/>
  <c r="B109" i="3"/>
  <c r="C109" i="3" s="1"/>
  <c r="F109" i="3" s="1"/>
  <c r="G109" i="3" s="1"/>
  <c r="D70" i="3"/>
  <c r="E70" i="3" s="1"/>
  <c r="B108" i="3"/>
  <c r="C108" i="3" s="1"/>
  <c r="F108" i="3" s="1"/>
  <c r="G108" i="3" s="1"/>
  <c r="I74" i="3"/>
  <c r="J74" i="3" s="1"/>
  <c r="B70" i="3"/>
  <c r="C70" i="3" s="1"/>
  <c r="D63" i="3"/>
  <c r="E63" i="3" s="1"/>
  <c r="B105" i="3"/>
  <c r="C105" i="3" s="1"/>
  <c r="F105" i="3" s="1"/>
  <c r="G105" i="3" s="1"/>
  <c r="F52" i="5"/>
  <c r="D96" i="3"/>
  <c r="E96" i="3" s="1"/>
  <c r="B62" i="3"/>
  <c r="C62" i="3" s="1"/>
  <c r="B64" i="3"/>
  <c r="C64" i="3" s="1"/>
  <c r="B101" i="3"/>
  <c r="C101" i="3" s="1"/>
  <c r="F101" i="3" s="1"/>
  <c r="G101" i="3" s="1"/>
  <c r="F40" i="3"/>
  <c r="F36" i="3"/>
  <c r="I79" i="3"/>
  <c r="J79" i="3" s="1"/>
  <c r="F75" i="3"/>
  <c r="I75" i="3" s="1"/>
  <c r="J75" i="3" s="1"/>
  <c r="I77" i="3"/>
  <c r="J77" i="3" s="1"/>
  <c r="D66" i="3"/>
  <c r="E66" i="3" s="1"/>
  <c r="B63" i="3"/>
  <c r="C63" i="3" s="1"/>
  <c r="F38" i="3"/>
  <c r="D95" i="3"/>
  <c r="E95" i="3" s="1"/>
  <c r="B103" i="3"/>
  <c r="C103" i="3" s="1"/>
  <c r="F103" i="3" s="1"/>
  <c r="G103" i="3" s="1"/>
  <c r="B104" i="3"/>
  <c r="C104" i="3" s="1"/>
  <c r="F104" i="3" s="1"/>
  <c r="G104" i="3" s="1"/>
  <c r="I73" i="3"/>
  <c r="J73" i="3" s="1"/>
  <c r="B71" i="3"/>
  <c r="C71" i="3" s="1"/>
  <c r="B61" i="3"/>
  <c r="C61" i="3" s="1"/>
  <c r="D64" i="3"/>
  <c r="E64" i="3" s="1"/>
  <c r="B65" i="3"/>
  <c r="C65" i="3" s="1"/>
  <c r="B35" i="3"/>
  <c r="C35" i="3" s="1"/>
  <c r="F35" i="3" s="1"/>
  <c r="B107" i="3"/>
  <c r="C107" i="3" s="1"/>
  <c r="F107" i="3" s="1"/>
  <c r="G107" i="3" s="1"/>
  <c r="B95" i="3"/>
  <c r="C95" i="3" s="1"/>
  <c r="B92" i="3"/>
  <c r="C92" i="3" s="1"/>
  <c r="F92" i="3" s="1"/>
  <c r="G92" i="3" s="1"/>
  <c r="F95" i="3" l="1"/>
  <c r="G95" i="3" s="1"/>
  <c r="F71" i="3"/>
  <c r="I71" i="3" s="1"/>
  <c r="J71" i="3" s="1"/>
  <c r="F65" i="3"/>
  <c r="I65" i="3" s="1"/>
  <c r="J65" i="3" s="1"/>
  <c r="F67" i="3"/>
  <c r="I67" i="3" s="1"/>
  <c r="J67" i="3" s="1"/>
  <c r="F64" i="3"/>
  <c r="I64" i="3" s="1"/>
  <c r="J64" i="3" s="1"/>
  <c r="F66" i="3"/>
  <c r="I66" i="3" s="1"/>
  <c r="J66" i="3" s="1"/>
  <c r="F70" i="3"/>
  <c r="I70" i="3" s="1"/>
  <c r="J70" i="3" s="1"/>
  <c r="F61" i="3"/>
  <c r="I61" i="3" s="1"/>
  <c r="J61" i="3" s="1"/>
  <c r="F68" i="3"/>
  <c r="I68" i="3" s="1"/>
  <c r="J68" i="3" s="1"/>
  <c r="F69" i="3"/>
  <c r="I69" i="3" s="1"/>
  <c r="J69" i="3" s="1"/>
  <c r="D62" i="3"/>
  <c r="E62" i="3" s="1"/>
  <c r="F62" i="3" s="1"/>
  <c r="I62" i="3" s="1"/>
  <c r="J62" i="3" s="1"/>
  <c r="F63" i="3"/>
  <c r="I63" i="3" s="1"/>
  <c r="J63" i="3" s="1"/>
  <c r="F53" i="5"/>
  <c r="B97" i="3"/>
  <c r="C97" i="3" s="1"/>
  <c r="F97" i="3" s="1"/>
  <c r="G97" i="3" s="1"/>
  <c r="F48" i="5" l="1"/>
  <c r="F47" i="5"/>
  <c r="B100" i="3"/>
  <c r="C100" i="3" s="1"/>
  <c r="F100" i="3" s="1"/>
  <c r="G100" i="3" s="1"/>
  <c r="B93" i="3"/>
  <c r="C93" i="3" s="1"/>
  <c r="F93" i="3" s="1"/>
  <c r="G93" i="3" s="1"/>
  <c r="B98" i="3"/>
  <c r="C98" i="3" s="1"/>
  <c r="F98" i="3" s="1"/>
  <c r="G98" i="3" s="1"/>
  <c r="F51" i="5"/>
  <c r="B99" i="3"/>
  <c r="C99" i="3" s="1"/>
  <c r="F99" i="3" s="1"/>
  <c r="G99" i="3" s="1"/>
  <c r="F43" i="5"/>
  <c r="B94" i="3"/>
  <c r="C94" i="3" s="1"/>
  <c r="F94" i="3" s="1"/>
  <c r="G94" i="3" s="1"/>
  <c r="F45" i="5"/>
  <c r="B96" i="3"/>
  <c r="C96" i="3" s="1"/>
  <c r="F96" i="3" s="1"/>
  <c r="G96" i="3" s="1"/>
  <c r="F46" i="5"/>
  <c r="B91" i="3"/>
  <c r="C91" i="3" s="1"/>
  <c r="F91" i="3" s="1"/>
  <c r="G91" i="3" s="1"/>
  <c r="F50" i="5"/>
  <c r="F44" i="5"/>
  <c r="F49" i="5"/>
  <c r="B90" i="3" l="1"/>
  <c r="C90" i="3" s="1"/>
  <c r="F90" i="3" s="1"/>
  <c r="G9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<sst xmlns="http://schemas.openxmlformats.org/spreadsheetml/2006/main" count="302" uniqueCount="154">
  <si>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</si>
  <si>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</si>
  <si>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</si>
  <si>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</si>
  <si>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</si>
  <si>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</si>
  <si>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</si>
  <si>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</si>
  <si>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</si>
  <si>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</si>
  <si>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</si>
  <si>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</si>
  <si>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</si>
  <si>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</si>
  <si>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</si>
  <si>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</si>
  <si>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</si>
  <si>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</si>
  <si>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</si>
  <si>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</si>
  <si>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</si>
  <si>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</si>
  <si>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</si>
  <si>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</si>
  <si>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</si>
  <si>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</si>
  <si>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</si>
  <si>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</si>
  <si>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</si>
  <si>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</si>
  <si>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</si>
  <si>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</si>
  <si>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</si>
  <si>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</si>
  <si>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</si>
  <si>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</si>
  <si>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</si>
  <si>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</si>
  <si>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</si>
  <si>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</si>
  <si>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</si>
  <si>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</si>
  <si>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</si>
  <si>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</si>
  <si>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</si>
  <si>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</si>
  <si>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</si>
  <si>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</si>
  <si>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</si>
  <si>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</si>
  <si>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</si>
  <si>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</si>
  <si>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</si>
  <si>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</si>
  <si>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</si>
  <si>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</si>
  <si>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</si>
  <si>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</si>
  <si>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</si>
  <si>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</si>
  <si>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</si>
  <si>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</si>
  <si>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</si>
  <si>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</si>
  <si>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</si>
  <si>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</si>
  <si>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</si>
  <si>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</si>
  <si>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</si>
  <si>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</si>
  <si>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</si>
  <si>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</si>
  <si>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</si>
  <si>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</si>
  <si>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</si>
  <si>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</si>
  <si>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</si>
  <si>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</si>
  <si>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</si>
  <si>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</si>
  <si>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</si>
  <si>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</si>
  <si>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</si>
  <si>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</si>
  <si>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</si>
  <si>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</si>
  <si>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</si>
  <si>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</si>
  <si>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</si>
  <si>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</si>
  <si>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</si>
  <si>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</si>
  <si>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</si>
  <si>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</si>
  <si>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</si>
  <si>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</si>
  <si>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</si>
  <si>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</si>
  <si>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</si>
  <si>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</si>
  <si>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</si>
  <si>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</si>
  <si>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</si>
  <si>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</si>
  <si>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</si>
  <si>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</si>
  <si>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</si>
  <si>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</si>
  <si>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</si>
  <si>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</si>
  <si>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</si>
  <si>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</si>
  <si>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</si>
  <si>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</si>
  <si>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</si>
  <si>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</si>
  <si>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</si>
  <si>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</si>
  <si>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</si>
  <si>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</si>
  <si>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</si>
  <si>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</si>
  <si>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</si>
  <si>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</si>
  <si>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</si>
  <si>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</si>
  <si>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</si>
  <si>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</si>
  <si>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</si>
  <si>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</si>
  <si>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</si>
  <si>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</si>
  <si>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</si>
  <si>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</si>
  <si>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</si>
  <si>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</si>
  <si>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</si>
  <si>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</si>
  <si>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</si>
  <si>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</si>
  <si>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</si>
  <si>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</si>
  <si>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</si>
  <si>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</si>
  <si>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</si>
  <si>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</si>
  <si>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</si>
  <si>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</si>
  <si>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</si>
  <si>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</si>
  <si>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</si>
  <si>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</si>
  <si>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</si>
  <si>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KABUPATEN BERAU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</si>
</sst>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38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 wrapText="1"/>
    </xf>
    <xf numFmtId="0" fontId="41" fillId="16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center" vertical="center" wrapText="1"/>
    </xf>
    <xf numFmtId="168" fontId="1" fillId="8" borderId="1" xfId="1" applyNumberFormat="1" applyFont="1" applyFill="1" applyBorder="1" applyAlignment="1">
      <alignment vertical="center" wrapText="1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1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8.8882709399999996E-2</c:v>
                </c:pt>
                <c:pt idx="1">
                  <c:v>9.1554170399999996E-2</c:v>
                </c:pt>
                <c:pt idx="2">
                  <c:v>9.4331725200000008E-2</c:v>
                </c:pt>
                <c:pt idx="3">
                  <c:v>9.712027170000001E-2</c:v>
                </c:pt>
                <c:pt idx="4">
                  <c:v>9.9829964700000023E-2</c:v>
                </c:pt>
                <c:pt idx="5">
                  <c:v>0.1026663012</c:v>
                </c:pt>
                <c:pt idx="6">
                  <c:v>0.10623678768</c:v>
                </c:pt>
                <c:pt idx="7">
                  <c:v>0.10915384148999999</c:v>
                </c:pt>
                <c:pt idx="8">
                  <c:v>0.1120708953</c:v>
                </c:pt>
                <c:pt idx="9">
                  <c:v>0.11498794911</c:v>
                </c:pt>
                <c:pt idx="10">
                  <c:v>0.11790500291999999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11.412117170536265</c:v>
                </c:pt>
                <c:pt idx="1">
                  <c:v>11.61994138512082</c:v>
                </c:pt>
                <c:pt idx="2">
                  <c:v>11.895432556618609</c:v>
                </c:pt>
                <c:pt idx="3">
                  <c:v>12.219861498058858</c:v>
                </c:pt>
                <c:pt idx="4">
                  <c:v>12.577363833967523</c:v>
                </c:pt>
                <c:pt idx="5">
                  <c:v>12.954037371747537</c:v>
                </c:pt>
                <c:pt idx="6">
                  <c:v>13.347991123740456</c:v>
                </c:pt>
                <c:pt idx="7">
                  <c:v>13.78040684611284</c:v>
                </c:pt>
                <c:pt idx="8">
                  <c:v>14.21564083905146</c:v>
                </c:pt>
                <c:pt idx="9">
                  <c:v>14.652724870764784</c:v>
                </c:pt>
                <c:pt idx="10">
                  <c:v>15.091011369933627</c:v>
                </c:pt>
                <c:pt idx="11">
                  <c:v>15.530067798106078</c:v>
                </c:pt>
                <c:pt idx="12">
                  <c:v>15.969605810385028</c:v>
                </c:pt>
                <c:pt idx="13">
                  <c:v>16.409433742318921</c:v>
                </c:pt>
                <c:pt idx="14">
                  <c:v>16.849424738549345</c:v>
                </c:pt>
                <c:pt idx="15">
                  <c:v>17.289495371189513</c:v>
                </c:pt>
                <c:pt idx="16">
                  <c:v>17.72959129360062</c:v>
                </c:pt>
                <c:pt idx="17">
                  <c:v>18.169677613365504</c:v>
                </c:pt>
                <c:pt idx="18">
                  <c:v>18.609732431285465</c:v>
                </c:pt>
                <c:pt idx="19">
                  <c:v>19.049742504793624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GRK'!$F$61:$F$80</c:f>
              <c:numCache>
                <c:formatCode>0.000000</c:formatCode>
                <c:ptCount val="20"/>
                <c:pt idx="0">
                  <c:v>0.53321721049014004</c:v>
                </c:pt>
                <c:pt idx="1">
                  <c:v>0.54924360068423994</c:v>
                </c:pt>
                <c:pt idx="2">
                  <c:v>0.56590645932612005</c:v>
                </c:pt>
                <c:pt idx="3">
                  <c:v>0.58263525839277008</c:v>
                </c:pt>
                <c:pt idx="4">
                  <c:v>0.59889100658607008</c:v>
                </c:pt>
                <c:pt idx="5">
                  <c:v>0.61590650315172002</c:v>
                </c:pt>
                <c:pt idx="6">
                  <c:v>0.6373262466970081</c:v>
                </c:pt>
                <c:pt idx="7">
                  <c:v>0.65482597533846898</c:v>
                </c:pt>
                <c:pt idx="8">
                  <c:v>0.67232570397992997</c:v>
                </c:pt>
                <c:pt idx="9">
                  <c:v>0.68982543262139095</c:v>
                </c:pt>
                <c:pt idx="10">
                  <c:v>0.70732516126285194</c:v>
                </c:pt>
                <c:pt idx="11">
                  <c:v>0.72482488990431304</c:v>
                </c:pt>
                <c:pt idx="12">
                  <c:v>0.74232461854577381</c:v>
                </c:pt>
                <c:pt idx="13">
                  <c:v>0.75982434718723502</c:v>
                </c:pt>
                <c:pt idx="14">
                  <c:v>0.77732407582869623</c:v>
                </c:pt>
                <c:pt idx="15">
                  <c:v>0.79482380447015699</c:v>
                </c:pt>
                <c:pt idx="16">
                  <c:v>0.81232353311161787</c:v>
                </c:pt>
                <c:pt idx="17">
                  <c:v>0.82982326175307897</c:v>
                </c:pt>
                <c:pt idx="18">
                  <c:v>0.84732299039453973</c:v>
                </c:pt>
                <c:pt idx="19">
                  <c:v>0.86482271903600094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429760"/>
        <c:axId val="291430152"/>
        <c:axId val="0"/>
      </c:bar3DChart>
      <c:catAx>
        <c:axId val="291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1430152"/>
        <c:crosses val="autoZero"/>
        <c:auto val="1"/>
        <c:lblAlgn val="ctr"/>
        <c:lblOffset val="100"/>
        <c:noMultiLvlLbl val="0"/>
      </c:catAx>
      <c:valAx>
        <c:axId val="2914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1429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2.0470559717771435</c:v>
                </c:pt>
                <c:pt idx="1">
                  <c:v>2.0326158864000003</c:v>
                </c:pt>
                <c:pt idx="2">
                  <c:v>2.0646649448228573</c:v>
                </c:pt>
                <c:pt idx="3">
                  <c:v>2.172887993037143</c:v>
                </c:pt>
                <c:pt idx="4">
                  <c:v>2.2335124052371436</c:v>
                </c:pt>
                <c:pt idx="5">
                  <c:v>2.2969702335276194</c:v>
                </c:pt>
                <c:pt idx="6">
                  <c:v>2.3768533214339054</c:v>
                </c:pt>
                <c:pt idx="7">
                  <c:v>2.4421170515269517</c:v>
                </c:pt>
                <c:pt idx="8">
                  <c:v>2.5073807816200002</c:v>
                </c:pt>
                <c:pt idx="9">
                  <c:v>2.5726445117130474</c:v>
                </c:pt>
                <c:pt idx="10">
                  <c:v>2.6379082418060955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4.0803597986255999</c:v>
                </c:pt>
                <c:pt idx="1">
                  <c:v>4.2029991976896008</c:v>
                </c:pt>
                <c:pt idx="2">
                  <c:v>4.3305090702047995</c:v>
                </c:pt>
                <c:pt idx="3">
                  <c:v>4.4585235413208002</c:v>
                </c:pt>
                <c:pt idx="4">
                  <c:v>4.5829180659528008</c:v>
                </c:pt>
                <c:pt idx="5">
                  <c:v>4.7131264440287994</c:v>
                </c:pt>
                <c:pt idx="6">
                  <c:v>4.8770376208243205</c:v>
                </c:pt>
                <c:pt idx="7">
                  <c:v>5.0109515077557605</c:v>
                </c:pt>
                <c:pt idx="8">
                  <c:v>5.1448653946871996</c:v>
                </c:pt>
                <c:pt idx="9">
                  <c:v>5.2787792816186396</c:v>
                </c:pt>
                <c:pt idx="10">
                  <c:v>5.4126931685500796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1431328"/>
        <c:axId val="291431720"/>
        <c:axId val="0"/>
      </c:bar3DChart>
      <c:catAx>
        <c:axId val="2914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1720"/>
        <c:crosses val="autoZero"/>
        <c:auto val="1"/>
        <c:lblAlgn val="ctr"/>
        <c:lblOffset val="100"/>
        <c:noMultiLvlLbl val="0"/>
      </c:catAx>
      <c:valAx>
        <c:axId val="2914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6127.4157704027439</c:v>
                </c:pt>
                <c:pt idx="1">
                  <c:v>6235.6150840896016</c:v>
                </c:pt>
                <c:pt idx="2">
                  <c:v>6395.1740150276564</c:v>
                </c:pt>
                <c:pt idx="3">
                  <c:v>6631.4115343579424</c:v>
                </c:pt>
                <c:pt idx="4">
                  <c:v>6816.430471189944</c:v>
                </c:pt>
                <c:pt idx="5">
                  <c:v>7010.0966775564193</c:v>
                </c:pt>
                <c:pt idx="6">
                  <c:v>7253.8909422582256</c:v>
                </c:pt>
                <c:pt idx="7">
                  <c:v>7453.0685592827122</c:v>
                </c:pt>
                <c:pt idx="8">
                  <c:v>7652.2461763071997</c:v>
                </c:pt>
                <c:pt idx="9">
                  <c:v>7851.4237933316872</c:v>
                </c:pt>
                <c:pt idx="10">
                  <c:v>8050.6014103561756</c:v>
                </c:pt>
                <c:pt idx="11">
                  <c:v>8249.7790273806622</c:v>
                </c:pt>
                <c:pt idx="12">
                  <c:v>8448.9566444051488</c:v>
                </c:pt>
                <c:pt idx="13">
                  <c:v>8648.1342614296373</c:v>
                </c:pt>
                <c:pt idx="14">
                  <c:v>8847.3118784541257</c:v>
                </c:pt>
                <c:pt idx="15">
                  <c:v>9046.4894954786141</c:v>
                </c:pt>
                <c:pt idx="16">
                  <c:v>9245.6671125030989</c:v>
                </c:pt>
                <c:pt idx="17">
                  <c:v>9444.8447295275892</c:v>
                </c:pt>
                <c:pt idx="18">
                  <c:v>9644.0223465520776</c:v>
                </c:pt>
                <c:pt idx="19">
                  <c:v>9843.199963576566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32896"/>
        <c:axId val="291433288"/>
      </c:lineChart>
      <c:catAx>
        <c:axId val="2914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3288"/>
        <c:crosses val="autoZero"/>
        <c:auto val="1"/>
        <c:lblAlgn val="ctr"/>
        <c:lblOffset val="100"/>
        <c:noMultiLvlLbl val="0"/>
      </c:catAx>
      <c:valAx>
        <c:axId val="2914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20127.036403768416</c:v>
                </c:pt>
                <c:pt idx="1">
                  <c:v>20500.935489291685</c:v>
                </c:pt>
                <c:pt idx="2">
                  <c:v>20991.229620903119</c:v>
                </c:pt>
                <c:pt idx="3">
                  <c:v>21565.242315734275</c:v>
                </c:pt>
                <c:pt idx="4">
                  <c:v>22195.230256130406</c:v>
                </c:pt>
                <c:pt idx="5">
                  <c:v>22858.870907674482</c:v>
                </c:pt>
                <c:pt idx="6">
                  <c:v>23557.184307746258</c:v>
                </c:pt>
                <c:pt idx="7">
                  <c:v>24316.661255236952</c:v>
                </c:pt>
                <c:pt idx="8">
                  <c:v>25080.95502922597</c:v>
                </c:pt>
                <c:pt idx="9">
                  <c:v>25848.410783437757</c:v>
                </c:pt>
                <c:pt idx="10">
                  <c:v>26617.921726094726</c:v>
                </c:pt>
                <c:pt idx="11">
                  <c:v>27388.748587269525</c:v>
                </c:pt>
                <c:pt idx="12">
                  <c:v>28160.398544393003</c:v>
                </c:pt>
                <c:pt idx="13">
                  <c:v>28932.544015571468</c:v>
                </c:pt>
                <c:pt idx="14">
                  <c:v>29704.968186898124</c:v>
                </c:pt>
                <c:pt idx="15">
                  <c:v>30477.528468211265</c:v>
                </c:pt>
                <c:pt idx="16">
                  <c:v>31250.131973351195</c:v>
                </c:pt>
                <c:pt idx="17">
                  <c:v>32022.719066198653</c:v>
                </c:pt>
                <c:pt idx="18">
                  <c:v>32795.252317898572</c:v>
                </c:pt>
                <c:pt idx="19">
                  <c:v>33567.709095014754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43312"/>
        <c:axId val="295543704"/>
      </c:lineChart>
      <c:catAx>
        <c:axId val="2955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3704"/>
        <c:crosses val="autoZero"/>
        <c:auto val="1"/>
        <c:lblAlgn val="ctr"/>
        <c:lblOffset val="100"/>
        <c:noMultiLvlLbl val="0"/>
      </c:catAx>
      <c:valAx>
        <c:axId val="2955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21</xdr:col>
      <xdr:colOff>280147</xdr:colOff>
      <xdr:row>51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G14">
            <v>185986</v>
          </cell>
        </row>
        <row r="15">
          <cell r="G15">
            <v>191576</v>
          </cell>
        </row>
        <row r="16">
          <cell r="G16">
            <v>197388</v>
          </cell>
        </row>
        <row r="17">
          <cell r="G17">
            <v>203223</v>
          </cell>
        </row>
        <row r="18">
          <cell r="G18">
            <v>208893</v>
          </cell>
        </row>
        <row r="19">
          <cell r="G19">
            <v>214828</v>
          </cell>
        </row>
        <row r="20">
          <cell r="G20">
            <v>222299.2</v>
          </cell>
        </row>
        <row r="21">
          <cell r="G21">
            <v>228403.09999999998</v>
          </cell>
        </row>
        <row r="22">
          <cell r="G22">
            <v>234507</v>
          </cell>
        </row>
        <row r="23">
          <cell r="G23">
            <v>240610.9</v>
          </cell>
        </row>
        <row r="24">
          <cell r="G24">
            <v>246714.8</v>
          </cell>
        </row>
        <row r="25">
          <cell r="G25">
            <v>252818.69999999998</v>
          </cell>
        </row>
        <row r="26">
          <cell r="G26">
            <v>258922.59999999998</v>
          </cell>
        </row>
        <row r="27">
          <cell r="G27">
            <v>265026.5</v>
          </cell>
        </row>
        <row r="28">
          <cell r="G28">
            <v>271130.40000000002</v>
          </cell>
        </row>
        <row r="29">
          <cell r="G29">
            <v>277234.3</v>
          </cell>
        </row>
        <row r="30">
          <cell r="G30">
            <v>283338.19999999995</v>
          </cell>
        </row>
        <row r="31">
          <cell r="G31">
            <v>289442.09999999998</v>
          </cell>
        </row>
        <row r="32">
          <cell r="G32">
            <v>295546</v>
          </cell>
        </row>
        <row r="33">
          <cell r="G33">
            <v>301649.90000000002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0.54343415097791736</v>
          </cell>
        </row>
        <row r="29">
          <cell r="O29">
            <v>0.55333054214861044</v>
          </cell>
        </row>
        <row r="30">
          <cell r="O30">
            <v>0.56644916936279088</v>
          </cell>
        </row>
        <row r="31">
          <cell r="O31">
            <v>0.58189816657423132</v>
          </cell>
        </row>
        <row r="32">
          <cell r="O32">
            <v>0.59892208733178676</v>
          </cell>
        </row>
        <row r="33">
          <cell r="O33">
            <v>0.6168589224641684</v>
          </cell>
        </row>
        <row r="34">
          <cell r="O34">
            <v>0.63561862494002175</v>
          </cell>
        </row>
        <row r="35">
          <cell r="O35">
            <v>0.65620984981489716</v>
          </cell>
        </row>
        <row r="36">
          <cell r="O36">
            <v>0.67693527805006948</v>
          </cell>
        </row>
        <row r="37">
          <cell r="O37">
            <v>0.69774880336975165</v>
          </cell>
        </row>
        <row r="38">
          <cell r="O38">
            <v>0.71861958904445844</v>
          </cell>
        </row>
        <row r="39">
          <cell r="O39">
            <v>0.73952703800505137</v>
          </cell>
        </row>
        <row r="40">
          <cell r="O40">
            <v>0.76045741954214419</v>
          </cell>
        </row>
        <row r="41">
          <cell r="O41">
            <v>0.78140160677709147</v>
          </cell>
        </row>
        <row r="42">
          <cell r="O42">
            <v>0.80235355897854022</v>
          </cell>
        </row>
        <row r="43">
          <cell r="O43">
            <v>0.82330930338997688</v>
          </cell>
        </row>
        <row r="44">
          <cell r="O44">
            <v>0.84426625207621997</v>
          </cell>
        </row>
        <row r="45">
          <cell r="O45">
            <v>0.8652227434935954</v>
          </cell>
        </row>
        <row r="46">
          <cell r="O46">
            <v>0.88617773482311735</v>
          </cell>
        </row>
        <row r="47">
          <cell r="O47">
            <v>0.90713059546636299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0.38537234825438149</v>
          </cell>
        </row>
        <row r="29">
          <cell r="O29">
            <v>0.39239030157555377</v>
          </cell>
        </row>
        <row r="30">
          <cell r="O30">
            <v>0.40169327998849486</v>
          </cell>
        </row>
        <row r="31">
          <cell r="O31">
            <v>0.41264882321822116</v>
          </cell>
        </row>
        <row r="32">
          <cell r="O32">
            <v>0.42472121194651485</v>
          </cell>
        </row>
        <row r="33">
          <cell r="O33">
            <v>0.43744098721786784</v>
          </cell>
        </row>
        <row r="34">
          <cell r="O34">
            <v>0.45074429283946643</v>
          </cell>
        </row>
        <row r="35">
          <cell r="O35">
            <v>0.46534640915693559</v>
          </cell>
        </row>
        <row r="36">
          <cell r="O36">
            <v>0.48004369480450365</v>
          </cell>
        </row>
        <row r="37">
          <cell r="O37">
            <v>0.49480345385436114</v>
          </cell>
        </row>
        <row r="38">
          <cell r="O38">
            <v>0.50960381866563076</v>
          </cell>
        </row>
        <row r="39">
          <cell r="O39">
            <v>0.52443018297757793</v>
          </cell>
        </row>
        <row r="40">
          <cell r="O40">
            <v>0.53927280975820013</v>
          </cell>
        </row>
        <row r="41">
          <cell r="O41">
            <v>0.5541252267483483</v>
          </cell>
        </row>
        <row r="42">
          <cell r="O42">
            <v>0.56898315020762302</v>
          </cell>
        </row>
        <row r="43">
          <cell r="O43">
            <v>0.58384376288483797</v>
          </cell>
        </row>
        <row r="44">
          <cell r="O44">
            <v>0.59870522956471228</v>
          </cell>
        </row>
        <row r="45">
          <cell r="O45">
            <v>0.61356637197571773</v>
          </cell>
        </row>
        <row r="46">
          <cell r="O46">
            <v>0.62842645061040803</v>
          </cell>
        </row>
        <row r="47">
          <cell r="O47">
            <v>0.64328501828453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REKAPITULASI"/>
      <sheetName val="4D1_N_effluent"/>
      <sheetName val="4D1_Indirect_N2O"/>
    </sheetNames>
    <sheetDataSet>
      <sheetData sheetId="0"/>
      <sheetData sheetId="1"/>
      <sheetData sheetId="2"/>
      <sheetData sheetId="3"/>
      <sheetData sheetId="4">
        <row r="14">
          <cell r="M14">
            <v>0.52023256990328659</v>
          </cell>
        </row>
        <row r="15">
          <cell r="M15">
            <v>0.53601529684339355</v>
          </cell>
        </row>
        <row r="16">
          <cell r="M16">
            <v>0.55186048123697984</v>
          </cell>
        </row>
        <row r="17">
          <cell r="M17">
            <v>0.5672576012903876</v>
          </cell>
        </row>
        <row r="18">
          <cell r="M18">
            <v>0.58337433982953635</v>
          </cell>
        </row>
        <row r="19">
          <cell r="M19">
            <v>0.6036626931528204</v>
          </cell>
        </row>
        <row r="20">
          <cell r="M20">
            <v>0.62023808664382474</v>
          </cell>
        </row>
        <row r="21">
          <cell r="M21">
            <v>0.63681348013482919</v>
          </cell>
        </row>
        <row r="22">
          <cell r="M22">
            <v>0.65338887362583375</v>
          </cell>
        </row>
        <row r="23">
          <cell r="M23">
            <v>0.6699642671168381</v>
          </cell>
        </row>
        <row r="24">
          <cell r="M24">
            <v>0.68653966060784266</v>
          </cell>
        </row>
      </sheetData>
      <sheetData sheetId="5"/>
      <sheetData sheetId="6"/>
      <sheetData sheetId="7"/>
      <sheetData sheetId="8"/>
      <sheetData sheetId="9"/>
      <sheetData sheetId="10">
        <row r="6">
          <cell r="B6">
            <v>2.0086487999999999E-3</v>
          </cell>
          <cell r="D6">
            <v>1.5064865999999999E-4</v>
          </cell>
        </row>
        <row r="7">
          <cell r="B7">
            <v>2.0690208000000002E-3</v>
          </cell>
          <cell r="D7">
            <v>1.5517655999999999E-4</v>
          </cell>
        </row>
        <row r="8">
          <cell r="B8">
            <v>2.1317904000000003E-3</v>
          </cell>
          <cell r="D8">
            <v>1.5988428000000002E-4</v>
          </cell>
        </row>
        <row r="9">
          <cell r="B9">
            <v>2.1948084000000005E-3</v>
          </cell>
          <cell r="D9">
            <v>1.6461063000000001E-4</v>
          </cell>
        </row>
        <row r="10">
          <cell r="B10">
            <v>2.2560444000000006E-3</v>
          </cell>
          <cell r="D10">
            <v>1.6920333000000002E-4</v>
          </cell>
        </row>
        <row r="11">
          <cell r="B11">
            <v>2.3201424000000004E-3</v>
          </cell>
          <cell r="D11">
            <v>1.7401068000000002E-4</v>
          </cell>
        </row>
        <row r="12">
          <cell r="B12">
            <v>2.4008313600000003E-3</v>
          </cell>
          <cell r="D12">
            <v>1.8006235200000001E-4</v>
          </cell>
        </row>
        <row r="13">
          <cell r="B13">
            <v>2.4667534799999997E-3</v>
          </cell>
          <cell r="D13">
            <v>1.8500651099999997E-4</v>
          </cell>
        </row>
        <row r="14">
          <cell r="B14">
            <v>2.5326756000000001E-3</v>
          </cell>
          <cell r="D14">
            <v>1.8995067000000002E-4</v>
          </cell>
        </row>
        <row r="15">
          <cell r="B15">
            <v>2.59859772E-3</v>
          </cell>
          <cell r="D15">
            <v>1.94894829E-4</v>
          </cell>
        </row>
        <row r="16">
          <cell r="B16">
            <v>2.6645198399999999E-3</v>
          </cell>
          <cell r="D16">
            <v>1.9983898799999996E-4</v>
          </cell>
        </row>
        <row r="17">
          <cell r="B17">
            <v>2.7304419599999998E-3</v>
          </cell>
          <cell r="D17">
            <v>2.0478314699999998E-4</v>
          </cell>
        </row>
        <row r="18">
          <cell r="B18">
            <v>2.7963640799999996E-3</v>
          </cell>
          <cell r="D18">
            <v>2.0972730599999996E-4</v>
          </cell>
        </row>
        <row r="19">
          <cell r="B19">
            <v>2.8622862000000004E-3</v>
          </cell>
          <cell r="D19">
            <v>2.14671465E-4</v>
          </cell>
        </row>
        <row r="20">
          <cell r="B20">
            <v>2.9282083200000003E-3</v>
          </cell>
          <cell r="D20">
            <v>2.1961562400000004E-4</v>
          </cell>
        </row>
        <row r="21">
          <cell r="B21">
            <v>2.9941304400000002E-3</v>
          </cell>
          <cell r="D21">
            <v>2.24559783E-4</v>
          </cell>
        </row>
        <row r="22">
          <cell r="B22">
            <v>3.0600525599999997E-3</v>
          </cell>
          <cell r="D22">
            <v>2.2950394199999996E-4</v>
          </cell>
        </row>
        <row r="23">
          <cell r="B23">
            <v>3.1259746799999996E-3</v>
          </cell>
          <cell r="D23">
            <v>2.3444810099999995E-4</v>
          </cell>
        </row>
        <row r="24">
          <cell r="B24">
            <v>3.1918967999999999E-3</v>
          </cell>
          <cell r="D24">
            <v>2.3939225999999997E-4</v>
          </cell>
        </row>
        <row r="25">
          <cell r="B25">
            <v>3.2578189200000007E-3</v>
          </cell>
          <cell r="D25">
            <v>2.4433641900000001E-4</v>
          </cell>
        </row>
        <row r="32">
          <cell r="B32">
            <v>1.8939409115770002E-2</v>
          </cell>
          <cell r="D32">
            <v>4.3706328728700003E-4</v>
          </cell>
        </row>
        <row r="33">
          <cell r="B33">
            <v>1.950865248332E-2</v>
          </cell>
          <cell r="D33">
            <v>4.501996726919999E-4</v>
          </cell>
        </row>
        <row r="34">
          <cell r="B34">
            <v>2.010050265366E-2</v>
          </cell>
          <cell r="D34">
            <v>4.6385775354600004E-4</v>
          </cell>
        </row>
        <row r="35">
          <cell r="B35">
            <v>2.0694694970235003E-2</v>
          </cell>
          <cell r="D35">
            <v>4.7756988392850006E-4</v>
          </cell>
        </row>
        <row r="36">
          <cell r="B36">
            <v>2.1272084933385001E-2</v>
          </cell>
          <cell r="D36">
            <v>4.9089426769350004E-4</v>
          </cell>
        </row>
        <row r="37">
          <cell r="B37">
            <v>2.1876460494460001E-2</v>
          </cell>
          <cell r="D37">
            <v>5.0484139602599998E-4</v>
          </cell>
        </row>
        <row r="38">
          <cell r="B38">
            <v>2.2637271057544005E-2</v>
          </cell>
          <cell r="D38">
            <v>5.2239856286640006E-4</v>
          </cell>
        </row>
        <row r="39">
          <cell r="B39">
            <v>2.32588461185795E-2</v>
          </cell>
          <cell r="D39">
            <v>5.3674260273644993E-4</v>
          </cell>
        </row>
        <row r="40">
          <cell r="B40">
            <v>2.3880421179614999E-2</v>
          </cell>
          <cell r="D40">
            <v>5.5108664260649992E-4</v>
          </cell>
        </row>
        <row r="41">
          <cell r="B41">
            <v>2.4501996240650498E-2</v>
          </cell>
          <cell r="D41">
            <v>5.654306824765499E-4</v>
          </cell>
        </row>
        <row r="42">
          <cell r="B42">
            <v>2.5123571301685996E-2</v>
          </cell>
          <cell r="D42">
            <v>5.7977472234659988E-4</v>
          </cell>
        </row>
        <row r="43">
          <cell r="B43">
            <v>2.5745146362721499E-2</v>
          </cell>
          <cell r="D43">
            <v>5.9411876221664996E-4</v>
          </cell>
        </row>
        <row r="44">
          <cell r="B44">
            <v>2.6366721423756994E-2</v>
          </cell>
          <cell r="D44">
            <v>6.0846280208669984E-4</v>
          </cell>
        </row>
        <row r="45">
          <cell r="B45">
            <v>2.69882964847925E-2</v>
          </cell>
          <cell r="D45">
            <v>6.2280684195674992E-4</v>
          </cell>
        </row>
        <row r="46">
          <cell r="B46">
            <v>2.7609871545828009E-2</v>
          </cell>
          <cell r="D46">
            <v>6.3715088182680012E-4</v>
          </cell>
        </row>
        <row r="47">
          <cell r="B47">
            <v>2.8231446606863501E-2</v>
          </cell>
          <cell r="D47">
            <v>6.5149492169684999E-4</v>
          </cell>
        </row>
        <row r="48">
          <cell r="B48">
            <v>2.8853021667898996E-2</v>
          </cell>
          <cell r="D48">
            <v>6.6583896156689987E-4</v>
          </cell>
        </row>
        <row r="49">
          <cell r="B49">
            <v>2.9474596728934498E-2</v>
          </cell>
          <cell r="D49">
            <v>6.8018300143694995E-4</v>
          </cell>
        </row>
        <row r="50">
          <cell r="B50">
            <v>3.0096171789969994E-2</v>
          </cell>
          <cell r="D50">
            <v>6.9452704130699983E-4</v>
          </cell>
        </row>
        <row r="51">
          <cell r="B51">
            <v>3.0717746851005496E-2</v>
          </cell>
          <cell r="D51">
            <v>7.0887108117705002E-4</v>
          </cell>
        </row>
        <row r="59">
          <cell r="B59">
            <v>0.1943028475536</v>
          </cell>
          <cell r="D59">
            <v>6.6034063605714304E-3</v>
          </cell>
        </row>
        <row r="60">
          <cell r="B60">
            <v>0.20014281893760003</v>
          </cell>
          <cell r="D60">
            <v>6.5568254400000013E-3</v>
          </cell>
        </row>
        <row r="61">
          <cell r="B61">
            <v>0.20621471762879998</v>
          </cell>
          <cell r="D61">
            <v>6.6602094994285726E-3</v>
          </cell>
        </row>
        <row r="62">
          <cell r="B62">
            <v>0.2123106448248</v>
          </cell>
          <cell r="D62">
            <v>7.0093161065714294E-3</v>
          </cell>
        </row>
        <row r="63">
          <cell r="B63">
            <v>0.21823419361680002</v>
          </cell>
          <cell r="D63">
            <v>7.2048787265714303E-3</v>
          </cell>
        </row>
        <row r="64">
          <cell r="B64">
            <v>0.22443459257279999</v>
          </cell>
          <cell r="D64">
            <v>7.4095813984761914E-3</v>
          </cell>
        </row>
        <row r="65">
          <cell r="B65">
            <v>0.23223988670592002</v>
          </cell>
          <cell r="D65">
            <v>7.6672687788190497E-3</v>
          </cell>
        </row>
        <row r="66">
          <cell r="B66">
            <v>0.23861673846456002</v>
          </cell>
          <cell r="D66">
            <v>7.8777969404095222E-3</v>
          </cell>
        </row>
        <row r="67">
          <cell r="B67">
            <v>0.2449935902232</v>
          </cell>
          <cell r="D67">
            <v>8.0883251020000008E-3</v>
          </cell>
        </row>
        <row r="68">
          <cell r="B68">
            <v>0.25137044198184</v>
          </cell>
          <cell r="D68">
            <v>8.298853263590476E-3</v>
          </cell>
        </row>
        <row r="69">
          <cell r="B69">
            <v>0.25774729374048</v>
          </cell>
          <cell r="D69">
            <v>8.5093814251809528E-3</v>
          </cell>
        </row>
        <row r="70">
          <cell r="B70">
            <v>0.26412414549912</v>
          </cell>
          <cell r="D70">
            <v>8.719909586771428E-3</v>
          </cell>
        </row>
        <row r="71">
          <cell r="B71">
            <v>0.27050099725775995</v>
          </cell>
          <cell r="D71">
            <v>8.9304377483619031E-3</v>
          </cell>
        </row>
        <row r="72">
          <cell r="B72">
            <v>0.2768778490164</v>
          </cell>
          <cell r="D72">
            <v>9.1409659099523817E-3</v>
          </cell>
        </row>
        <row r="73">
          <cell r="B73">
            <v>0.28325470077504</v>
          </cell>
          <cell r="D73">
            <v>9.3514940715428586E-3</v>
          </cell>
        </row>
        <row r="74">
          <cell r="B74">
            <v>0.28963155253368</v>
          </cell>
          <cell r="D74">
            <v>9.5620222331333337E-3</v>
          </cell>
        </row>
        <row r="75">
          <cell r="B75">
            <v>0.29600840429231989</v>
          </cell>
          <cell r="D75">
            <v>9.7725503947238088E-3</v>
          </cell>
        </row>
        <row r="76">
          <cell r="B76">
            <v>0.30238525605095995</v>
          </cell>
          <cell r="D76">
            <v>9.9830785563142857E-3</v>
          </cell>
        </row>
        <row r="77">
          <cell r="B77">
            <v>0.30876210780960006</v>
          </cell>
          <cell r="D77">
            <v>1.0193606717904763E-2</v>
          </cell>
        </row>
        <row r="78">
          <cell r="B78">
            <v>0.31513895956824006</v>
          </cell>
          <cell r="D78">
            <v>1.0404134879495239E-2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1655706</v>
          </cell>
        </row>
        <row r="13">
          <cell r="G13">
            <v>3695172</v>
          </cell>
        </row>
        <row r="14">
          <cell r="G14">
            <v>4598922</v>
          </cell>
        </row>
        <row r="15">
          <cell r="G15">
            <v>5517132</v>
          </cell>
        </row>
        <row r="16">
          <cell r="G16">
            <v>7523346</v>
          </cell>
        </row>
        <row r="17">
          <cell r="G17">
            <v>7326858</v>
          </cell>
        </row>
        <row r="18">
          <cell r="G18">
            <v>10115021.433</v>
          </cell>
        </row>
        <row r="19">
          <cell r="G19">
            <v>11480218.752</v>
          </cell>
        </row>
        <row r="20">
          <cell r="G20">
            <v>12892218.956999999</v>
          </cell>
        </row>
        <row r="21">
          <cell r="G21">
            <v>14351022.048</v>
          </cell>
        </row>
        <row r="22">
          <cell r="G22">
            <v>16429430.359999999</v>
          </cell>
        </row>
        <row r="23">
          <cell r="G23">
            <v>18576500.352000002</v>
          </cell>
        </row>
        <row r="24">
          <cell r="G24">
            <v>20792232.024</v>
          </cell>
        </row>
        <row r="25">
          <cell r="G25">
            <v>23076625.376000002</v>
          </cell>
        </row>
        <row r="26">
          <cell r="G26">
            <v>25429680.408000004</v>
          </cell>
        </row>
        <row r="27">
          <cell r="G27">
            <v>27851397.120000001</v>
          </cell>
        </row>
        <row r="28">
          <cell r="G28">
            <v>30341775.512000002</v>
          </cell>
        </row>
        <row r="29">
          <cell r="G29">
            <v>32900815.583999999</v>
          </cell>
        </row>
        <row r="30">
          <cell r="G30">
            <v>35528517.336000003</v>
          </cell>
        </row>
        <row r="31">
          <cell r="G31">
            <v>36116647.008000009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C5" sqref="C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153</v>
      </c>
    </row>
    <row r="2" spans="1:14" ht="21" x14ac:dyDescent="0.25">
      <c r="G2" s="80" t="s">
        <v>18</v>
      </c>
    </row>
    <row r="3" spans="1:14" ht="15.75" customHeight="1" x14ac:dyDescent="0.25">
      <c r="A3" s="165" t="s">
        <v>11</v>
      </c>
      <c r="B3" s="165" t="s">
        <v>125</v>
      </c>
      <c r="C3" s="78" t="s">
        <v>12</v>
      </c>
      <c r="D3" s="164" t="s">
        <v>12</v>
      </c>
      <c r="E3" s="164"/>
      <c r="G3" s="81" t="s">
        <v>16</v>
      </c>
      <c r="H3" s="81"/>
      <c r="I3" s="81"/>
    </row>
    <row r="4" spans="1:14" x14ac:dyDescent="0.25">
      <c r="A4" s="166"/>
      <c r="B4" s="166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[1]Sheet3!G14</f>
        <v>185986</v>
      </c>
      <c r="C5" s="152">
        <v>0.2</v>
      </c>
      <c r="D5" s="137">
        <f t="shared" ref="D5:D24" si="0">C5*B5</f>
        <v>37197.200000000004</v>
      </c>
      <c r="E5" s="137">
        <f>D5/1000</f>
        <v>37.197200000000002</v>
      </c>
    </row>
    <row r="6" spans="1:14" x14ac:dyDescent="0.25">
      <c r="A6" s="88">
        <v>2012</v>
      </c>
      <c r="B6" s="89">
        <f>[1]Sheet3!G15</f>
        <v>191576</v>
      </c>
      <c r="C6" s="152">
        <v>0.2</v>
      </c>
      <c r="D6" s="137">
        <f t="shared" si="0"/>
        <v>38315.200000000004</v>
      </c>
      <c r="E6" s="137">
        <f t="shared" ref="E6:E24" si="1">D6/1000</f>
        <v>38.315200000000004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[1]Sheet3!G16</f>
        <v>197388</v>
      </c>
      <c r="C7" s="152">
        <v>0.2</v>
      </c>
      <c r="D7" s="137">
        <f t="shared" si="0"/>
        <v>39477.600000000006</v>
      </c>
      <c r="E7" s="137">
        <f t="shared" si="1"/>
        <v>39.477600000000002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[1]Sheet3!G17</f>
        <v>203223</v>
      </c>
      <c r="C8" s="152">
        <v>0.2</v>
      </c>
      <c r="D8" s="137">
        <f t="shared" si="0"/>
        <v>40644.600000000006</v>
      </c>
      <c r="E8" s="137">
        <f t="shared" si="1"/>
        <v>40.644600000000004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[1]Sheet3!G18</f>
        <v>208893</v>
      </c>
      <c r="C9" s="152">
        <v>0.2</v>
      </c>
      <c r="D9" s="137">
        <f t="shared" si="0"/>
        <v>41778.600000000006</v>
      </c>
      <c r="E9" s="137">
        <f t="shared" si="1"/>
        <v>41.778600000000004</v>
      </c>
    </row>
    <row r="10" spans="1:14" x14ac:dyDescent="0.25">
      <c r="A10" s="88">
        <v>2016</v>
      </c>
      <c r="B10" s="89">
        <f>[1]Sheet3!G19</f>
        <v>214828</v>
      </c>
      <c r="C10" s="152">
        <v>0.2</v>
      </c>
      <c r="D10" s="137">
        <f t="shared" si="0"/>
        <v>42965.600000000006</v>
      </c>
      <c r="E10" s="137">
        <f t="shared" si="1"/>
        <v>42.965600000000009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[1]Sheet3!G20</f>
        <v>222299.2</v>
      </c>
      <c r="C11" s="152">
        <v>0.2</v>
      </c>
      <c r="D11" s="137">
        <f t="shared" si="0"/>
        <v>44459.840000000004</v>
      </c>
      <c r="E11" s="137">
        <f t="shared" si="1"/>
        <v>44.459840000000007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[1]Sheet3!G21</f>
        <v>228403.09999999998</v>
      </c>
      <c r="C12" s="152">
        <v>0.2</v>
      </c>
      <c r="D12" s="137">
        <f t="shared" si="0"/>
        <v>45680.619999999995</v>
      </c>
      <c r="E12" s="137">
        <f t="shared" si="1"/>
        <v>45.680619999999998</v>
      </c>
    </row>
    <row r="13" spans="1:14" x14ac:dyDescent="0.25">
      <c r="A13" s="88">
        <v>2019</v>
      </c>
      <c r="B13" s="89">
        <f>[1]Sheet3!G22</f>
        <v>234507</v>
      </c>
      <c r="C13" s="152">
        <v>0.2</v>
      </c>
      <c r="D13" s="137">
        <f t="shared" si="0"/>
        <v>46901.4</v>
      </c>
      <c r="E13" s="137">
        <f t="shared" si="1"/>
        <v>46.901400000000002</v>
      </c>
    </row>
    <row r="14" spans="1:14" x14ac:dyDescent="0.25">
      <c r="A14" s="88">
        <v>2020</v>
      </c>
      <c r="B14" s="89">
        <f>[1]Sheet3!G23</f>
        <v>240610.9</v>
      </c>
      <c r="C14" s="152">
        <v>0.2</v>
      </c>
      <c r="D14" s="137">
        <f t="shared" si="0"/>
        <v>48122.18</v>
      </c>
      <c r="E14" s="137">
        <f t="shared" si="1"/>
        <v>48.12218</v>
      </c>
    </row>
    <row r="15" spans="1:14" x14ac:dyDescent="0.25">
      <c r="A15" s="88">
        <v>2021</v>
      </c>
      <c r="B15" s="89">
        <f>[1]Sheet3!G24</f>
        <v>246714.8</v>
      </c>
      <c r="C15" s="152">
        <v>0.2</v>
      </c>
      <c r="D15" s="137">
        <f t="shared" si="0"/>
        <v>49342.96</v>
      </c>
      <c r="E15" s="137">
        <f t="shared" si="1"/>
        <v>49.342959999999998</v>
      </c>
    </row>
    <row r="16" spans="1:14" x14ac:dyDescent="0.25">
      <c r="A16" s="88">
        <v>2022</v>
      </c>
      <c r="B16" s="89">
        <f>[1]Sheet3!G25</f>
        <v>252818.69999999998</v>
      </c>
      <c r="C16" s="152">
        <v>0.2</v>
      </c>
      <c r="D16" s="137">
        <f t="shared" si="0"/>
        <v>50563.74</v>
      </c>
      <c r="E16" s="137">
        <f t="shared" si="1"/>
        <v>50.563739999999996</v>
      </c>
    </row>
    <row r="17" spans="1:10" x14ac:dyDescent="0.25">
      <c r="A17" s="88">
        <v>2023</v>
      </c>
      <c r="B17" s="89">
        <f>[1]Sheet3!G26</f>
        <v>258922.59999999998</v>
      </c>
      <c r="C17" s="152">
        <v>0.2</v>
      </c>
      <c r="D17" s="137">
        <f t="shared" si="0"/>
        <v>51784.52</v>
      </c>
      <c r="E17" s="137">
        <f t="shared" si="1"/>
        <v>51.784519999999993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[1]Sheet3!G27</f>
        <v>265026.5</v>
      </c>
      <c r="C18" s="152">
        <v>0.2</v>
      </c>
      <c r="D18" s="137">
        <f t="shared" si="0"/>
        <v>53005.3</v>
      </c>
      <c r="E18" s="137">
        <f t="shared" si="1"/>
        <v>53.005300000000005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[1]Sheet3!G28</f>
        <v>271130.40000000002</v>
      </c>
      <c r="C19" s="152">
        <v>0.2</v>
      </c>
      <c r="D19" s="137">
        <f t="shared" si="0"/>
        <v>54226.080000000009</v>
      </c>
      <c r="E19" s="137">
        <f t="shared" si="1"/>
        <v>54.22608000000001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[1]Sheet3!G29</f>
        <v>277234.3</v>
      </c>
      <c r="C20" s="152">
        <v>0.2</v>
      </c>
      <c r="D20" s="137">
        <f t="shared" si="0"/>
        <v>55446.86</v>
      </c>
      <c r="E20" s="137">
        <f t="shared" si="1"/>
        <v>55.446860000000001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[1]Sheet3!G30</f>
        <v>283338.19999999995</v>
      </c>
      <c r="C21" s="152">
        <v>0.2</v>
      </c>
      <c r="D21" s="137">
        <f t="shared" si="0"/>
        <v>56667.639999999992</v>
      </c>
      <c r="E21" s="137">
        <f t="shared" si="1"/>
        <v>56.667639999999992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[1]Sheet3!G31</f>
        <v>289442.09999999998</v>
      </c>
      <c r="C22" s="152">
        <v>0.2</v>
      </c>
      <c r="D22" s="137">
        <f t="shared" si="0"/>
        <v>57888.42</v>
      </c>
      <c r="E22" s="137">
        <f t="shared" si="1"/>
        <v>57.888419999999996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[1]Sheet3!G32</f>
        <v>295546</v>
      </c>
      <c r="C23" s="152">
        <v>0.2</v>
      </c>
      <c r="D23" s="137">
        <f t="shared" si="0"/>
        <v>59109.200000000004</v>
      </c>
      <c r="E23" s="137">
        <f t="shared" si="1"/>
        <v>59.109200000000001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[1]Sheet3!G33</f>
        <v>301649.90000000002</v>
      </c>
      <c r="C24" s="152">
        <v>0.2</v>
      </c>
      <c r="D24" s="137">
        <f t="shared" si="0"/>
        <v>60329.98000000001</v>
      </c>
      <c r="E24" s="137">
        <f t="shared" si="1"/>
        <v>60.329980000000013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31" zoomScaleNormal="100" workbookViewId="0">
      <selection activeCell="L5" sqref="L5"/>
    </sheetView>
  </sheetViews>
  <sheetFormatPr defaultRowHeight="12.75" x14ac:dyDescent="0.25"/>
  <cols>
    <col min="1" max="1" width="9.140625" style="131"/>
    <col min="2" max="2" width="15.5703125" style="131" customWidth="1"/>
    <col min="3" max="3" width="11" style="131" customWidth="1"/>
    <col min="4" max="6" width="9.140625" style="131"/>
    <col min="7" max="7" width="12.28515625" style="131" customWidth="1"/>
    <col min="8" max="8" width="9.140625" style="131"/>
    <col min="9" max="9" width="16.85546875" style="131" customWidth="1"/>
    <col min="10" max="11" width="9.140625" style="131"/>
    <col min="12" max="12" width="9" style="138" bestFit="1" customWidth="1"/>
    <col min="13" max="13" width="12" style="138" bestFit="1" customWidth="1"/>
    <col min="14" max="14" width="2.42578125" style="138" customWidth="1"/>
    <col min="15" max="15" width="7.140625" style="138" customWidth="1"/>
    <col min="16" max="19" width="9.140625" style="138"/>
    <col min="20" max="20" width="1.42578125" style="138" customWidth="1"/>
    <col min="21" max="21" width="7.140625" style="138" customWidth="1"/>
    <col min="22" max="22" width="50.28515625" style="138" customWidth="1"/>
    <col min="23" max="25" width="9.140625" style="138"/>
    <col min="26" max="16384" width="9.140625" style="131"/>
  </cols>
  <sheetData>
    <row r="2" spans="1:21" x14ac:dyDescent="0.25">
      <c r="A2" s="167" t="s">
        <v>9</v>
      </c>
      <c r="B2" s="167"/>
      <c r="C2" s="167"/>
      <c r="D2" s="167"/>
      <c r="E2" s="167"/>
      <c r="F2" s="167"/>
      <c r="G2" s="167"/>
      <c r="H2" s="167"/>
      <c r="I2" s="167"/>
    </row>
    <row r="3" spans="1:21" x14ac:dyDescent="0.25">
      <c r="A3" s="139" t="s">
        <v>124</v>
      </c>
    </row>
    <row r="4" spans="1:21" x14ac:dyDescent="0.25">
      <c r="A4" s="168" t="s">
        <v>8</v>
      </c>
      <c r="B4" s="168" t="s">
        <v>0</v>
      </c>
      <c r="C4" s="168"/>
      <c r="D4" s="168"/>
      <c r="E4" s="168"/>
      <c r="F4" s="168"/>
      <c r="G4" s="168"/>
      <c r="H4" s="168"/>
      <c r="I4" s="172" t="s">
        <v>10</v>
      </c>
    </row>
    <row r="5" spans="1:21" ht="25.5" x14ac:dyDescent="0.25">
      <c r="A5" s="168"/>
      <c r="B5" s="136" t="s">
        <v>1</v>
      </c>
      <c r="C5" s="136" t="s">
        <v>2</v>
      </c>
      <c r="D5" s="136" t="s">
        <v>149</v>
      </c>
      <c r="E5" s="136" t="s">
        <v>4</v>
      </c>
      <c r="F5" s="136" t="s">
        <v>5</v>
      </c>
      <c r="G5" s="136" t="s">
        <v>128</v>
      </c>
      <c r="H5" s="136" t="s">
        <v>7</v>
      </c>
      <c r="I5" s="173"/>
      <c r="P5" s="140"/>
    </row>
    <row r="6" spans="1:21" ht="17.25" customHeight="1" x14ac:dyDescent="0.25">
      <c r="A6" s="141">
        <v>2011</v>
      </c>
      <c r="B6" s="163">
        <v>0.31609999999999999</v>
      </c>
      <c r="C6" s="163">
        <f>4%+9.35%+8.46%+6.21%</f>
        <v>0.2802</v>
      </c>
      <c r="D6" s="163">
        <v>1.35E-2</v>
      </c>
      <c r="E6" s="163">
        <v>0.39019999999999999</v>
      </c>
      <c r="F6" s="91"/>
      <c r="G6" s="91"/>
      <c r="H6" s="91"/>
      <c r="I6" s="142">
        <f>SUM(B6:H6)</f>
        <v>1</v>
      </c>
      <c r="L6" s="92"/>
    </row>
    <row r="7" spans="1:21" x14ac:dyDescent="0.25">
      <c r="A7" s="141">
        <v>2012</v>
      </c>
      <c r="B7" s="163">
        <v>0.31609999999999999</v>
      </c>
      <c r="C7" s="163">
        <f t="shared" ref="C7:C25" si="0">4%+9.35%+8.46%+6.21%</f>
        <v>0.2802</v>
      </c>
      <c r="D7" s="163">
        <v>1.35E-2</v>
      </c>
      <c r="E7" s="163">
        <v>0.39019999999999999</v>
      </c>
      <c r="F7" s="91"/>
      <c r="G7" s="91"/>
      <c r="H7" s="91"/>
      <c r="I7" s="142">
        <f t="shared" ref="I7:I25" si="1">SUM(B7:H7)</f>
        <v>1</v>
      </c>
      <c r="L7" s="138">
        <v>2000</v>
      </c>
      <c r="M7" s="138">
        <f>M8-(M8*0.024)</f>
        <v>0</v>
      </c>
      <c r="N7" s="93"/>
      <c r="O7" s="94"/>
      <c r="P7" s="140"/>
      <c r="S7" s="143"/>
      <c r="T7" s="144"/>
      <c r="U7" s="143"/>
    </row>
    <row r="8" spans="1:21" x14ac:dyDescent="0.25">
      <c r="A8" s="141">
        <v>2013</v>
      </c>
      <c r="B8" s="163">
        <v>0.31609999999999999</v>
      </c>
      <c r="C8" s="163">
        <f t="shared" si="0"/>
        <v>0.2802</v>
      </c>
      <c r="D8" s="163">
        <v>1.35E-2</v>
      </c>
      <c r="E8" s="163">
        <v>0.39019999999999999</v>
      </c>
      <c r="F8" s="91"/>
      <c r="G8" s="91"/>
      <c r="H8" s="91"/>
      <c r="I8" s="142">
        <f t="shared" si="1"/>
        <v>1</v>
      </c>
      <c r="L8" s="138">
        <v>2001</v>
      </c>
      <c r="M8" s="138">
        <f t="shared" ref="M8:M10" si="2">M9-(M9*0.024)</f>
        <v>0</v>
      </c>
      <c r="N8" s="94"/>
      <c r="O8" s="94"/>
      <c r="P8" s="140"/>
      <c r="S8" s="145"/>
      <c r="T8" s="145"/>
      <c r="U8" s="145"/>
    </row>
    <row r="9" spans="1:21" x14ac:dyDescent="0.25">
      <c r="A9" s="141">
        <v>2014</v>
      </c>
      <c r="B9" s="163">
        <v>0.31609999999999999</v>
      </c>
      <c r="C9" s="163">
        <f t="shared" si="0"/>
        <v>0.2802</v>
      </c>
      <c r="D9" s="163">
        <v>1.35E-2</v>
      </c>
      <c r="E9" s="163">
        <v>0.39019999999999999</v>
      </c>
      <c r="F9" s="91"/>
      <c r="G9" s="91"/>
      <c r="H9" s="91"/>
      <c r="I9" s="142">
        <f t="shared" si="1"/>
        <v>1</v>
      </c>
      <c r="L9" s="138">
        <v>2002</v>
      </c>
      <c r="M9" s="138">
        <f t="shared" si="2"/>
        <v>0</v>
      </c>
      <c r="N9" s="94"/>
      <c r="O9" s="94"/>
      <c r="P9" s="140"/>
    </row>
    <row r="10" spans="1:21" x14ac:dyDescent="0.25">
      <c r="A10" s="141">
        <v>2015</v>
      </c>
      <c r="B10" s="163">
        <v>0.31609999999999999</v>
      </c>
      <c r="C10" s="163">
        <f t="shared" si="0"/>
        <v>0.2802</v>
      </c>
      <c r="D10" s="163">
        <v>1.35E-2</v>
      </c>
      <c r="E10" s="163">
        <v>0.39019999999999999</v>
      </c>
      <c r="F10" s="91"/>
      <c r="G10" s="91"/>
      <c r="H10" s="91"/>
      <c r="I10" s="142">
        <f t="shared" si="1"/>
        <v>1</v>
      </c>
      <c r="L10" s="138">
        <v>2003</v>
      </c>
      <c r="M10" s="138">
        <f t="shared" si="2"/>
        <v>0</v>
      </c>
      <c r="N10" s="93"/>
      <c r="O10" s="94"/>
      <c r="P10" s="140"/>
    </row>
    <row r="11" spans="1:21" x14ac:dyDescent="0.25">
      <c r="A11" s="141">
        <v>2016</v>
      </c>
      <c r="B11" s="163">
        <v>0.31609999999999999</v>
      </c>
      <c r="C11" s="163">
        <f t="shared" si="0"/>
        <v>0.2802</v>
      </c>
      <c r="D11" s="163">
        <v>1.35E-2</v>
      </c>
      <c r="E11" s="163">
        <v>0.39019999999999999</v>
      </c>
      <c r="F11" s="91"/>
      <c r="G11" s="91"/>
      <c r="H11" s="91"/>
      <c r="I11" s="142">
        <f t="shared" si="1"/>
        <v>1</v>
      </c>
      <c r="L11" s="138">
        <v>2004</v>
      </c>
      <c r="M11" s="138">
        <f>M12-(M12*0.024)</f>
        <v>0</v>
      </c>
    </row>
    <row r="12" spans="1:21" x14ac:dyDescent="0.25">
      <c r="A12" s="141">
        <v>2017</v>
      </c>
      <c r="B12" s="163">
        <v>0.31609999999999999</v>
      </c>
      <c r="C12" s="163">
        <f t="shared" si="0"/>
        <v>0.2802</v>
      </c>
      <c r="D12" s="163">
        <v>1.35E-2</v>
      </c>
      <c r="E12" s="163">
        <v>0.39019999999999999</v>
      </c>
      <c r="F12" s="91"/>
      <c r="G12" s="91"/>
      <c r="H12" s="91"/>
      <c r="I12" s="142">
        <f t="shared" si="1"/>
        <v>1</v>
      </c>
      <c r="L12" s="138">
        <v>2005</v>
      </c>
      <c r="M12" s="138">
        <f>M13-(M13*O29)</f>
        <v>0</v>
      </c>
    </row>
    <row r="13" spans="1:21" x14ac:dyDescent="0.25">
      <c r="A13" s="141">
        <v>2018</v>
      </c>
      <c r="B13" s="163">
        <v>0.31609999999999999</v>
      </c>
      <c r="C13" s="163">
        <f t="shared" si="0"/>
        <v>0.2802</v>
      </c>
      <c r="D13" s="163">
        <v>1.35E-2</v>
      </c>
      <c r="E13" s="163">
        <v>0.39019999999999999</v>
      </c>
      <c r="F13" s="91"/>
      <c r="G13" s="91"/>
      <c r="H13" s="91"/>
      <c r="I13" s="142">
        <f t="shared" si="1"/>
        <v>1</v>
      </c>
      <c r="L13" s="138">
        <v>2006</v>
      </c>
      <c r="M13" s="138">
        <f>M14-(M14*O29)</f>
        <v>0</v>
      </c>
    </row>
    <row r="14" spans="1:21" x14ac:dyDescent="0.25">
      <c r="A14" s="141">
        <v>2019</v>
      </c>
      <c r="B14" s="163">
        <v>0.31609999999999999</v>
      </c>
      <c r="C14" s="163">
        <f t="shared" si="0"/>
        <v>0.2802</v>
      </c>
      <c r="D14" s="163">
        <v>1.35E-2</v>
      </c>
      <c r="E14" s="163">
        <v>0.39019999999999999</v>
      </c>
      <c r="F14" s="91"/>
      <c r="G14" s="91"/>
      <c r="H14" s="91"/>
      <c r="I14" s="142">
        <f t="shared" si="1"/>
        <v>1</v>
      </c>
      <c r="L14" s="138">
        <v>2007</v>
      </c>
      <c r="M14" s="138">
        <f>M15-(M15*O29)</f>
        <v>0</v>
      </c>
      <c r="P14" s="140"/>
    </row>
    <row r="15" spans="1:21" x14ac:dyDescent="0.25">
      <c r="A15" s="141">
        <v>2020</v>
      </c>
      <c r="B15" s="163">
        <v>0.31609999999999999</v>
      </c>
      <c r="C15" s="163">
        <f t="shared" si="0"/>
        <v>0.2802</v>
      </c>
      <c r="D15" s="163">
        <v>1.35E-2</v>
      </c>
      <c r="E15" s="163">
        <v>0.39019999999999999</v>
      </c>
      <c r="F15" s="91"/>
      <c r="G15" s="91"/>
      <c r="H15" s="91"/>
      <c r="I15" s="142">
        <f t="shared" si="1"/>
        <v>1</v>
      </c>
      <c r="L15" s="138">
        <v>2008</v>
      </c>
      <c r="M15" s="138">
        <f>M27-(M27*O29)</f>
        <v>0</v>
      </c>
      <c r="S15" s="143"/>
    </row>
    <row r="16" spans="1:21" x14ac:dyDescent="0.25">
      <c r="A16" s="141">
        <v>2021</v>
      </c>
      <c r="B16" s="163">
        <v>0.31609999999999999</v>
      </c>
      <c r="C16" s="163">
        <f t="shared" si="0"/>
        <v>0.2802</v>
      </c>
      <c r="D16" s="163">
        <v>1.35E-2</v>
      </c>
      <c r="E16" s="163">
        <v>0.39019999999999999</v>
      </c>
      <c r="F16" s="91"/>
      <c r="G16" s="91"/>
      <c r="H16" s="91"/>
      <c r="I16" s="142">
        <f t="shared" si="1"/>
        <v>1</v>
      </c>
      <c r="S16" s="143"/>
    </row>
    <row r="17" spans="1:19" x14ac:dyDescent="0.25">
      <c r="A17" s="141">
        <v>2022</v>
      </c>
      <c r="B17" s="163">
        <v>0.31609999999999999</v>
      </c>
      <c r="C17" s="163">
        <f t="shared" si="0"/>
        <v>0.2802</v>
      </c>
      <c r="D17" s="163">
        <v>1.35E-2</v>
      </c>
      <c r="E17" s="163">
        <v>0.39019999999999999</v>
      </c>
      <c r="F17" s="91"/>
      <c r="G17" s="91"/>
      <c r="H17" s="91"/>
      <c r="I17" s="142">
        <f t="shared" si="1"/>
        <v>1</v>
      </c>
      <c r="S17" s="143"/>
    </row>
    <row r="18" spans="1:19" x14ac:dyDescent="0.25">
      <c r="A18" s="141">
        <v>2023</v>
      </c>
      <c r="B18" s="163">
        <v>0.31609999999999999</v>
      </c>
      <c r="C18" s="163">
        <f t="shared" si="0"/>
        <v>0.2802</v>
      </c>
      <c r="D18" s="163">
        <v>1.35E-2</v>
      </c>
      <c r="E18" s="163">
        <v>0.39019999999999999</v>
      </c>
      <c r="F18" s="91"/>
      <c r="G18" s="91"/>
      <c r="H18" s="91"/>
      <c r="I18" s="142">
        <f t="shared" si="1"/>
        <v>1</v>
      </c>
      <c r="S18" s="143"/>
    </row>
    <row r="19" spans="1:19" x14ac:dyDescent="0.25">
      <c r="A19" s="141">
        <v>2024</v>
      </c>
      <c r="B19" s="163">
        <v>0.31609999999999999</v>
      </c>
      <c r="C19" s="163">
        <f t="shared" si="0"/>
        <v>0.2802</v>
      </c>
      <c r="D19" s="163">
        <v>1.35E-2</v>
      </c>
      <c r="E19" s="163">
        <v>0.39019999999999999</v>
      </c>
      <c r="F19" s="91"/>
      <c r="G19" s="91"/>
      <c r="H19" s="91"/>
      <c r="I19" s="142">
        <f t="shared" si="1"/>
        <v>1</v>
      </c>
      <c r="S19" s="143"/>
    </row>
    <row r="20" spans="1:19" x14ac:dyDescent="0.25">
      <c r="A20" s="141">
        <v>2025</v>
      </c>
      <c r="B20" s="163">
        <v>0.31609999999999999</v>
      </c>
      <c r="C20" s="163">
        <f t="shared" si="0"/>
        <v>0.2802</v>
      </c>
      <c r="D20" s="163">
        <v>1.35E-2</v>
      </c>
      <c r="E20" s="163">
        <v>0.39019999999999999</v>
      </c>
      <c r="F20" s="91"/>
      <c r="G20" s="91"/>
      <c r="H20" s="91"/>
      <c r="I20" s="142">
        <f t="shared" si="1"/>
        <v>1</v>
      </c>
      <c r="S20" s="143"/>
    </row>
    <row r="21" spans="1:19" x14ac:dyDescent="0.25">
      <c r="A21" s="141">
        <v>2026</v>
      </c>
      <c r="B21" s="163">
        <v>0.31609999999999999</v>
      </c>
      <c r="C21" s="163">
        <f t="shared" si="0"/>
        <v>0.2802</v>
      </c>
      <c r="D21" s="163">
        <v>1.35E-2</v>
      </c>
      <c r="E21" s="163">
        <v>0.39019999999999999</v>
      </c>
      <c r="F21" s="91"/>
      <c r="G21" s="91"/>
      <c r="H21" s="91"/>
      <c r="I21" s="142">
        <f t="shared" si="1"/>
        <v>1</v>
      </c>
      <c r="S21" s="143"/>
    </row>
    <row r="22" spans="1:19" x14ac:dyDescent="0.25">
      <c r="A22" s="141">
        <v>2027</v>
      </c>
      <c r="B22" s="163">
        <v>0.31609999999999999</v>
      </c>
      <c r="C22" s="163">
        <f t="shared" si="0"/>
        <v>0.2802</v>
      </c>
      <c r="D22" s="163">
        <v>1.35E-2</v>
      </c>
      <c r="E22" s="163">
        <v>0.39019999999999999</v>
      </c>
      <c r="F22" s="91"/>
      <c r="G22" s="91"/>
      <c r="H22" s="91"/>
      <c r="I22" s="142">
        <f t="shared" si="1"/>
        <v>1</v>
      </c>
      <c r="S22" s="143"/>
    </row>
    <row r="23" spans="1:19" x14ac:dyDescent="0.25">
      <c r="A23" s="141">
        <v>2028</v>
      </c>
      <c r="B23" s="163">
        <v>0.31609999999999999</v>
      </c>
      <c r="C23" s="163">
        <f t="shared" si="0"/>
        <v>0.2802</v>
      </c>
      <c r="D23" s="163">
        <v>1.35E-2</v>
      </c>
      <c r="E23" s="163">
        <v>0.39019999999999999</v>
      </c>
      <c r="F23" s="91"/>
      <c r="G23" s="91"/>
      <c r="H23" s="91"/>
      <c r="I23" s="142">
        <f t="shared" si="1"/>
        <v>1</v>
      </c>
      <c r="S23" s="143"/>
    </row>
    <row r="24" spans="1:19" x14ac:dyDescent="0.25">
      <c r="A24" s="141">
        <v>2029</v>
      </c>
      <c r="B24" s="163">
        <v>0.31609999999999999</v>
      </c>
      <c r="C24" s="163">
        <f t="shared" si="0"/>
        <v>0.2802</v>
      </c>
      <c r="D24" s="163">
        <v>1.35E-2</v>
      </c>
      <c r="E24" s="163">
        <v>0.39019999999999999</v>
      </c>
      <c r="F24" s="91"/>
      <c r="G24" s="91"/>
      <c r="H24" s="91"/>
      <c r="I24" s="142">
        <f t="shared" si="1"/>
        <v>1</v>
      </c>
      <c r="S24" s="143"/>
    </row>
    <row r="25" spans="1:19" x14ac:dyDescent="0.25">
      <c r="A25" s="141">
        <v>2030</v>
      </c>
      <c r="B25" s="163">
        <v>0.31609999999999999</v>
      </c>
      <c r="C25" s="163">
        <f t="shared" si="0"/>
        <v>0.2802</v>
      </c>
      <c r="D25" s="163">
        <v>1.35E-2</v>
      </c>
      <c r="E25" s="163">
        <v>0.39019999999999999</v>
      </c>
      <c r="F25" s="91"/>
      <c r="G25" s="91"/>
      <c r="H25" s="91"/>
      <c r="I25" s="142">
        <f t="shared" si="1"/>
        <v>1</v>
      </c>
      <c r="S25" s="143"/>
    </row>
    <row r="26" spans="1:19" ht="14.25" customHeight="1" x14ac:dyDescent="0.25"/>
    <row r="27" spans="1:19" x14ac:dyDescent="0.25">
      <c r="A27" s="168" t="s">
        <v>11</v>
      </c>
      <c r="B27" s="169" t="s">
        <v>150</v>
      </c>
      <c r="C27" s="170"/>
      <c r="D27" s="170"/>
      <c r="E27" s="170"/>
      <c r="F27" s="170"/>
      <c r="G27" s="170"/>
      <c r="H27" s="171"/>
      <c r="I27" s="172" t="s">
        <v>40</v>
      </c>
    </row>
    <row r="28" spans="1:19" ht="25.5" x14ac:dyDescent="0.25">
      <c r="A28" s="168"/>
      <c r="B28" s="136" t="s">
        <v>1</v>
      </c>
      <c r="C28" s="136" t="s">
        <v>2</v>
      </c>
      <c r="D28" s="136" t="s">
        <v>149</v>
      </c>
      <c r="E28" s="130" t="s">
        <v>4</v>
      </c>
      <c r="F28" s="136" t="s">
        <v>5</v>
      </c>
      <c r="G28" s="136" t="s">
        <v>128</v>
      </c>
      <c r="H28" s="130" t="s">
        <v>7</v>
      </c>
      <c r="I28" s="173"/>
    </row>
    <row r="29" spans="1:19" x14ac:dyDescent="0.25">
      <c r="A29" s="141">
        <v>2011</v>
      </c>
      <c r="B29" s="146">
        <f t="shared" ref="B29:H29" si="3">$I$29*B6</f>
        <v>11.75803492</v>
      </c>
      <c r="C29" s="146">
        <f t="shared" si="3"/>
        <v>10.422655440000002</v>
      </c>
      <c r="D29" s="146">
        <f t="shared" si="3"/>
        <v>0.5021622</v>
      </c>
      <c r="E29" s="147">
        <f t="shared" si="3"/>
        <v>14.51434744</v>
      </c>
      <c r="F29" s="146">
        <f t="shared" si="3"/>
        <v>0</v>
      </c>
      <c r="G29" s="146">
        <f t="shared" si="3"/>
        <v>0</v>
      </c>
      <c r="H29" s="148">
        <f t="shared" si="3"/>
        <v>0</v>
      </c>
      <c r="I29" s="149">
        <f>'timbulan sampah'!E5</f>
        <v>37.197200000000002</v>
      </c>
      <c r="J29" s="150">
        <f>SUM(B29:H29)</f>
        <v>37.197200000000002</v>
      </c>
    </row>
    <row r="30" spans="1:19" x14ac:dyDescent="0.25">
      <c r="A30" s="141">
        <v>2012</v>
      </c>
      <c r="B30" s="146">
        <f t="shared" ref="B30:H30" si="4">$I$30*B7</f>
        <v>12.111434720000002</v>
      </c>
      <c r="C30" s="146">
        <f t="shared" si="4"/>
        <v>10.735919040000001</v>
      </c>
      <c r="D30" s="146">
        <f t="shared" si="4"/>
        <v>0.51725520000000003</v>
      </c>
      <c r="E30" s="147">
        <f t="shared" si="4"/>
        <v>14.950591040000001</v>
      </c>
      <c r="F30" s="146">
        <f t="shared" si="4"/>
        <v>0</v>
      </c>
      <c r="G30" s="146">
        <f t="shared" si="4"/>
        <v>0</v>
      </c>
      <c r="H30" s="148">
        <f t="shared" si="4"/>
        <v>0</v>
      </c>
      <c r="I30" s="149">
        <f>'timbulan sampah'!E6</f>
        <v>38.315200000000004</v>
      </c>
      <c r="J30" s="150">
        <f t="shared" ref="J30:J48" si="5">SUM(B30:H30)</f>
        <v>38.315200000000004</v>
      </c>
    </row>
    <row r="31" spans="1:19" x14ac:dyDescent="0.25">
      <c r="A31" s="141">
        <v>2013</v>
      </c>
      <c r="B31" s="146">
        <f t="shared" ref="B31:H31" si="6">$I$31*B8</f>
        <v>12.478869360000001</v>
      </c>
      <c r="C31" s="146">
        <f t="shared" si="6"/>
        <v>11.061623520000001</v>
      </c>
      <c r="D31" s="146">
        <f t="shared" si="6"/>
        <v>0.53294760000000008</v>
      </c>
      <c r="E31" s="147">
        <f t="shared" si="6"/>
        <v>15.40415952</v>
      </c>
      <c r="F31" s="146">
        <f t="shared" si="6"/>
        <v>0</v>
      </c>
      <c r="G31" s="146">
        <f t="shared" si="6"/>
        <v>0</v>
      </c>
      <c r="H31" s="148">
        <f t="shared" si="6"/>
        <v>0</v>
      </c>
      <c r="I31" s="149">
        <f>'timbulan sampah'!E7</f>
        <v>39.477600000000002</v>
      </c>
      <c r="J31" s="150">
        <f t="shared" si="5"/>
        <v>39.477600000000002</v>
      </c>
    </row>
    <row r="32" spans="1:19" x14ac:dyDescent="0.25">
      <c r="A32" s="141">
        <v>2014</v>
      </c>
      <c r="B32" s="146">
        <f t="shared" ref="B32:H32" si="7">$I$32*B9</f>
        <v>12.84775806</v>
      </c>
      <c r="C32" s="146">
        <f t="shared" si="7"/>
        <v>11.38861692</v>
      </c>
      <c r="D32" s="146">
        <f t="shared" si="7"/>
        <v>0.54870210000000008</v>
      </c>
      <c r="E32" s="147">
        <f t="shared" si="7"/>
        <v>15.859522920000002</v>
      </c>
      <c r="F32" s="146">
        <f t="shared" si="7"/>
        <v>0</v>
      </c>
      <c r="G32" s="146">
        <f t="shared" si="7"/>
        <v>0</v>
      </c>
      <c r="H32" s="148">
        <f t="shared" si="7"/>
        <v>0</v>
      </c>
      <c r="I32" s="149">
        <f>'timbulan sampah'!E8</f>
        <v>40.644600000000004</v>
      </c>
      <c r="J32" s="150">
        <f t="shared" si="5"/>
        <v>40.644600000000004</v>
      </c>
      <c r="P32" s="140"/>
    </row>
    <row r="33" spans="1:16" x14ac:dyDescent="0.25">
      <c r="A33" s="141">
        <v>2015</v>
      </c>
      <c r="B33" s="146">
        <f t="shared" ref="B33:H33" si="8">$I$33*B10</f>
        <v>13.206215460000001</v>
      </c>
      <c r="C33" s="146">
        <f t="shared" si="8"/>
        <v>11.706363720000001</v>
      </c>
      <c r="D33" s="146">
        <f t="shared" si="8"/>
        <v>0.5640111000000001</v>
      </c>
      <c r="E33" s="147">
        <f t="shared" si="8"/>
        <v>16.302009720000001</v>
      </c>
      <c r="F33" s="146">
        <f t="shared" si="8"/>
        <v>0</v>
      </c>
      <c r="G33" s="146">
        <f t="shared" si="8"/>
        <v>0</v>
      </c>
      <c r="H33" s="148">
        <f t="shared" si="8"/>
        <v>0</v>
      </c>
      <c r="I33" s="149">
        <f>'timbulan sampah'!E9</f>
        <v>41.778600000000004</v>
      </c>
      <c r="J33" s="150">
        <f t="shared" si="5"/>
        <v>41.778600000000004</v>
      </c>
      <c r="P33" s="140"/>
    </row>
    <row r="34" spans="1:16" x14ac:dyDescent="0.25">
      <c r="A34" s="141">
        <v>2016</v>
      </c>
      <c r="B34" s="146">
        <f t="shared" ref="B34:H34" si="9">$I$34*B11</f>
        <v>13.581426160000003</v>
      </c>
      <c r="C34" s="146">
        <f t="shared" si="9"/>
        <v>12.038961120000003</v>
      </c>
      <c r="D34" s="146">
        <f t="shared" si="9"/>
        <v>0.5800356000000001</v>
      </c>
      <c r="E34" s="147">
        <f t="shared" si="9"/>
        <v>16.765177120000004</v>
      </c>
      <c r="F34" s="146">
        <f t="shared" si="9"/>
        <v>0</v>
      </c>
      <c r="G34" s="146">
        <f t="shared" si="9"/>
        <v>0</v>
      </c>
      <c r="H34" s="148">
        <f t="shared" si="9"/>
        <v>0</v>
      </c>
      <c r="I34" s="149">
        <f>'timbulan sampah'!E10</f>
        <v>42.965600000000009</v>
      </c>
      <c r="J34" s="150">
        <f t="shared" si="5"/>
        <v>42.965600000000009</v>
      </c>
    </row>
    <row r="35" spans="1:16" x14ac:dyDescent="0.25">
      <c r="A35" s="141">
        <v>2017</v>
      </c>
      <c r="B35" s="146">
        <f t="shared" ref="B35:H35" si="10">$I$35*B12</f>
        <v>14.053755424000002</v>
      </c>
      <c r="C35" s="146">
        <f t="shared" si="10"/>
        <v>12.457647168000003</v>
      </c>
      <c r="D35" s="146">
        <f t="shared" si="10"/>
        <v>0.60020784000000005</v>
      </c>
      <c r="E35" s="147">
        <f t="shared" si="10"/>
        <v>17.348229568000001</v>
      </c>
      <c r="F35" s="146">
        <f t="shared" si="10"/>
        <v>0</v>
      </c>
      <c r="G35" s="146">
        <f t="shared" si="10"/>
        <v>0</v>
      </c>
      <c r="H35" s="148">
        <f t="shared" si="10"/>
        <v>0</v>
      </c>
      <c r="I35" s="149">
        <f>'timbulan sampah'!E11</f>
        <v>44.459840000000007</v>
      </c>
      <c r="J35" s="150">
        <f t="shared" si="5"/>
        <v>44.45984</v>
      </c>
    </row>
    <row r="36" spans="1:16" x14ac:dyDescent="0.25">
      <c r="A36" s="141">
        <v>2018</v>
      </c>
      <c r="B36" s="146">
        <f t="shared" ref="B36:H36" si="11">$I$36*B13</f>
        <v>14.439643981999998</v>
      </c>
      <c r="C36" s="146">
        <f t="shared" si="11"/>
        <v>12.799709724</v>
      </c>
      <c r="D36" s="146">
        <f t="shared" si="11"/>
        <v>0.61668836999999999</v>
      </c>
      <c r="E36" s="147">
        <f t="shared" si="11"/>
        <v>17.824577924</v>
      </c>
      <c r="F36" s="146">
        <f t="shared" si="11"/>
        <v>0</v>
      </c>
      <c r="G36" s="146">
        <f t="shared" si="11"/>
        <v>0</v>
      </c>
      <c r="H36" s="148">
        <f t="shared" si="11"/>
        <v>0</v>
      </c>
      <c r="I36" s="149">
        <f>'timbulan sampah'!E12</f>
        <v>45.680619999999998</v>
      </c>
      <c r="J36" s="150">
        <f t="shared" si="5"/>
        <v>45.68061999999999</v>
      </c>
    </row>
    <row r="37" spans="1:16" x14ac:dyDescent="0.25">
      <c r="A37" s="141">
        <v>2019</v>
      </c>
      <c r="B37" s="146">
        <f t="shared" ref="B37:H37" si="12">$I$37*B14</f>
        <v>14.825532540000001</v>
      </c>
      <c r="C37" s="146">
        <f t="shared" si="12"/>
        <v>13.141772280000001</v>
      </c>
      <c r="D37" s="146">
        <f t="shared" si="12"/>
        <v>0.63316890000000003</v>
      </c>
      <c r="E37" s="147">
        <f t="shared" si="12"/>
        <v>18.300926279999999</v>
      </c>
      <c r="F37" s="146">
        <f t="shared" si="12"/>
        <v>0</v>
      </c>
      <c r="G37" s="146">
        <f t="shared" si="12"/>
        <v>0</v>
      </c>
      <c r="H37" s="148">
        <f t="shared" si="12"/>
        <v>0</v>
      </c>
      <c r="I37" s="149">
        <f>'timbulan sampah'!E13</f>
        <v>46.901400000000002</v>
      </c>
      <c r="J37" s="150">
        <f t="shared" si="5"/>
        <v>46.901400000000002</v>
      </c>
    </row>
    <row r="38" spans="1:16" x14ac:dyDescent="0.25">
      <c r="A38" s="141">
        <v>2020</v>
      </c>
      <c r="B38" s="146">
        <f t="shared" ref="B38:H38" si="13">$I$38*B15</f>
        <v>15.211421097999999</v>
      </c>
      <c r="C38" s="146">
        <f t="shared" si="13"/>
        <v>13.483834836</v>
      </c>
      <c r="D38" s="146">
        <f t="shared" si="13"/>
        <v>0.64964942999999997</v>
      </c>
      <c r="E38" s="147">
        <f t="shared" si="13"/>
        <v>18.777274636000001</v>
      </c>
      <c r="F38" s="146">
        <f t="shared" si="13"/>
        <v>0</v>
      </c>
      <c r="G38" s="146">
        <f t="shared" si="13"/>
        <v>0</v>
      </c>
      <c r="H38" s="148">
        <f t="shared" si="13"/>
        <v>0</v>
      </c>
      <c r="I38" s="149">
        <f>'timbulan sampah'!E14</f>
        <v>48.12218</v>
      </c>
      <c r="J38" s="150">
        <f t="shared" si="5"/>
        <v>48.12218</v>
      </c>
    </row>
    <row r="39" spans="1:16" x14ac:dyDescent="0.25">
      <c r="A39" s="141">
        <v>2021</v>
      </c>
      <c r="B39" s="146">
        <f t="shared" ref="B39:H39" si="14">$I$39*B16</f>
        <v>15.597309655999998</v>
      </c>
      <c r="C39" s="146">
        <f t="shared" si="14"/>
        <v>13.825897392</v>
      </c>
      <c r="D39" s="146">
        <f t="shared" si="14"/>
        <v>0.66612995999999991</v>
      </c>
      <c r="E39" s="147">
        <f t="shared" si="14"/>
        <v>19.253622992</v>
      </c>
      <c r="F39" s="146">
        <f t="shared" si="14"/>
        <v>0</v>
      </c>
      <c r="G39" s="146">
        <f t="shared" si="14"/>
        <v>0</v>
      </c>
      <c r="H39" s="148">
        <f t="shared" si="14"/>
        <v>0</v>
      </c>
      <c r="I39" s="149">
        <f>'timbulan sampah'!E15</f>
        <v>49.342959999999998</v>
      </c>
      <c r="J39" s="150">
        <f t="shared" si="5"/>
        <v>49.342959999999998</v>
      </c>
    </row>
    <row r="40" spans="1:16" x14ac:dyDescent="0.25">
      <c r="A40" s="141">
        <v>2022</v>
      </c>
      <c r="B40" s="146">
        <f t="shared" ref="B40:H40" si="15">$I$40*B17</f>
        <v>15.983198213999998</v>
      </c>
      <c r="C40" s="146">
        <f t="shared" si="15"/>
        <v>14.167959947999998</v>
      </c>
      <c r="D40" s="146">
        <f t="shared" si="15"/>
        <v>0.68261048999999996</v>
      </c>
      <c r="E40" s="147">
        <f t="shared" si="15"/>
        <v>19.729971347999999</v>
      </c>
      <c r="F40" s="146">
        <f t="shared" si="15"/>
        <v>0</v>
      </c>
      <c r="G40" s="146">
        <f t="shared" si="15"/>
        <v>0</v>
      </c>
      <c r="H40" s="148">
        <f t="shared" si="15"/>
        <v>0</v>
      </c>
      <c r="I40" s="149">
        <f>'timbulan sampah'!E16</f>
        <v>50.563739999999996</v>
      </c>
      <c r="J40" s="150">
        <f t="shared" si="5"/>
        <v>50.563739999999996</v>
      </c>
    </row>
    <row r="41" spans="1:16" x14ac:dyDescent="0.25">
      <c r="A41" s="141">
        <v>2023</v>
      </c>
      <c r="B41" s="146">
        <f t="shared" ref="B41:H41" si="16">$I$41*B18</f>
        <v>16.369086771999999</v>
      </c>
      <c r="C41" s="146">
        <f t="shared" si="16"/>
        <v>14.510022503999998</v>
      </c>
      <c r="D41" s="146">
        <f t="shared" si="16"/>
        <v>0.6990910199999999</v>
      </c>
      <c r="E41" s="147">
        <f t="shared" si="16"/>
        <v>20.206319703999998</v>
      </c>
      <c r="F41" s="146">
        <f t="shared" si="16"/>
        <v>0</v>
      </c>
      <c r="G41" s="146">
        <f t="shared" si="16"/>
        <v>0</v>
      </c>
      <c r="H41" s="148">
        <f t="shared" si="16"/>
        <v>0</v>
      </c>
      <c r="I41" s="149">
        <f>'timbulan sampah'!E17</f>
        <v>51.784519999999993</v>
      </c>
      <c r="J41" s="150">
        <f t="shared" si="5"/>
        <v>51.784520000000001</v>
      </c>
    </row>
    <row r="42" spans="1:16" x14ac:dyDescent="0.25">
      <c r="A42" s="141">
        <v>2024</v>
      </c>
      <c r="B42" s="146">
        <f t="shared" ref="B42:H42" si="17">$I$42*B19</f>
        <v>16.754975330000001</v>
      </c>
      <c r="C42" s="146">
        <f t="shared" si="17"/>
        <v>14.852085060000002</v>
      </c>
      <c r="D42" s="146">
        <f t="shared" si="17"/>
        <v>0.71557155000000006</v>
      </c>
      <c r="E42" s="147">
        <f t="shared" si="17"/>
        <v>20.682668060000001</v>
      </c>
      <c r="F42" s="146">
        <f t="shared" si="17"/>
        <v>0</v>
      </c>
      <c r="G42" s="146">
        <f t="shared" si="17"/>
        <v>0</v>
      </c>
      <c r="H42" s="148">
        <f t="shared" si="17"/>
        <v>0</v>
      </c>
      <c r="I42" s="149">
        <f>'timbulan sampah'!E18</f>
        <v>53.005300000000005</v>
      </c>
      <c r="J42" s="150">
        <f t="shared" si="5"/>
        <v>53.005300000000005</v>
      </c>
    </row>
    <row r="43" spans="1:16" x14ac:dyDescent="0.25">
      <c r="A43" s="141">
        <v>2025</v>
      </c>
      <c r="B43" s="146">
        <f t="shared" ref="B43:H43" si="18">$I$43*B20</f>
        <v>17.140863888000002</v>
      </c>
      <c r="C43" s="146">
        <f t="shared" si="18"/>
        <v>15.194147616000004</v>
      </c>
      <c r="D43" s="146">
        <f t="shared" si="18"/>
        <v>0.7320520800000001</v>
      </c>
      <c r="E43" s="147">
        <f t="shared" si="18"/>
        <v>21.159016416000004</v>
      </c>
      <c r="F43" s="146">
        <f t="shared" si="18"/>
        <v>0</v>
      </c>
      <c r="G43" s="146">
        <f t="shared" si="18"/>
        <v>0</v>
      </c>
      <c r="H43" s="148">
        <f t="shared" si="18"/>
        <v>0</v>
      </c>
      <c r="I43" s="149">
        <f>'timbulan sampah'!E19</f>
        <v>54.22608000000001</v>
      </c>
      <c r="J43" s="150">
        <f t="shared" si="5"/>
        <v>54.22608000000001</v>
      </c>
    </row>
    <row r="44" spans="1:16" x14ac:dyDescent="0.25">
      <c r="A44" s="141">
        <v>2026</v>
      </c>
      <c r="B44" s="146">
        <f t="shared" ref="B44:H44" si="19">$I$44*B21</f>
        <v>17.526752446</v>
      </c>
      <c r="C44" s="146">
        <f t="shared" si="19"/>
        <v>15.536210172000001</v>
      </c>
      <c r="D44" s="146">
        <f t="shared" si="19"/>
        <v>0.74853261000000004</v>
      </c>
      <c r="E44" s="147">
        <f t="shared" si="19"/>
        <v>21.635364771999999</v>
      </c>
      <c r="F44" s="146">
        <f t="shared" si="19"/>
        <v>0</v>
      </c>
      <c r="G44" s="146">
        <f t="shared" si="19"/>
        <v>0</v>
      </c>
      <c r="H44" s="148">
        <f t="shared" si="19"/>
        <v>0</v>
      </c>
      <c r="I44" s="149">
        <f>'timbulan sampah'!E20</f>
        <v>55.446860000000001</v>
      </c>
      <c r="J44" s="150">
        <f t="shared" si="5"/>
        <v>55.446860000000001</v>
      </c>
    </row>
    <row r="45" spans="1:16" x14ac:dyDescent="0.25">
      <c r="A45" s="141">
        <v>2027</v>
      </c>
      <c r="B45" s="146">
        <f t="shared" ref="B45:H45" si="20">$I$45*B22</f>
        <v>17.912641003999997</v>
      </c>
      <c r="C45" s="146">
        <f t="shared" si="20"/>
        <v>15.878272727999997</v>
      </c>
      <c r="D45" s="146">
        <f t="shared" si="20"/>
        <v>0.76501313999999987</v>
      </c>
      <c r="E45" s="147">
        <f t="shared" si="20"/>
        <v>22.111713127999995</v>
      </c>
      <c r="F45" s="146">
        <f t="shared" si="20"/>
        <v>0</v>
      </c>
      <c r="G45" s="146">
        <f t="shared" si="20"/>
        <v>0</v>
      </c>
      <c r="H45" s="148">
        <f t="shared" si="20"/>
        <v>0</v>
      </c>
      <c r="I45" s="149">
        <f>'timbulan sampah'!E21</f>
        <v>56.667639999999992</v>
      </c>
      <c r="J45" s="150">
        <f t="shared" si="5"/>
        <v>56.667639999999992</v>
      </c>
    </row>
    <row r="46" spans="1:16" x14ac:dyDescent="0.25">
      <c r="A46" s="141">
        <v>2028</v>
      </c>
      <c r="B46" s="146">
        <f t="shared" ref="B46:H46" si="21">$I$46*B23</f>
        <v>18.298529561999999</v>
      </c>
      <c r="C46" s="146">
        <f t="shared" si="21"/>
        <v>16.220335284000001</v>
      </c>
      <c r="D46" s="146">
        <f t="shared" si="21"/>
        <v>0.78149366999999992</v>
      </c>
      <c r="E46" s="147">
        <f t="shared" si="21"/>
        <v>22.588061483999997</v>
      </c>
      <c r="F46" s="146">
        <f t="shared" si="21"/>
        <v>0</v>
      </c>
      <c r="G46" s="146">
        <f t="shared" si="21"/>
        <v>0</v>
      </c>
      <c r="H46" s="147">
        <f t="shared" si="21"/>
        <v>0</v>
      </c>
      <c r="I46" s="149">
        <f>'timbulan sampah'!E22</f>
        <v>57.888419999999996</v>
      </c>
      <c r="J46" s="150">
        <f t="shared" si="5"/>
        <v>57.888419999999996</v>
      </c>
    </row>
    <row r="47" spans="1:16" x14ac:dyDescent="0.25">
      <c r="A47" s="141">
        <v>2029</v>
      </c>
      <c r="B47" s="146">
        <f t="shared" ref="B47:H47" si="22">$I$47*B24</f>
        <v>18.68441812</v>
      </c>
      <c r="C47" s="146">
        <f t="shared" si="22"/>
        <v>16.562397839999999</v>
      </c>
      <c r="D47" s="146">
        <f t="shared" si="22"/>
        <v>0.79797419999999997</v>
      </c>
      <c r="E47" s="147">
        <f t="shared" si="22"/>
        <v>23.06440984</v>
      </c>
      <c r="F47" s="146">
        <f t="shared" si="22"/>
        <v>0</v>
      </c>
      <c r="G47" s="146">
        <f t="shared" si="22"/>
        <v>0</v>
      </c>
      <c r="H47" s="147">
        <f t="shared" si="22"/>
        <v>0</v>
      </c>
      <c r="I47" s="149">
        <f>'timbulan sampah'!E23</f>
        <v>59.109200000000001</v>
      </c>
      <c r="J47" s="150">
        <f t="shared" si="5"/>
        <v>59.109200000000001</v>
      </c>
    </row>
    <row r="48" spans="1:16" x14ac:dyDescent="0.25">
      <c r="A48" s="141">
        <v>2030</v>
      </c>
      <c r="B48" s="146">
        <f t="shared" ref="B48:H48" si="23">$I$48*B25</f>
        <v>19.070306678000005</v>
      </c>
      <c r="C48" s="146">
        <f t="shared" si="23"/>
        <v>16.904460396000005</v>
      </c>
      <c r="D48" s="146">
        <f t="shared" si="23"/>
        <v>0.81445473000000013</v>
      </c>
      <c r="E48" s="147">
        <f t="shared" si="23"/>
        <v>23.540758196000006</v>
      </c>
      <c r="F48" s="146">
        <f t="shared" si="23"/>
        <v>0</v>
      </c>
      <c r="G48" s="146">
        <f t="shared" si="23"/>
        <v>0</v>
      </c>
      <c r="H48" s="147">
        <f t="shared" si="23"/>
        <v>0</v>
      </c>
      <c r="I48" s="149">
        <f>'timbulan sampah'!E24</f>
        <v>60.329980000000013</v>
      </c>
      <c r="J48" s="150">
        <f t="shared" si="5"/>
        <v>60.32998000000002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50" zoomScale="85" zoomScaleNormal="85" workbookViewId="0">
      <selection activeCell="G91" sqref="G91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6.5703125" style="95" customWidth="1"/>
    <col min="4" max="4" width="12.7109375" style="95" bestFit="1" customWidth="1"/>
    <col min="5" max="5" width="16.42578125" style="95" customWidth="1"/>
    <col min="6" max="6" width="15.28515625" style="95" customWidth="1"/>
    <col min="7" max="7" width="20.4257812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2" width="9.42578125" style="95" bestFit="1" customWidth="1"/>
    <col min="13" max="13" width="11.7109375" style="95" customWidth="1"/>
    <col min="14" max="14" width="18.140625" style="95" customWidth="1"/>
    <col min="15" max="15" width="9.140625" style="95"/>
    <col min="16" max="16" width="9.42578125" style="95" bestFit="1" customWidth="1"/>
    <col min="17" max="17" width="11.7109375" style="95" customWidth="1"/>
    <col min="18" max="18" width="12.85546875" style="95" customWidth="1"/>
    <col min="19" max="19" width="17.85546875" style="95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3.75" customHeight="1" x14ac:dyDescent="0.25">
      <c r="A6" s="174" t="s">
        <v>11</v>
      </c>
      <c r="B6" s="175" t="s">
        <v>118</v>
      </c>
      <c r="C6" s="175"/>
      <c r="D6" s="175"/>
      <c r="E6" s="106" t="s">
        <v>114</v>
      </c>
      <c r="F6" s="174" t="s">
        <v>11</v>
      </c>
      <c r="G6" s="175" t="s">
        <v>111</v>
      </c>
      <c r="H6" s="175"/>
      <c r="I6" s="175"/>
      <c r="J6" s="96" t="s">
        <v>115</v>
      </c>
      <c r="K6" s="174" t="s">
        <v>11</v>
      </c>
      <c r="L6" s="175" t="s">
        <v>112</v>
      </c>
      <c r="M6" s="175"/>
      <c r="N6" s="175"/>
      <c r="O6" s="96" t="s">
        <v>115</v>
      </c>
      <c r="P6" s="174" t="s">
        <v>11</v>
      </c>
      <c r="Q6" s="175" t="s">
        <v>113</v>
      </c>
      <c r="R6" s="175"/>
      <c r="S6" s="175"/>
      <c r="X6" s="97"/>
    </row>
    <row r="7" spans="1:24" ht="18" x14ac:dyDescent="0.25">
      <c r="A7" s="174"/>
      <c r="B7" s="174" t="s">
        <v>129</v>
      </c>
      <c r="C7" s="174"/>
      <c r="D7" s="175" t="s">
        <v>130</v>
      </c>
      <c r="E7" s="107"/>
      <c r="F7" s="174"/>
      <c r="G7" s="174" t="s">
        <v>129</v>
      </c>
      <c r="H7" s="174"/>
      <c r="I7" s="175" t="s">
        <v>130</v>
      </c>
      <c r="K7" s="174"/>
      <c r="L7" s="174" t="s">
        <v>129</v>
      </c>
      <c r="M7" s="174"/>
      <c r="N7" s="175" t="s">
        <v>130</v>
      </c>
      <c r="P7" s="174"/>
      <c r="Q7" s="174" t="s">
        <v>129</v>
      </c>
      <c r="R7" s="174"/>
      <c r="S7" s="175" t="s">
        <v>130</v>
      </c>
      <c r="X7" s="97"/>
    </row>
    <row r="8" spans="1:24" ht="18" x14ac:dyDescent="0.25">
      <c r="A8" s="174"/>
      <c r="B8" s="108" t="s">
        <v>131</v>
      </c>
      <c r="C8" s="108" t="s">
        <v>132</v>
      </c>
      <c r="D8" s="175"/>
      <c r="E8" s="109"/>
      <c r="F8" s="174"/>
      <c r="G8" s="108" t="s">
        <v>131</v>
      </c>
      <c r="H8" s="108" t="s">
        <v>132</v>
      </c>
      <c r="I8" s="175"/>
      <c r="K8" s="174"/>
      <c r="L8" s="108" t="s">
        <v>131</v>
      </c>
      <c r="M8" s="108" t="s">
        <v>132</v>
      </c>
      <c r="N8" s="175"/>
      <c r="P8" s="174"/>
      <c r="Q8" s="108" t="s">
        <v>131</v>
      </c>
      <c r="R8" s="108" t="s">
        <v>132</v>
      </c>
      <c r="S8" s="175"/>
    </row>
    <row r="9" spans="1:24" x14ac:dyDescent="0.25">
      <c r="A9" s="88">
        <v>2011</v>
      </c>
      <c r="B9" s="135">
        <f>[2]Results!O28</f>
        <v>0.54343415097791736</v>
      </c>
      <c r="C9" s="110">
        <f>B9*21</f>
        <v>11.412117170536265</v>
      </c>
      <c r="D9" s="111">
        <f t="shared" ref="D9:D14" si="0">E9+C9</f>
        <v>11.412117170536265</v>
      </c>
      <c r="E9" s="112"/>
      <c r="F9" s="88">
        <v>2011</v>
      </c>
      <c r="G9" s="135">
        <f>[3]Results!O28</f>
        <v>0</v>
      </c>
      <c r="H9" s="110">
        <f>G9*21</f>
        <v>0</v>
      </c>
      <c r="I9" s="111">
        <f t="shared" ref="I9:I14" si="1">J9+H9</f>
        <v>0</v>
      </c>
      <c r="K9" s="88">
        <v>2011</v>
      </c>
      <c r="L9" s="134">
        <f>[4]Results!O28</f>
        <v>0.38537234825438149</v>
      </c>
      <c r="M9" s="110">
        <f>L9*21</f>
        <v>8.0928193133420105</v>
      </c>
      <c r="N9" s="111">
        <f>O9+M9</f>
        <v>8.0928193133420105</v>
      </c>
      <c r="P9" s="88">
        <v>2011</v>
      </c>
      <c r="Q9" s="134">
        <f>[5]Results!O28</f>
        <v>0</v>
      </c>
      <c r="R9" s="113">
        <f>Q9*21</f>
        <v>0</v>
      </c>
      <c r="S9" s="114">
        <f>T9+R9</f>
        <v>0</v>
      </c>
    </row>
    <row r="10" spans="1:24" x14ac:dyDescent="0.25">
      <c r="A10" s="88">
        <v>2012</v>
      </c>
      <c r="B10" s="135">
        <f>[2]Results!O29</f>
        <v>0.55333054214861044</v>
      </c>
      <c r="C10" s="110">
        <f t="shared" ref="C10:C14" si="2">B10*21</f>
        <v>11.61994138512082</v>
      </c>
      <c r="D10" s="111">
        <f t="shared" si="0"/>
        <v>11.61994138512082</v>
      </c>
      <c r="E10" s="112"/>
      <c r="F10" s="88">
        <v>2012</v>
      </c>
      <c r="G10" s="135">
        <f>[3]Results!O29</f>
        <v>0</v>
      </c>
      <c r="H10" s="110">
        <f t="shared" ref="H10:H14" si="3">G10*21</f>
        <v>0</v>
      </c>
      <c r="I10" s="111">
        <f t="shared" si="1"/>
        <v>0</v>
      </c>
      <c r="K10" s="88">
        <v>2012</v>
      </c>
      <c r="L10" s="134">
        <f>[4]Results!O29</f>
        <v>0.39239030157555377</v>
      </c>
      <c r="M10" s="110">
        <f t="shared" ref="M10:M14" si="4">L10*21</f>
        <v>8.2401963330866295</v>
      </c>
      <c r="N10" s="111">
        <f t="shared" ref="N10:N14" si="5">O10+M10</f>
        <v>8.2401963330866295</v>
      </c>
      <c r="P10" s="88">
        <v>2012</v>
      </c>
      <c r="Q10" s="134">
        <f>[5]Results!O29</f>
        <v>0</v>
      </c>
      <c r="R10" s="113">
        <f t="shared" ref="R10:R14" si="6">Q10*21</f>
        <v>0</v>
      </c>
      <c r="S10" s="114">
        <f t="shared" ref="S10:S14" si="7">T10+R10</f>
        <v>0</v>
      </c>
    </row>
    <row r="11" spans="1:24" x14ac:dyDescent="0.25">
      <c r="A11" s="88">
        <v>2013</v>
      </c>
      <c r="B11" s="135">
        <f>[2]Results!O30</f>
        <v>0.56644916936279088</v>
      </c>
      <c r="C11" s="110">
        <f t="shared" si="2"/>
        <v>11.895432556618609</v>
      </c>
      <c r="D11" s="111">
        <f t="shared" si="0"/>
        <v>11.895432556618609</v>
      </c>
      <c r="E11" s="112"/>
      <c r="F11" s="88">
        <v>2013</v>
      </c>
      <c r="G11" s="135">
        <f>[3]Results!O30</f>
        <v>0</v>
      </c>
      <c r="H11" s="110">
        <f t="shared" si="3"/>
        <v>0</v>
      </c>
      <c r="I11" s="111">
        <f t="shared" si="1"/>
        <v>0</v>
      </c>
      <c r="K11" s="88">
        <v>2013</v>
      </c>
      <c r="L11" s="134">
        <f>[4]Results!O30</f>
        <v>0.40169327998849486</v>
      </c>
      <c r="M11" s="110">
        <f t="shared" si="4"/>
        <v>8.4355588797583927</v>
      </c>
      <c r="N11" s="111">
        <f t="shared" si="5"/>
        <v>8.4355588797583927</v>
      </c>
      <c r="P11" s="88">
        <v>2013</v>
      </c>
      <c r="Q11" s="134">
        <f>[5]Results!O30</f>
        <v>0</v>
      </c>
      <c r="R11" s="113">
        <f t="shared" si="6"/>
        <v>0</v>
      </c>
      <c r="S11" s="114">
        <f t="shared" si="7"/>
        <v>0</v>
      </c>
    </row>
    <row r="12" spans="1:24" x14ac:dyDescent="0.25">
      <c r="A12" s="88">
        <v>2014</v>
      </c>
      <c r="B12" s="135">
        <f>[2]Results!O31</f>
        <v>0.58189816657423132</v>
      </c>
      <c r="C12" s="110">
        <f t="shared" si="2"/>
        <v>12.219861498058858</v>
      </c>
      <c r="D12" s="111">
        <f t="shared" si="0"/>
        <v>12.219861498058858</v>
      </c>
      <c r="E12" s="112"/>
      <c r="F12" s="88">
        <v>2014</v>
      </c>
      <c r="G12" s="135">
        <f>[3]Results!O31</f>
        <v>0</v>
      </c>
      <c r="H12" s="110">
        <f t="shared" si="3"/>
        <v>0</v>
      </c>
      <c r="I12" s="111">
        <f t="shared" si="1"/>
        <v>0</v>
      </c>
      <c r="K12" s="88">
        <v>2014</v>
      </c>
      <c r="L12" s="134">
        <f>[4]Results!O31</f>
        <v>0.41264882321822116</v>
      </c>
      <c r="M12" s="110">
        <f t="shared" si="4"/>
        <v>8.6656252875826443</v>
      </c>
      <c r="N12" s="111">
        <f t="shared" si="5"/>
        <v>8.6656252875826443</v>
      </c>
      <c r="P12" s="88">
        <v>2014</v>
      </c>
      <c r="Q12" s="134">
        <f>[5]Results!O31</f>
        <v>0</v>
      </c>
      <c r="R12" s="113">
        <f t="shared" si="6"/>
        <v>0</v>
      </c>
      <c r="S12" s="114">
        <f t="shared" si="7"/>
        <v>0</v>
      </c>
    </row>
    <row r="13" spans="1:24" x14ac:dyDescent="0.25">
      <c r="A13" s="88">
        <v>2015</v>
      </c>
      <c r="B13" s="135">
        <f>[2]Results!O32</f>
        <v>0.59892208733178676</v>
      </c>
      <c r="C13" s="110">
        <f t="shared" si="2"/>
        <v>12.577363833967523</v>
      </c>
      <c r="D13" s="111">
        <f t="shared" si="0"/>
        <v>12.577363833967523</v>
      </c>
      <c r="E13" s="112"/>
      <c r="F13" s="88">
        <v>2015</v>
      </c>
      <c r="G13" s="135">
        <f>[3]Results!O32</f>
        <v>0</v>
      </c>
      <c r="H13" s="110">
        <f t="shared" si="3"/>
        <v>0</v>
      </c>
      <c r="I13" s="111">
        <f t="shared" si="1"/>
        <v>0</v>
      </c>
      <c r="K13" s="88">
        <v>2015</v>
      </c>
      <c r="L13" s="134">
        <f>[4]Results!O32</f>
        <v>0.42472121194651485</v>
      </c>
      <c r="M13" s="110">
        <f t="shared" si="4"/>
        <v>8.9191454508768118</v>
      </c>
      <c r="N13" s="111">
        <f t="shared" si="5"/>
        <v>8.9191454508768118</v>
      </c>
      <c r="P13" s="88">
        <v>2015</v>
      </c>
      <c r="Q13" s="134">
        <f>[5]Results!O32</f>
        <v>0</v>
      </c>
      <c r="R13" s="113">
        <f t="shared" si="6"/>
        <v>0</v>
      </c>
      <c r="S13" s="114">
        <f t="shared" si="7"/>
        <v>0</v>
      </c>
    </row>
    <row r="14" spans="1:24" x14ac:dyDescent="0.25">
      <c r="A14" s="88">
        <v>2016</v>
      </c>
      <c r="B14" s="135">
        <f>[2]Results!O33</f>
        <v>0.6168589224641684</v>
      </c>
      <c r="C14" s="110">
        <f t="shared" si="2"/>
        <v>12.954037371747537</v>
      </c>
      <c r="D14" s="111">
        <f t="shared" si="0"/>
        <v>12.954037371747537</v>
      </c>
      <c r="E14" s="112"/>
      <c r="F14" s="88">
        <v>2016</v>
      </c>
      <c r="G14" s="135">
        <f>[3]Results!O33</f>
        <v>0</v>
      </c>
      <c r="H14" s="110">
        <f t="shared" si="3"/>
        <v>0</v>
      </c>
      <c r="I14" s="111">
        <f t="shared" si="1"/>
        <v>0</v>
      </c>
      <c r="K14" s="88">
        <v>2016</v>
      </c>
      <c r="L14" s="134">
        <f>[4]Results!O33</f>
        <v>0.43744098721786784</v>
      </c>
      <c r="M14" s="110">
        <f t="shared" si="4"/>
        <v>9.1862607315752243</v>
      </c>
      <c r="N14" s="111">
        <f t="shared" si="5"/>
        <v>9.1862607315752243</v>
      </c>
      <c r="P14" s="88">
        <v>2016</v>
      </c>
      <c r="Q14" s="134">
        <f>[5]Results!O33</f>
        <v>0</v>
      </c>
      <c r="R14" s="113">
        <f t="shared" si="6"/>
        <v>0</v>
      </c>
      <c r="S14" s="114">
        <f t="shared" si="7"/>
        <v>0</v>
      </c>
    </row>
    <row r="15" spans="1:24" x14ac:dyDescent="0.25">
      <c r="A15" s="88">
        <v>2017</v>
      </c>
      <c r="B15" s="135">
        <f>[2]Results!O34</f>
        <v>0.63561862494002175</v>
      </c>
      <c r="C15" s="110">
        <f t="shared" ref="C15:C29" si="8">B15*21</f>
        <v>13.347991123740456</v>
      </c>
      <c r="D15" s="111">
        <f t="shared" ref="D15:D29" si="9">E15+C15</f>
        <v>13.347991123740456</v>
      </c>
      <c r="E15" s="112"/>
      <c r="F15" s="88">
        <v>2017</v>
      </c>
      <c r="G15" s="135">
        <f>[3]Results!O34</f>
        <v>0</v>
      </c>
      <c r="H15" s="110">
        <f t="shared" ref="H15:H29" si="10">G15*21</f>
        <v>0</v>
      </c>
      <c r="I15" s="111">
        <f t="shared" ref="I15:I29" si="11">J15+H15</f>
        <v>0</v>
      </c>
      <c r="K15" s="88">
        <v>2017</v>
      </c>
      <c r="L15" s="134">
        <f>[4]Results!O34</f>
        <v>0.45074429283946643</v>
      </c>
      <c r="M15" s="110">
        <f t="shared" ref="M15:M29" si="12">L15*21</f>
        <v>9.4656301496287956</v>
      </c>
      <c r="N15" s="111">
        <f t="shared" ref="N15:N29" si="13">O15+M15</f>
        <v>9.4656301496287956</v>
      </c>
      <c r="P15" s="88">
        <v>2017</v>
      </c>
      <c r="Q15" s="134">
        <f>[5]Results!O34</f>
        <v>0</v>
      </c>
      <c r="R15" s="113">
        <f t="shared" ref="R15:R29" si="14">Q15*21</f>
        <v>0</v>
      </c>
      <c r="S15" s="114">
        <f t="shared" ref="S15:S29" si="15">T15+R15</f>
        <v>0</v>
      </c>
    </row>
    <row r="16" spans="1:24" x14ac:dyDescent="0.25">
      <c r="A16" s="88">
        <v>2018</v>
      </c>
      <c r="B16" s="135">
        <f>[2]Results!O35</f>
        <v>0.65620984981489716</v>
      </c>
      <c r="C16" s="110">
        <f t="shared" si="8"/>
        <v>13.78040684611284</v>
      </c>
      <c r="D16" s="111">
        <f t="shared" si="9"/>
        <v>13.78040684611284</v>
      </c>
      <c r="E16" s="112"/>
      <c r="F16" s="88">
        <v>2018</v>
      </c>
      <c r="G16" s="135">
        <f>[3]Results!O35</f>
        <v>0</v>
      </c>
      <c r="H16" s="110">
        <f t="shared" si="10"/>
        <v>0</v>
      </c>
      <c r="I16" s="111">
        <f t="shared" si="11"/>
        <v>0</v>
      </c>
      <c r="K16" s="88">
        <v>2018</v>
      </c>
      <c r="L16" s="134">
        <f>[4]Results!O35</f>
        <v>0.46534640915693559</v>
      </c>
      <c r="M16" s="110">
        <f t="shared" si="12"/>
        <v>9.7722745922956467</v>
      </c>
      <c r="N16" s="111">
        <f t="shared" si="13"/>
        <v>9.7722745922956467</v>
      </c>
      <c r="P16" s="88">
        <v>2018</v>
      </c>
      <c r="Q16" s="134">
        <f>[5]Results!O35</f>
        <v>0</v>
      </c>
      <c r="R16" s="113">
        <f t="shared" si="14"/>
        <v>0</v>
      </c>
      <c r="S16" s="114">
        <f t="shared" si="15"/>
        <v>0</v>
      </c>
    </row>
    <row r="17" spans="1:19" x14ac:dyDescent="0.25">
      <c r="A17" s="88">
        <v>2019</v>
      </c>
      <c r="B17" s="135">
        <f>[2]Results!O36</f>
        <v>0.67693527805006948</v>
      </c>
      <c r="C17" s="110">
        <f t="shared" si="8"/>
        <v>14.21564083905146</v>
      </c>
      <c r="D17" s="111">
        <f t="shared" si="9"/>
        <v>14.21564083905146</v>
      </c>
      <c r="E17" s="112"/>
      <c r="F17" s="88">
        <v>2019</v>
      </c>
      <c r="G17" s="135">
        <f>[3]Results!O36</f>
        <v>0</v>
      </c>
      <c r="H17" s="110">
        <f t="shared" si="10"/>
        <v>0</v>
      </c>
      <c r="I17" s="111">
        <f t="shared" si="11"/>
        <v>0</v>
      </c>
      <c r="K17" s="88">
        <v>2019</v>
      </c>
      <c r="L17" s="134">
        <f>[4]Results!O36</f>
        <v>0.48004369480450365</v>
      </c>
      <c r="M17" s="110">
        <f t="shared" si="12"/>
        <v>10.080917590894577</v>
      </c>
      <c r="N17" s="111">
        <f t="shared" si="13"/>
        <v>10.080917590894577</v>
      </c>
      <c r="P17" s="88">
        <v>2019</v>
      </c>
      <c r="Q17" s="134">
        <f>[5]Results!O36</f>
        <v>0</v>
      </c>
      <c r="R17" s="113">
        <f t="shared" si="14"/>
        <v>0</v>
      </c>
      <c r="S17" s="114">
        <f t="shared" si="15"/>
        <v>0</v>
      </c>
    </row>
    <row r="18" spans="1:19" x14ac:dyDescent="0.25">
      <c r="A18" s="88">
        <v>2020</v>
      </c>
      <c r="B18" s="135">
        <f>[2]Results!O37</f>
        <v>0.69774880336975165</v>
      </c>
      <c r="C18" s="110">
        <f t="shared" si="8"/>
        <v>14.652724870764784</v>
      </c>
      <c r="D18" s="111">
        <f t="shared" si="9"/>
        <v>14.652724870764784</v>
      </c>
      <c r="E18" s="112"/>
      <c r="F18" s="88">
        <v>2020</v>
      </c>
      <c r="G18" s="135">
        <f>[3]Results!O37</f>
        <v>0</v>
      </c>
      <c r="H18" s="110">
        <f t="shared" si="10"/>
        <v>0</v>
      </c>
      <c r="I18" s="111">
        <f t="shared" si="11"/>
        <v>0</v>
      </c>
      <c r="K18" s="88">
        <v>2020</v>
      </c>
      <c r="L18" s="134">
        <f>[4]Results!O37</f>
        <v>0.49480345385436114</v>
      </c>
      <c r="M18" s="110">
        <f t="shared" si="12"/>
        <v>10.390872530941584</v>
      </c>
      <c r="N18" s="111">
        <f t="shared" si="13"/>
        <v>10.390872530941584</v>
      </c>
      <c r="P18" s="88">
        <v>2020</v>
      </c>
      <c r="Q18" s="134">
        <f>[5]Results!O37</f>
        <v>0</v>
      </c>
      <c r="R18" s="113">
        <f t="shared" si="14"/>
        <v>0</v>
      </c>
      <c r="S18" s="114">
        <f t="shared" si="15"/>
        <v>0</v>
      </c>
    </row>
    <row r="19" spans="1:19" x14ac:dyDescent="0.25">
      <c r="A19" s="88">
        <v>2021</v>
      </c>
      <c r="B19" s="135">
        <f>[2]Results!O38</f>
        <v>0.71861958904445844</v>
      </c>
      <c r="C19" s="110">
        <f t="shared" si="8"/>
        <v>15.091011369933627</v>
      </c>
      <c r="D19" s="111">
        <f t="shared" si="9"/>
        <v>15.091011369933627</v>
      </c>
      <c r="E19" s="112"/>
      <c r="F19" s="88">
        <v>2021</v>
      </c>
      <c r="G19" s="135">
        <f>[3]Results!O38</f>
        <v>0</v>
      </c>
      <c r="H19" s="110">
        <f t="shared" si="10"/>
        <v>0</v>
      </c>
      <c r="I19" s="111">
        <f t="shared" si="11"/>
        <v>0</v>
      </c>
      <c r="K19" s="88">
        <v>2021</v>
      </c>
      <c r="L19" s="134">
        <f>[4]Results!O38</f>
        <v>0.50960381866563076</v>
      </c>
      <c r="M19" s="110">
        <f t="shared" si="12"/>
        <v>10.701680191978246</v>
      </c>
      <c r="N19" s="111">
        <f t="shared" si="13"/>
        <v>10.701680191978246</v>
      </c>
      <c r="P19" s="88">
        <v>2021</v>
      </c>
      <c r="Q19" s="134">
        <f>[5]Results!O38</f>
        <v>0</v>
      </c>
      <c r="R19" s="113">
        <f t="shared" si="14"/>
        <v>0</v>
      </c>
      <c r="S19" s="114">
        <f t="shared" si="15"/>
        <v>0</v>
      </c>
    </row>
    <row r="20" spans="1:19" x14ac:dyDescent="0.25">
      <c r="A20" s="88">
        <v>2022</v>
      </c>
      <c r="B20" s="135">
        <f>[2]Results!O39</f>
        <v>0.73952703800505137</v>
      </c>
      <c r="C20" s="110">
        <f t="shared" si="8"/>
        <v>15.530067798106078</v>
      </c>
      <c r="D20" s="111">
        <f t="shared" si="9"/>
        <v>15.530067798106078</v>
      </c>
      <c r="E20" s="112"/>
      <c r="F20" s="88">
        <v>2022</v>
      </c>
      <c r="G20" s="135">
        <f>[3]Results!O39</f>
        <v>0</v>
      </c>
      <c r="H20" s="110">
        <f t="shared" si="10"/>
        <v>0</v>
      </c>
      <c r="I20" s="111">
        <f t="shared" si="11"/>
        <v>0</v>
      </c>
      <c r="K20" s="88">
        <v>2022</v>
      </c>
      <c r="L20" s="134">
        <f>[4]Results!O39</f>
        <v>0.52443018297757793</v>
      </c>
      <c r="M20" s="110">
        <f t="shared" si="12"/>
        <v>11.013033842529136</v>
      </c>
      <c r="N20" s="111">
        <f t="shared" si="13"/>
        <v>11.013033842529136</v>
      </c>
      <c r="P20" s="88">
        <v>2022</v>
      </c>
      <c r="Q20" s="134">
        <f>[5]Results!O39</f>
        <v>0</v>
      </c>
      <c r="R20" s="113">
        <f t="shared" si="14"/>
        <v>0</v>
      </c>
      <c r="S20" s="114">
        <f t="shared" si="15"/>
        <v>0</v>
      </c>
    </row>
    <row r="21" spans="1:19" x14ac:dyDescent="0.25">
      <c r="A21" s="88">
        <v>2023</v>
      </c>
      <c r="B21" s="135">
        <f>[2]Results!O40</f>
        <v>0.76045741954214419</v>
      </c>
      <c r="C21" s="110">
        <f t="shared" si="8"/>
        <v>15.969605810385028</v>
      </c>
      <c r="D21" s="111">
        <f t="shared" si="9"/>
        <v>15.969605810385028</v>
      </c>
      <c r="E21" s="112"/>
      <c r="F21" s="88">
        <v>2023</v>
      </c>
      <c r="G21" s="135">
        <f>[3]Results!O40</f>
        <v>0</v>
      </c>
      <c r="H21" s="110">
        <f t="shared" si="10"/>
        <v>0</v>
      </c>
      <c r="I21" s="111">
        <f t="shared" si="11"/>
        <v>0</v>
      </c>
      <c r="K21" s="88">
        <v>2023</v>
      </c>
      <c r="L21" s="134">
        <f>[4]Results!O40</f>
        <v>0.53927280975820013</v>
      </c>
      <c r="M21" s="110">
        <f t="shared" si="12"/>
        <v>11.324729004922203</v>
      </c>
      <c r="N21" s="111">
        <f t="shared" si="13"/>
        <v>11.324729004922203</v>
      </c>
      <c r="P21" s="88">
        <v>2023</v>
      </c>
      <c r="Q21" s="134">
        <f>[5]Results!O40</f>
        <v>0</v>
      </c>
      <c r="R21" s="113">
        <f t="shared" si="14"/>
        <v>0</v>
      </c>
      <c r="S21" s="114">
        <f t="shared" si="15"/>
        <v>0</v>
      </c>
    </row>
    <row r="22" spans="1:19" x14ac:dyDescent="0.25">
      <c r="A22" s="88">
        <v>2024</v>
      </c>
      <c r="B22" s="135">
        <f>[2]Results!O41</f>
        <v>0.78140160677709147</v>
      </c>
      <c r="C22" s="110">
        <f t="shared" si="8"/>
        <v>16.409433742318921</v>
      </c>
      <c r="D22" s="111">
        <f t="shared" si="9"/>
        <v>16.409433742318921</v>
      </c>
      <c r="E22" s="112"/>
      <c r="F22" s="88">
        <v>2024</v>
      </c>
      <c r="G22" s="135">
        <f>[3]Results!O41</f>
        <v>0</v>
      </c>
      <c r="H22" s="110">
        <f t="shared" si="10"/>
        <v>0</v>
      </c>
      <c r="I22" s="111">
        <f t="shared" si="11"/>
        <v>0</v>
      </c>
      <c r="K22" s="88">
        <v>2024</v>
      </c>
      <c r="L22" s="134">
        <f>[4]Results!O41</f>
        <v>0.5541252267483483</v>
      </c>
      <c r="M22" s="110">
        <f t="shared" si="12"/>
        <v>11.636629761715314</v>
      </c>
      <c r="N22" s="111">
        <f t="shared" si="13"/>
        <v>11.636629761715314</v>
      </c>
      <c r="P22" s="88">
        <v>2024</v>
      </c>
      <c r="Q22" s="134">
        <f>[5]Results!O41</f>
        <v>0</v>
      </c>
      <c r="R22" s="113">
        <f t="shared" si="14"/>
        <v>0</v>
      </c>
      <c r="S22" s="114">
        <f t="shared" si="15"/>
        <v>0</v>
      </c>
    </row>
    <row r="23" spans="1:19" x14ac:dyDescent="0.25">
      <c r="A23" s="88">
        <v>2025</v>
      </c>
      <c r="B23" s="135">
        <f>[2]Results!O42</f>
        <v>0.80235355897854022</v>
      </c>
      <c r="C23" s="110">
        <f t="shared" si="8"/>
        <v>16.849424738549345</v>
      </c>
      <c r="D23" s="111">
        <f t="shared" si="9"/>
        <v>16.849424738549345</v>
      </c>
      <c r="E23" s="112"/>
      <c r="F23" s="88">
        <v>2025</v>
      </c>
      <c r="G23" s="135">
        <f>[3]Results!O42</f>
        <v>0</v>
      </c>
      <c r="H23" s="110">
        <f t="shared" si="10"/>
        <v>0</v>
      </c>
      <c r="I23" s="111">
        <f t="shared" si="11"/>
        <v>0</v>
      </c>
      <c r="K23" s="88">
        <v>2025</v>
      </c>
      <c r="L23" s="134">
        <f>[4]Results!O42</f>
        <v>0.56898315020762302</v>
      </c>
      <c r="M23" s="110">
        <f t="shared" si="12"/>
        <v>11.948646154360084</v>
      </c>
      <c r="N23" s="111">
        <f t="shared" si="13"/>
        <v>11.948646154360084</v>
      </c>
      <c r="P23" s="88">
        <v>2025</v>
      </c>
      <c r="Q23" s="134">
        <f>[5]Results!O42</f>
        <v>0</v>
      </c>
      <c r="R23" s="113">
        <f t="shared" si="14"/>
        <v>0</v>
      </c>
      <c r="S23" s="114">
        <f t="shared" si="15"/>
        <v>0</v>
      </c>
    </row>
    <row r="24" spans="1:19" x14ac:dyDescent="0.25">
      <c r="A24" s="88">
        <v>2026</v>
      </c>
      <c r="B24" s="135">
        <f>[2]Results!O43</f>
        <v>0.82330930338997688</v>
      </c>
      <c r="C24" s="110">
        <f t="shared" si="8"/>
        <v>17.289495371189513</v>
      </c>
      <c r="D24" s="111">
        <f t="shared" si="9"/>
        <v>17.289495371189513</v>
      </c>
      <c r="E24" s="112"/>
      <c r="F24" s="88">
        <v>2026</v>
      </c>
      <c r="G24" s="135">
        <f>[3]Results!O43</f>
        <v>0</v>
      </c>
      <c r="H24" s="110">
        <f t="shared" si="10"/>
        <v>0</v>
      </c>
      <c r="I24" s="111">
        <f t="shared" si="11"/>
        <v>0</v>
      </c>
      <c r="K24" s="88">
        <v>2026</v>
      </c>
      <c r="L24" s="134">
        <f>[4]Results!O43</f>
        <v>0.58384376288483797</v>
      </c>
      <c r="M24" s="110">
        <f t="shared" si="12"/>
        <v>12.260719020581597</v>
      </c>
      <c r="N24" s="111">
        <f t="shared" si="13"/>
        <v>12.260719020581597</v>
      </c>
      <c r="P24" s="88">
        <v>2026</v>
      </c>
      <c r="Q24" s="134">
        <f>[5]Results!O43</f>
        <v>0</v>
      </c>
      <c r="R24" s="113">
        <f t="shared" si="14"/>
        <v>0</v>
      </c>
      <c r="S24" s="114">
        <f t="shared" si="15"/>
        <v>0</v>
      </c>
    </row>
    <row r="25" spans="1:19" x14ac:dyDescent="0.25">
      <c r="A25" s="88">
        <v>2027</v>
      </c>
      <c r="B25" s="135">
        <f>[2]Results!O44</f>
        <v>0.84426625207621997</v>
      </c>
      <c r="C25" s="110">
        <f t="shared" si="8"/>
        <v>17.72959129360062</v>
      </c>
      <c r="D25" s="111">
        <f t="shared" si="9"/>
        <v>17.72959129360062</v>
      </c>
      <c r="E25" s="112"/>
      <c r="F25" s="88">
        <v>2027</v>
      </c>
      <c r="G25" s="135">
        <f>[3]Results!O44</f>
        <v>0</v>
      </c>
      <c r="H25" s="110">
        <f t="shared" si="10"/>
        <v>0</v>
      </c>
      <c r="I25" s="111">
        <f t="shared" si="11"/>
        <v>0</v>
      </c>
      <c r="K25" s="88">
        <v>2027</v>
      </c>
      <c r="L25" s="134">
        <f>[4]Results!O44</f>
        <v>0.59870522956471228</v>
      </c>
      <c r="M25" s="110">
        <f t="shared" si="12"/>
        <v>12.572809820858957</v>
      </c>
      <c r="N25" s="111">
        <f t="shared" si="13"/>
        <v>12.572809820858957</v>
      </c>
      <c r="P25" s="88">
        <v>2027</v>
      </c>
      <c r="Q25" s="134">
        <f>[5]Results!O44</f>
        <v>0</v>
      </c>
      <c r="R25" s="113">
        <f t="shared" si="14"/>
        <v>0</v>
      </c>
      <c r="S25" s="114">
        <f t="shared" si="15"/>
        <v>0</v>
      </c>
    </row>
    <row r="26" spans="1:19" x14ac:dyDescent="0.25">
      <c r="A26" s="88">
        <v>2028</v>
      </c>
      <c r="B26" s="135">
        <f>[2]Results!O45</f>
        <v>0.8652227434935954</v>
      </c>
      <c r="C26" s="110">
        <f t="shared" si="8"/>
        <v>18.169677613365504</v>
      </c>
      <c r="D26" s="111">
        <f t="shared" si="9"/>
        <v>18.169677613365504</v>
      </c>
      <c r="E26" s="112"/>
      <c r="F26" s="88">
        <v>2028</v>
      </c>
      <c r="G26" s="135">
        <f>[3]Results!O45</f>
        <v>0</v>
      </c>
      <c r="H26" s="110">
        <f t="shared" si="10"/>
        <v>0</v>
      </c>
      <c r="I26" s="111">
        <f t="shared" si="11"/>
        <v>0</v>
      </c>
      <c r="K26" s="88">
        <v>2028</v>
      </c>
      <c r="L26" s="134">
        <f>[4]Results!O45</f>
        <v>0.61356637197571773</v>
      </c>
      <c r="M26" s="110">
        <f t="shared" si="12"/>
        <v>12.884893811490072</v>
      </c>
      <c r="N26" s="111">
        <f t="shared" si="13"/>
        <v>12.884893811490072</v>
      </c>
      <c r="P26" s="88">
        <v>2028</v>
      </c>
      <c r="Q26" s="134">
        <f>[5]Results!O45</f>
        <v>0</v>
      </c>
      <c r="R26" s="113">
        <f t="shared" si="14"/>
        <v>0</v>
      </c>
      <c r="S26" s="114">
        <f t="shared" si="15"/>
        <v>0</v>
      </c>
    </row>
    <row r="27" spans="1:19" x14ac:dyDescent="0.25">
      <c r="A27" s="88">
        <v>2029</v>
      </c>
      <c r="B27" s="135">
        <f>[2]Results!O46</f>
        <v>0.88617773482311735</v>
      </c>
      <c r="C27" s="110">
        <f t="shared" si="8"/>
        <v>18.609732431285465</v>
      </c>
      <c r="D27" s="111">
        <f t="shared" si="9"/>
        <v>18.609732431285465</v>
      </c>
      <c r="E27" s="112"/>
      <c r="F27" s="88">
        <v>2029</v>
      </c>
      <c r="G27" s="135">
        <f>[3]Results!O46</f>
        <v>0</v>
      </c>
      <c r="H27" s="110">
        <f t="shared" si="10"/>
        <v>0</v>
      </c>
      <c r="I27" s="111">
        <f t="shared" si="11"/>
        <v>0</v>
      </c>
      <c r="K27" s="88">
        <v>2029</v>
      </c>
      <c r="L27" s="134">
        <f>[4]Results!O46</f>
        <v>0.62842645061040803</v>
      </c>
      <c r="M27" s="110">
        <f t="shared" si="12"/>
        <v>13.196955462818568</v>
      </c>
      <c r="N27" s="111">
        <f t="shared" si="13"/>
        <v>13.196955462818568</v>
      </c>
      <c r="P27" s="88">
        <v>2029</v>
      </c>
      <c r="Q27" s="134">
        <f>[5]Results!O46</f>
        <v>0</v>
      </c>
      <c r="R27" s="113">
        <f t="shared" si="14"/>
        <v>0</v>
      </c>
      <c r="S27" s="114">
        <f t="shared" si="15"/>
        <v>0</v>
      </c>
    </row>
    <row r="28" spans="1:19" x14ac:dyDescent="0.25">
      <c r="A28" s="88">
        <v>2030</v>
      </c>
      <c r="B28" s="135">
        <f>[2]Results!O47</f>
        <v>0.90713059546636299</v>
      </c>
      <c r="C28" s="110">
        <f t="shared" si="8"/>
        <v>19.049742504793624</v>
      </c>
      <c r="D28" s="111">
        <f t="shared" si="9"/>
        <v>19.049742504793624</v>
      </c>
      <c r="E28" s="112"/>
      <c r="F28" s="88">
        <v>2030</v>
      </c>
      <c r="G28" s="135">
        <f>[3]Results!O47</f>
        <v>0</v>
      </c>
      <c r="H28" s="110">
        <f t="shared" si="10"/>
        <v>0</v>
      </c>
      <c r="I28" s="111">
        <f t="shared" si="11"/>
        <v>0</v>
      </c>
      <c r="K28" s="88">
        <v>2030</v>
      </c>
      <c r="L28" s="134">
        <f>[4]Results!O47</f>
        <v>0.64328501828453</v>
      </c>
      <c r="M28" s="110">
        <f t="shared" si="12"/>
        <v>13.50898538397513</v>
      </c>
      <c r="N28" s="111">
        <f t="shared" si="13"/>
        <v>13.50898538397513</v>
      </c>
      <c r="P28" s="88">
        <v>2030</v>
      </c>
      <c r="Q28" s="134">
        <f>[5]Results!O47</f>
        <v>0</v>
      </c>
      <c r="R28" s="113">
        <f t="shared" si="14"/>
        <v>0</v>
      </c>
      <c r="S28" s="114">
        <f t="shared" si="15"/>
        <v>0</v>
      </c>
    </row>
    <row r="29" spans="1:19" x14ac:dyDescent="0.25">
      <c r="A29" s="88">
        <v>2031</v>
      </c>
      <c r="B29" s="135"/>
      <c r="C29" s="110">
        <f t="shared" si="8"/>
        <v>0</v>
      </c>
      <c r="D29" s="111">
        <f t="shared" si="9"/>
        <v>0</v>
      </c>
      <c r="E29" s="112"/>
      <c r="F29" s="88">
        <v>2031</v>
      </c>
      <c r="G29" s="135"/>
      <c r="H29" s="110">
        <f t="shared" si="10"/>
        <v>0</v>
      </c>
      <c r="I29" s="111">
        <f t="shared" si="11"/>
        <v>0</v>
      </c>
      <c r="K29" s="88">
        <v>2031</v>
      </c>
      <c r="L29" s="134"/>
      <c r="M29" s="110">
        <f t="shared" si="12"/>
        <v>0</v>
      </c>
      <c r="N29" s="111">
        <f t="shared" si="13"/>
        <v>0</v>
      </c>
      <c r="P29" s="88">
        <v>2031</v>
      </c>
      <c r="Q29" s="134"/>
      <c r="R29" s="113">
        <f t="shared" si="14"/>
        <v>0</v>
      </c>
      <c r="S29" s="114">
        <f t="shared" si="15"/>
        <v>0</v>
      </c>
    </row>
    <row r="31" spans="1:19" x14ac:dyDescent="0.25">
      <c r="A31" s="115" t="s">
        <v>127</v>
      </c>
    </row>
    <row r="32" spans="1:19" x14ac:dyDescent="0.25">
      <c r="A32" s="177" t="s">
        <v>11</v>
      </c>
      <c r="B32" s="177" t="s">
        <v>81</v>
      </c>
      <c r="C32" s="177"/>
      <c r="D32" s="177"/>
      <c r="E32" s="177"/>
      <c r="F32" s="177"/>
    </row>
    <row r="33" spans="1:6" ht="18" x14ac:dyDescent="0.25">
      <c r="A33" s="177"/>
      <c r="B33" s="177" t="s">
        <v>129</v>
      </c>
      <c r="C33" s="177"/>
      <c r="D33" s="177" t="s">
        <v>133</v>
      </c>
      <c r="E33" s="177"/>
      <c r="F33" s="178" t="s">
        <v>130</v>
      </c>
    </row>
    <row r="34" spans="1:6" ht="18" x14ac:dyDescent="0.25">
      <c r="A34" s="177"/>
      <c r="B34" s="153" t="s">
        <v>131</v>
      </c>
      <c r="C34" s="153" t="s">
        <v>132</v>
      </c>
      <c r="D34" s="153" t="s">
        <v>134</v>
      </c>
      <c r="E34" s="153" t="s">
        <v>132</v>
      </c>
      <c r="F34" s="178"/>
    </row>
    <row r="35" spans="1:6" x14ac:dyDescent="0.25">
      <c r="A35" s="88">
        <v>2011</v>
      </c>
      <c r="B35" s="110">
        <f>[6]REKAPITULASI!B6</f>
        <v>2.0086487999999999E-3</v>
      </c>
      <c r="C35" s="110">
        <f>B35*21</f>
        <v>4.2181624799999998E-2</v>
      </c>
      <c r="D35" s="110">
        <f>[6]REKAPITULASI!D6</f>
        <v>1.5064865999999999E-4</v>
      </c>
      <c r="E35" s="110">
        <f>D35*310</f>
        <v>4.6701084599999998E-2</v>
      </c>
      <c r="F35" s="111">
        <f>E35+C35</f>
        <v>8.8882709399999996E-2</v>
      </c>
    </row>
    <row r="36" spans="1:6" x14ac:dyDescent="0.25">
      <c r="A36" s="88">
        <v>2012</v>
      </c>
      <c r="B36" s="110">
        <f>[6]REKAPITULASI!B7</f>
        <v>2.0690208000000002E-3</v>
      </c>
      <c r="C36" s="110">
        <f t="shared" ref="C36:C45" si="16">B36*21</f>
        <v>4.3449436800000005E-2</v>
      </c>
      <c r="D36" s="110">
        <f>[6]REKAPITULASI!D7</f>
        <v>1.5517655999999999E-4</v>
      </c>
      <c r="E36" s="110">
        <f t="shared" ref="E36:E45" si="17">D36*310</f>
        <v>4.8104733599999998E-2</v>
      </c>
      <c r="F36" s="111">
        <f t="shared" ref="F36:F45" si="18">E36+C36</f>
        <v>9.1554170399999996E-2</v>
      </c>
    </row>
    <row r="37" spans="1:6" x14ac:dyDescent="0.25">
      <c r="A37" s="88">
        <v>2013</v>
      </c>
      <c r="B37" s="110">
        <f>[6]REKAPITULASI!B8</f>
        <v>2.1317904000000003E-3</v>
      </c>
      <c r="C37" s="110">
        <f t="shared" si="16"/>
        <v>4.4767598400000004E-2</v>
      </c>
      <c r="D37" s="110">
        <f>[6]REKAPITULASI!D8</f>
        <v>1.5988428000000002E-4</v>
      </c>
      <c r="E37" s="110">
        <f t="shared" si="17"/>
        <v>4.9564126800000004E-2</v>
      </c>
      <c r="F37" s="111">
        <f t="shared" si="18"/>
        <v>9.4331725200000008E-2</v>
      </c>
    </row>
    <row r="38" spans="1:6" x14ac:dyDescent="0.25">
      <c r="A38" s="88">
        <v>2014</v>
      </c>
      <c r="B38" s="110">
        <f>[6]REKAPITULASI!B9</f>
        <v>2.1948084000000005E-3</v>
      </c>
      <c r="C38" s="110">
        <f t="shared" si="16"/>
        <v>4.6090976400000011E-2</v>
      </c>
      <c r="D38" s="110">
        <f>[6]REKAPITULASI!D9</f>
        <v>1.6461063000000001E-4</v>
      </c>
      <c r="E38" s="110">
        <f t="shared" si="17"/>
        <v>5.1029295300000006E-2</v>
      </c>
      <c r="F38" s="111">
        <f t="shared" si="18"/>
        <v>9.712027170000001E-2</v>
      </c>
    </row>
    <row r="39" spans="1:6" x14ac:dyDescent="0.25">
      <c r="A39" s="88">
        <v>2015</v>
      </c>
      <c r="B39" s="110">
        <f>[6]REKAPITULASI!B10</f>
        <v>2.2560444000000006E-3</v>
      </c>
      <c r="C39" s="110">
        <f t="shared" si="16"/>
        <v>4.7376932400000016E-2</v>
      </c>
      <c r="D39" s="110">
        <f>[6]REKAPITULASI!D10</f>
        <v>1.6920333000000002E-4</v>
      </c>
      <c r="E39" s="110">
        <f t="shared" si="17"/>
        <v>5.2453032300000008E-2</v>
      </c>
      <c r="F39" s="111">
        <f t="shared" si="18"/>
        <v>9.9829964700000023E-2</v>
      </c>
    </row>
    <row r="40" spans="1:6" x14ac:dyDescent="0.25">
      <c r="A40" s="88">
        <v>2016</v>
      </c>
      <c r="B40" s="110">
        <f>[6]REKAPITULASI!B11</f>
        <v>2.3201424000000004E-3</v>
      </c>
      <c r="C40" s="110">
        <f t="shared" si="16"/>
        <v>4.8722990400000006E-2</v>
      </c>
      <c r="D40" s="110">
        <f>[6]REKAPITULASI!D11</f>
        <v>1.7401068000000002E-4</v>
      </c>
      <c r="E40" s="110">
        <f t="shared" si="17"/>
        <v>5.3943310800000005E-2</v>
      </c>
      <c r="F40" s="111">
        <f t="shared" si="18"/>
        <v>0.1026663012</v>
      </c>
    </row>
    <row r="41" spans="1:6" x14ac:dyDescent="0.25">
      <c r="A41" s="88">
        <v>2017</v>
      </c>
      <c r="B41" s="110">
        <f>[6]REKAPITULASI!B12</f>
        <v>2.4008313600000003E-3</v>
      </c>
      <c r="C41" s="110">
        <f t="shared" si="16"/>
        <v>5.0417458560000003E-2</v>
      </c>
      <c r="D41" s="110">
        <f>[6]REKAPITULASI!D12</f>
        <v>1.8006235200000001E-4</v>
      </c>
      <c r="E41" s="110">
        <f t="shared" si="17"/>
        <v>5.5819329120000004E-2</v>
      </c>
      <c r="F41" s="111">
        <f t="shared" si="18"/>
        <v>0.10623678768</v>
      </c>
    </row>
    <row r="42" spans="1:6" x14ac:dyDescent="0.25">
      <c r="A42" s="88">
        <v>2018</v>
      </c>
      <c r="B42" s="110">
        <f>[6]REKAPITULASI!B13</f>
        <v>2.4667534799999997E-3</v>
      </c>
      <c r="C42" s="110">
        <f t="shared" si="16"/>
        <v>5.1801823079999997E-2</v>
      </c>
      <c r="D42" s="110">
        <f>[6]REKAPITULASI!D13</f>
        <v>1.8500651099999997E-4</v>
      </c>
      <c r="E42" s="110">
        <f t="shared" si="17"/>
        <v>5.735201840999999E-2</v>
      </c>
      <c r="F42" s="111">
        <f t="shared" si="18"/>
        <v>0.10915384148999999</v>
      </c>
    </row>
    <row r="43" spans="1:6" x14ac:dyDescent="0.25">
      <c r="A43" s="88">
        <v>2019</v>
      </c>
      <c r="B43" s="110">
        <f>[6]REKAPITULASI!B14</f>
        <v>2.5326756000000001E-3</v>
      </c>
      <c r="C43" s="110">
        <f t="shared" si="16"/>
        <v>5.3186187600000004E-2</v>
      </c>
      <c r="D43" s="110">
        <f>[6]REKAPITULASI!D14</f>
        <v>1.8995067000000002E-4</v>
      </c>
      <c r="E43" s="110">
        <f t="shared" si="17"/>
        <v>5.8884707700000004E-2</v>
      </c>
      <c r="F43" s="111">
        <f t="shared" si="18"/>
        <v>0.1120708953</v>
      </c>
    </row>
    <row r="44" spans="1:6" x14ac:dyDescent="0.25">
      <c r="A44" s="88">
        <v>2020</v>
      </c>
      <c r="B44" s="110">
        <f>[6]REKAPITULASI!B15</f>
        <v>2.59859772E-3</v>
      </c>
      <c r="C44" s="110">
        <f t="shared" si="16"/>
        <v>5.4570552119999997E-2</v>
      </c>
      <c r="D44" s="110">
        <f>[6]REKAPITULASI!D15</f>
        <v>1.94894829E-4</v>
      </c>
      <c r="E44" s="110">
        <f t="shared" si="17"/>
        <v>6.0417396990000004E-2</v>
      </c>
      <c r="F44" s="111">
        <f t="shared" si="18"/>
        <v>0.11498794911</v>
      </c>
    </row>
    <row r="45" spans="1:6" x14ac:dyDescent="0.25">
      <c r="A45" s="88">
        <v>2021</v>
      </c>
      <c r="B45" s="110">
        <f>[6]REKAPITULASI!B16</f>
        <v>2.6645198399999999E-3</v>
      </c>
      <c r="C45" s="110">
        <f t="shared" si="16"/>
        <v>5.5954916639999998E-2</v>
      </c>
      <c r="D45" s="110">
        <f>[6]REKAPITULASI!D16</f>
        <v>1.9983898799999996E-4</v>
      </c>
      <c r="E45" s="110">
        <f t="shared" si="17"/>
        <v>6.195008627999999E-2</v>
      </c>
      <c r="F45" s="111">
        <f t="shared" si="18"/>
        <v>0.11790500291999999</v>
      </c>
    </row>
    <row r="46" spans="1:6" x14ac:dyDescent="0.25">
      <c r="A46" s="88">
        <v>2022</v>
      </c>
      <c r="B46" s="110">
        <f>[6]REKAPITULASI!B17</f>
        <v>2.7304419599999998E-3</v>
      </c>
      <c r="C46" s="110">
        <f t="shared" ref="C46:C55" si="19">B46*21</f>
        <v>5.7339281159999991E-2</v>
      </c>
      <c r="D46" s="110">
        <f>[6]REKAPITULASI!D17</f>
        <v>2.0478314699999998E-4</v>
      </c>
      <c r="E46" s="110">
        <f t="shared" ref="E46:E55" si="20">D46*310</f>
        <v>6.3482775569999997E-2</v>
      </c>
      <c r="F46" s="111">
        <f t="shared" ref="F46:F55" si="21">E46+C46</f>
        <v>0.12082205672999999</v>
      </c>
    </row>
    <row r="47" spans="1:6" x14ac:dyDescent="0.25">
      <c r="A47" s="88">
        <v>2023</v>
      </c>
      <c r="B47" s="110">
        <f>[6]REKAPITULASI!B18</f>
        <v>2.7963640799999996E-3</v>
      </c>
      <c r="C47" s="110">
        <f t="shared" si="19"/>
        <v>5.8723645679999992E-2</v>
      </c>
      <c r="D47" s="110">
        <f>[6]REKAPITULASI!D18</f>
        <v>2.0972730599999996E-4</v>
      </c>
      <c r="E47" s="110">
        <f t="shared" si="20"/>
        <v>6.5015464859999983E-2</v>
      </c>
      <c r="F47" s="111">
        <f t="shared" si="21"/>
        <v>0.12373911053999997</v>
      </c>
    </row>
    <row r="48" spans="1:6" x14ac:dyDescent="0.25">
      <c r="A48" s="88">
        <v>2024</v>
      </c>
      <c r="B48" s="110">
        <f>[6]REKAPITULASI!B19</f>
        <v>2.8622862000000004E-3</v>
      </c>
      <c r="C48" s="110">
        <f t="shared" si="19"/>
        <v>6.0108010200000006E-2</v>
      </c>
      <c r="D48" s="110">
        <f>[6]REKAPITULASI!D19</f>
        <v>2.14671465E-4</v>
      </c>
      <c r="E48" s="110">
        <f t="shared" si="20"/>
        <v>6.6548154149999997E-2</v>
      </c>
      <c r="F48" s="111">
        <f t="shared" si="21"/>
        <v>0.12665616434999999</v>
      </c>
    </row>
    <row r="49" spans="1:10" x14ac:dyDescent="0.25">
      <c r="A49" s="88">
        <v>2025</v>
      </c>
      <c r="B49" s="110">
        <f>[6]REKAPITULASI!B20</f>
        <v>2.9282083200000003E-3</v>
      </c>
      <c r="C49" s="110">
        <f t="shared" si="19"/>
        <v>6.1492374720000006E-2</v>
      </c>
      <c r="D49" s="110">
        <f>[6]REKAPITULASI!D20</f>
        <v>2.1961562400000004E-4</v>
      </c>
      <c r="E49" s="110">
        <f t="shared" si="20"/>
        <v>6.8080843440000011E-2</v>
      </c>
      <c r="F49" s="111">
        <f t="shared" si="21"/>
        <v>0.12957321816</v>
      </c>
    </row>
    <row r="50" spans="1:10" x14ac:dyDescent="0.25">
      <c r="A50" s="88">
        <v>2026</v>
      </c>
      <c r="B50" s="110">
        <f>[6]REKAPITULASI!B21</f>
        <v>2.9941304400000002E-3</v>
      </c>
      <c r="C50" s="110">
        <f t="shared" si="19"/>
        <v>6.2876739240000007E-2</v>
      </c>
      <c r="D50" s="110">
        <f>[6]REKAPITULASI!D21</f>
        <v>2.24559783E-4</v>
      </c>
      <c r="E50" s="110">
        <f t="shared" si="20"/>
        <v>6.9613532729999997E-2</v>
      </c>
      <c r="F50" s="111">
        <f t="shared" si="21"/>
        <v>0.13249027197000002</v>
      </c>
    </row>
    <row r="51" spans="1:10" x14ac:dyDescent="0.25">
      <c r="A51" s="88">
        <v>2027</v>
      </c>
      <c r="B51" s="110">
        <f>[6]REKAPITULASI!B22</f>
        <v>3.0600525599999997E-3</v>
      </c>
      <c r="C51" s="110">
        <f t="shared" si="19"/>
        <v>6.4261103759999993E-2</v>
      </c>
      <c r="D51" s="110">
        <f>[6]REKAPITULASI!D22</f>
        <v>2.2950394199999996E-4</v>
      </c>
      <c r="E51" s="110">
        <f t="shared" si="20"/>
        <v>7.1146222019999983E-2</v>
      </c>
      <c r="F51" s="111">
        <f t="shared" si="21"/>
        <v>0.13540732577999998</v>
      </c>
    </row>
    <row r="52" spans="1:10" x14ac:dyDescent="0.25">
      <c r="A52" s="88">
        <v>2028</v>
      </c>
      <c r="B52" s="110">
        <f>[6]REKAPITULASI!B23</f>
        <v>3.1259746799999996E-3</v>
      </c>
      <c r="C52" s="110">
        <f t="shared" si="19"/>
        <v>6.5645468279999994E-2</v>
      </c>
      <c r="D52" s="110">
        <f>[6]REKAPITULASI!D23</f>
        <v>2.3444810099999995E-4</v>
      </c>
      <c r="E52" s="110">
        <f t="shared" si="20"/>
        <v>7.2678911309999983E-2</v>
      </c>
      <c r="F52" s="111">
        <f t="shared" si="21"/>
        <v>0.13832437958999999</v>
      </c>
    </row>
    <row r="53" spans="1:10" x14ac:dyDescent="0.25">
      <c r="A53" s="88">
        <v>2029</v>
      </c>
      <c r="B53" s="110">
        <f>[6]REKAPITULASI!B24</f>
        <v>3.1918967999999999E-3</v>
      </c>
      <c r="C53" s="110">
        <f t="shared" si="19"/>
        <v>6.7029832799999994E-2</v>
      </c>
      <c r="D53" s="110">
        <f>[6]REKAPITULASI!D24</f>
        <v>2.3939225999999997E-4</v>
      </c>
      <c r="E53" s="110">
        <f t="shared" si="20"/>
        <v>7.4211600599999983E-2</v>
      </c>
      <c r="F53" s="111">
        <f t="shared" si="21"/>
        <v>0.14124143339999998</v>
      </c>
    </row>
    <row r="54" spans="1:10" x14ac:dyDescent="0.25">
      <c r="A54" s="88">
        <v>2030</v>
      </c>
      <c r="B54" s="110">
        <f>[6]REKAPITULASI!B25</f>
        <v>3.2578189200000007E-3</v>
      </c>
      <c r="C54" s="110">
        <f t="shared" si="19"/>
        <v>6.8414197320000009E-2</v>
      </c>
      <c r="D54" s="110">
        <f>[6]REKAPITULASI!D25</f>
        <v>2.4433641900000001E-4</v>
      </c>
      <c r="E54" s="110">
        <f t="shared" si="20"/>
        <v>7.5744289889999997E-2</v>
      </c>
      <c r="F54" s="111">
        <f t="shared" si="21"/>
        <v>0.14415848721000002</v>
      </c>
    </row>
    <row r="55" spans="1:10" x14ac:dyDescent="0.25">
      <c r="A55" s="88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x14ac:dyDescent="0.25">
      <c r="A57" s="104" t="s">
        <v>88</v>
      </c>
      <c r="J57" s="95">
        <v>1000</v>
      </c>
    </row>
    <row r="58" spans="1:10" x14ac:dyDescent="0.25">
      <c r="A58" s="176" t="s">
        <v>11</v>
      </c>
      <c r="B58" s="176" t="s">
        <v>89</v>
      </c>
      <c r="C58" s="176"/>
      <c r="D58" s="176"/>
      <c r="E58" s="176"/>
      <c r="F58" s="176"/>
    </row>
    <row r="59" spans="1:10" ht="18" x14ac:dyDescent="0.25">
      <c r="A59" s="176"/>
      <c r="B59" s="176" t="s">
        <v>129</v>
      </c>
      <c r="C59" s="176"/>
      <c r="D59" s="176" t="s">
        <v>133</v>
      </c>
      <c r="E59" s="176"/>
      <c r="F59" s="154" t="s">
        <v>135</v>
      </c>
      <c r="H59" s="180" t="s">
        <v>11</v>
      </c>
      <c r="I59" s="180" t="s">
        <v>145</v>
      </c>
      <c r="J59" s="180"/>
    </row>
    <row r="60" spans="1:10" ht="18" x14ac:dyDescent="0.25">
      <c r="A60" s="176"/>
      <c r="B60" s="155" t="s">
        <v>131</v>
      </c>
      <c r="C60" s="155" t="s">
        <v>132</v>
      </c>
      <c r="D60" s="155" t="s">
        <v>134</v>
      </c>
      <c r="E60" s="155" t="s">
        <v>132</v>
      </c>
      <c r="F60" s="155" t="s">
        <v>136</v>
      </c>
      <c r="H60" s="180"/>
      <c r="I60" s="127" t="s">
        <v>146</v>
      </c>
      <c r="J60" s="127" t="s">
        <v>147</v>
      </c>
    </row>
    <row r="61" spans="1:10" x14ac:dyDescent="0.25">
      <c r="A61" s="88">
        <v>2011</v>
      </c>
      <c r="B61" s="122">
        <f>[6]REKAPITULASI!B32</f>
        <v>1.8939409115770002E-2</v>
      </c>
      <c r="C61" s="117">
        <f>B61*21</f>
        <v>0.39772759143117004</v>
      </c>
      <c r="D61" s="122">
        <f>[6]REKAPITULASI!D32</f>
        <v>4.3706328728700003E-4</v>
      </c>
      <c r="E61" s="117">
        <f>D61*310</f>
        <v>0.13548961905897</v>
      </c>
      <c r="F61" s="118">
        <f>SUM(C61+E61)</f>
        <v>0.53321721049014004</v>
      </c>
      <c r="H61" s="88">
        <v>2011</v>
      </c>
      <c r="I61" s="128">
        <f t="shared" ref="I61:I66" si="22">D9+I9+N9+S9+F35+F61</f>
        <v>20.127036403768415</v>
      </c>
      <c r="J61" s="162">
        <f>I61*$J$57</f>
        <v>20127.036403768416</v>
      </c>
    </row>
    <row r="62" spans="1:10" x14ac:dyDescent="0.25">
      <c r="A62" s="88">
        <v>2012</v>
      </c>
      <c r="B62" s="122">
        <f>[6]REKAPITULASI!B33</f>
        <v>1.950865248332E-2</v>
      </c>
      <c r="C62" s="117">
        <f t="shared" ref="C62:C81" si="23">B62*21</f>
        <v>0.40968170214972</v>
      </c>
      <c r="D62" s="122">
        <f>[6]REKAPITULASI!D33</f>
        <v>4.501996726919999E-4</v>
      </c>
      <c r="E62" s="117">
        <f t="shared" ref="E62:E81" si="24">D62*310</f>
        <v>0.13956189853451997</v>
      </c>
      <c r="F62" s="118">
        <f t="shared" ref="F62:F81" si="25">SUM(C62+E62)</f>
        <v>0.54924360068423994</v>
      </c>
      <c r="H62" s="88">
        <v>2012</v>
      </c>
      <c r="I62" s="128">
        <f t="shared" si="22"/>
        <v>20.500935489291685</v>
      </c>
      <c r="J62" s="162">
        <f t="shared" ref="J62:J70" si="26">I62*$J$57</f>
        <v>20500.935489291685</v>
      </c>
    </row>
    <row r="63" spans="1:10" x14ac:dyDescent="0.25">
      <c r="A63" s="88">
        <v>2013</v>
      </c>
      <c r="B63" s="122">
        <f>[6]REKAPITULASI!B34</f>
        <v>2.010050265366E-2</v>
      </c>
      <c r="C63" s="117">
        <f t="shared" si="23"/>
        <v>0.42211055572686002</v>
      </c>
      <c r="D63" s="122">
        <f>[6]REKAPITULASI!D34</f>
        <v>4.6385775354600004E-4</v>
      </c>
      <c r="E63" s="117">
        <f t="shared" si="24"/>
        <v>0.14379590359926001</v>
      </c>
      <c r="F63" s="118">
        <f t="shared" si="25"/>
        <v>0.56590645932612005</v>
      </c>
      <c r="H63" s="88">
        <v>2013</v>
      </c>
      <c r="I63" s="128">
        <f t="shared" si="22"/>
        <v>20.99122962090312</v>
      </c>
      <c r="J63" s="162">
        <f t="shared" si="26"/>
        <v>20991.229620903119</v>
      </c>
    </row>
    <row r="64" spans="1:10" x14ac:dyDescent="0.25">
      <c r="A64" s="88">
        <v>2014</v>
      </c>
      <c r="B64" s="122">
        <f>[6]REKAPITULASI!B35</f>
        <v>2.0694694970235003E-2</v>
      </c>
      <c r="C64" s="117">
        <f t="shared" si="23"/>
        <v>0.43458859437493508</v>
      </c>
      <c r="D64" s="122">
        <f>[6]REKAPITULASI!D35</f>
        <v>4.7756988392850006E-4</v>
      </c>
      <c r="E64" s="117">
        <f t="shared" si="24"/>
        <v>0.14804666401783503</v>
      </c>
      <c r="F64" s="118">
        <f t="shared" si="25"/>
        <v>0.58263525839277008</v>
      </c>
      <c r="H64" s="88">
        <v>2014</v>
      </c>
      <c r="I64" s="128">
        <f t="shared" si="22"/>
        <v>21.565242315734274</v>
      </c>
      <c r="J64" s="162">
        <f t="shared" si="26"/>
        <v>21565.242315734275</v>
      </c>
    </row>
    <row r="65" spans="1:10" x14ac:dyDescent="0.25">
      <c r="A65" s="88">
        <v>2015</v>
      </c>
      <c r="B65" s="122">
        <f>[6]REKAPITULASI!B36</f>
        <v>2.1272084933385001E-2</v>
      </c>
      <c r="C65" s="117">
        <f t="shared" si="23"/>
        <v>0.44671378360108505</v>
      </c>
      <c r="D65" s="122">
        <f>[6]REKAPITULASI!D36</f>
        <v>4.9089426769350004E-4</v>
      </c>
      <c r="E65" s="117">
        <f t="shared" si="24"/>
        <v>0.15217722298498501</v>
      </c>
      <c r="F65" s="118">
        <f t="shared" si="25"/>
        <v>0.59889100658607008</v>
      </c>
      <c r="H65" s="88">
        <v>2015</v>
      </c>
      <c r="I65" s="128">
        <f t="shared" si="22"/>
        <v>22.195230256130404</v>
      </c>
      <c r="J65" s="162">
        <f t="shared" si="26"/>
        <v>22195.230256130406</v>
      </c>
    </row>
    <row r="66" spans="1:10" x14ac:dyDescent="0.25">
      <c r="A66" s="88">
        <v>2016</v>
      </c>
      <c r="B66" s="122">
        <f>[6]REKAPITULASI!B37</f>
        <v>2.1876460494460001E-2</v>
      </c>
      <c r="C66" s="117">
        <f t="shared" si="23"/>
        <v>0.45940567038366004</v>
      </c>
      <c r="D66" s="122">
        <f>[6]REKAPITULASI!D37</f>
        <v>5.0484139602599998E-4</v>
      </c>
      <c r="E66" s="117">
        <f t="shared" si="24"/>
        <v>0.15650083276805998</v>
      </c>
      <c r="F66" s="118">
        <f t="shared" si="25"/>
        <v>0.61590650315172002</v>
      </c>
      <c r="H66" s="88">
        <v>2016</v>
      </c>
      <c r="I66" s="128">
        <f t="shared" si="22"/>
        <v>22.858870907674483</v>
      </c>
      <c r="J66" s="162">
        <f t="shared" si="26"/>
        <v>22858.870907674482</v>
      </c>
    </row>
    <row r="67" spans="1:10" x14ac:dyDescent="0.25">
      <c r="A67" s="88">
        <v>2017</v>
      </c>
      <c r="B67" s="122">
        <f>[6]REKAPITULASI!B38</f>
        <v>2.2637271057544005E-2</v>
      </c>
      <c r="C67" s="117">
        <f t="shared" si="23"/>
        <v>0.47538269220842411</v>
      </c>
      <c r="D67" s="122">
        <f>[6]REKAPITULASI!D38</f>
        <v>5.2239856286640006E-4</v>
      </c>
      <c r="E67" s="117">
        <f t="shared" si="24"/>
        <v>0.16194355448858402</v>
      </c>
      <c r="F67" s="118">
        <f t="shared" si="25"/>
        <v>0.6373262466970081</v>
      </c>
      <c r="H67" s="88">
        <v>2017</v>
      </c>
      <c r="I67" s="128">
        <f t="shared" ref="I67:I81" si="27">D15+I15+N15+S15+F41+F67</f>
        <v>23.557184307746258</v>
      </c>
      <c r="J67" s="162">
        <f t="shared" si="26"/>
        <v>23557.184307746258</v>
      </c>
    </row>
    <row r="68" spans="1:10" x14ac:dyDescent="0.25">
      <c r="A68" s="88">
        <v>2018</v>
      </c>
      <c r="B68" s="122">
        <f>[6]REKAPITULASI!B39</f>
        <v>2.32588461185795E-2</v>
      </c>
      <c r="C68" s="117">
        <f t="shared" si="23"/>
        <v>0.48843576849016951</v>
      </c>
      <c r="D68" s="122">
        <f>[6]REKAPITULASI!D39</f>
        <v>5.3674260273644993E-4</v>
      </c>
      <c r="E68" s="117">
        <f t="shared" si="24"/>
        <v>0.16639020684829947</v>
      </c>
      <c r="F68" s="118">
        <f t="shared" si="25"/>
        <v>0.65482597533846898</v>
      </c>
      <c r="H68" s="88">
        <v>2018</v>
      </c>
      <c r="I68" s="128">
        <f t="shared" si="27"/>
        <v>24.316661255236951</v>
      </c>
      <c r="J68" s="162">
        <f t="shared" si="26"/>
        <v>24316.661255236952</v>
      </c>
    </row>
    <row r="69" spans="1:10" x14ac:dyDescent="0.25">
      <c r="A69" s="88">
        <v>2019</v>
      </c>
      <c r="B69" s="122">
        <f>[6]REKAPITULASI!B40</f>
        <v>2.3880421179614999E-2</v>
      </c>
      <c r="C69" s="117">
        <f t="shared" si="23"/>
        <v>0.50148884477191502</v>
      </c>
      <c r="D69" s="122">
        <f>[6]REKAPITULASI!D40</f>
        <v>5.5108664260649992E-4</v>
      </c>
      <c r="E69" s="117">
        <f t="shared" si="24"/>
        <v>0.17083685920801497</v>
      </c>
      <c r="F69" s="118">
        <f t="shared" si="25"/>
        <v>0.67232570397992997</v>
      </c>
      <c r="H69" s="88">
        <v>2019</v>
      </c>
      <c r="I69" s="128">
        <f t="shared" si="27"/>
        <v>25.080955029225969</v>
      </c>
      <c r="J69" s="162">
        <f t="shared" si="26"/>
        <v>25080.95502922597</v>
      </c>
    </row>
    <row r="70" spans="1:10" x14ac:dyDescent="0.25">
      <c r="A70" s="88">
        <v>2020</v>
      </c>
      <c r="B70" s="122">
        <f>[6]REKAPITULASI!B41</f>
        <v>2.4501996240650498E-2</v>
      </c>
      <c r="C70" s="117">
        <f t="shared" si="23"/>
        <v>0.51454192105366048</v>
      </c>
      <c r="D70" s="122">
        <f>[6]REKAPITULASI!D41</f>
        <v>5.654306824765499E-4</v>
      </c>
      <c r="E70" s="117">
        <f t="shared" si="24"/>
        <v>0.17528351156773048</v>
      </c>
      <c r="F70" s="118">
        <f t="shared" si="25"/>
        <v>0.68982543262139095</v>
      </c>
      <c r="H70" s="88">
        <v>2020</v>
      </c>
      <c r="I70" s="128">
        <f t="shared" si="27"/>
        <v>25.848410783437757</v>
      </c>
      <c r="J70" s="162">
        <f t="shared" si="26"/>
        <v>25848.410783437757</v>
      </c>
    </row>
    <row r="71" spans="1:10" x14ac:dyDescent="0.25">
      <c r="A71" s="88">
        <v>2021</v>
      </c>
      <c r="B71" s="122">
        <f>[6]REKAPITULASI!B42</f>
        <v>2.5123571301685996E-2</v>
      </c>
      <c r="C71" s="117">
        <f t="shared" si="23"/>
        <v>0.52759499733540594</v>
      </c>
      <c r="D71" s="122">
        <f>[6]REKAPITULASI!D42</f>
        <v>5.7977472234659988E-4</v>
      </c>
      <c r="E71" s="117">
        <f t="shared" si="24"/>
        <v>0.17973016392744595</v>
      </c>
      <c r="F71" s="118">
        <f t="shared" si="25"/>
        <v>0.70732516126285194</v>
      </c>
      <c r="H71" s="88">
        <v>2021</v>
      </c>
      <c r="I71" s="128">
        <f>D19+I19+N19+S19+F45+F71</f>
        <v>26.617921726094725</v>
      </c>
      <c r="J71" s="162">
        <f>I71*$J$57</f>
        <v>26617.921726094726</v>
      </c>
    </row>
    <row r="72" spans="1:10" x14ac:dyDescent="0.25">
      <c r="A72" s="88">
        <v>2022</v>
      </c>
      <c r="B72" s="122">
        <f>[6]REKAPITULASI!B43</f>
        <v>2.5745146362721499E-2</v>
      </c>
      <c r="C72" s="117">
        <f t="shared" si="23"/>
        <v>0.5406480736171515</v>
      </c>
      <c r="D72" s="122">
        <f>[6]REKAPITULASI!D43</f>
        <v>5.9411876221664996E-4</v>
      </c>
      <c r="E72" s="117">
        <f t="shared" si="24"/>
        <v>0.18417681628716148</v>
      </c>
      <c r="F72" s="118">
        <f t="shared" si="25"/>
        <v>0.72482488990431304</v>
      </c>
      <c r="H72" s="88">
        <v>2022</v>
      </c>
      <c r="I72" s="128">
        <f t="shared" si="27"/>
        <v>27.388748587269525</v>
      </c>
      <c r="J72" s="162">
        <f t="shared" ref="J72:J81" si="28">I72*$J$57</f>
        <v>27388.748587269525</v>
      </c>
    </row>
    <row r="73" spans="1:10" x14ac:dyDescent="0.25">
      <c r="A73" s="88">
        <v>2023</v>
      </c>
      <c r="B73" s="122">
        <f>[6]REKAPITULASI!B44</f>
        <v>2.6366721423756994E-2</v>
      </c>
      <c r="C73" s="117">
        <f t="shared" si="23"/>
        <v>0.55370114989889685</v>
      </c>
      <c r="D73" s="122">
        <f>[6]REKAPITULASI!D44</f>
        <v>6.0846280208669984E-4</v>
      </c>
      <c r="E73" s="117">
        <f t="shared" si="24"/>
        <v>0.18862346864687696</v>
      </c>
      <c r="F73" s="118">
        <f t="shared" si="25"/>
        <v>0.74232461854577381</v>
      </c>
      <c r="H73" s="88">
        <v>2023</v>
      </c>
      <c r="I73" s="128">
        <f t="shared" si="27"/>
        <v>28.160398544393004</v>
      </c>
      <c r="J73" s="162">
        <f t="shared" si="28"/>
        <v>28160.398544393003</v>
      </c>
    </row>
    <row r="74" spans="1:10" x14ac:dyDescent="0.25">
      <c r="A74" s="88">
        <v>2024</v>
      </c>
      <c r="B74" s="122">
        <f>[6]REKAPITULASI!B45</f>
        <v>2.69882964847925E-2</v>
      </c>
      <c r="C74" s="117">
        <f t="shared" si="23"/>
        <v>0.56675422618064253</v>
      </c>
      <c r="D74" s="122">
        <f>[6]REKAPITULASI!D45</f>
        <v>6.2280684195674992E-4</v>
      </c>
      <c r="E74" s="117">
        <f t="shared" si="24"/>
        <v>0.19307012100659249</v>
      </c>
      <c r="F74" s="118">
        <f t="shared" si="25"/>
        <v>0.75982434718723502</v>
      </c>
      <c r="H74" s="88">
        <v>2024</v>
      </c>
      <c r="I74" s="128">
        <f t="shared" si="27"/>
        <v>28.932544015571469</v>
      </c>
      <c r="J74" s="162">
        <f t="shared" si="28"/>
        <v>28932.544015571468</v>
      </c>
    </row>
    <row r="75" spans="1:10" x14ac:dyDescent="0.25">
      <c r="A75" s="88">
        <v>2025</v>
      </c>
      <c r="B75" s="122">
        <f>[6]REKAPITULASI!B46</f>
        <v>2.7609871545828009E-2</v>
      </c>
      <c r="C75" s="117">
        <f t="shared" si="23"/>
        <v>0.57980730246238821</v>
      </c>
      <c r="D75" s="122">
        <f>[6]REKAPITULASI!D46</f>
        <v>6.3715088182680012E-4</v>
      </c>
      <c r="E75" s="117">
        <f t="shared" si="24"/>
        <v>0.19751677336630805</v>
      </c>
      <c r="F75" s="118">
        <f t="shared" si="25"/>
        <v>0.77732407582869623</v>
      </c>
      <c r="H75" s="88">
        <v>2025</v>
      </c>
      <c r="I75" s="128">
        <f t="shared" si="27"/>
        <v>29.704968186898125</v>
      </c>
      <c r="J75" s="162">
        <f t="shared" si="28"/>
        <v>29704.968186898124</v>
      </c>
    </row>
    <row r="76" spans="1:10" x14ac:dyDescent="0.25">
      <c r="A76" s="88">
        <v>2026</v>
      </c>
      <c r="B76" s="122">
        <f>[6]REKAPITULASI!B47</f>
        <v>2.8231446606863501E-2</v>
      </c>
      <c r="C76" s="117">
        <f t="shared" si="23"/>
        <v>0.59286037874413355</v>
      </c>
      <c r="D76" s="122">
        <f>[6]REKAPITULASI!D47</f>
        <v>6.5149492169684999E-4</v>
      </c>
      <c r="E76" s="117">
        <f t="shared" si="24"/>
        <v>0.20196342572602349</v>
      </c>
      <c r="F76" s="118">
        <f t="shared" si="25"/>
        <v>0.79482380447015699</v>
      </c>
      <c r="H76" s="88">
        <v>2026</v>
      </c>
      <c r="I76" s="128">
        <f t="shared" si="27"/>
        <v>30.477528468211265</v>
      </c>
      <c r="J76" s="162">
        <f t="shared" si="28"/>
        <v>30477.528468211265</v>
      </c>
    </row>
    <row r="77" spans="1:10" x14ac:dyDescent="0.25">
      <c r="A77" s="88">
        <v>2027</v>
      </c>
      <c r="B77" s="122">
        <f>[6]REKAPITULASI!B48</f>
        <v>2.8853021667898996E-2</v>
      </c>
      <c r="C77" s="117">
        <f t="shared" si="23"/>
        <v>0.6059134550258789</v>
      </c>
      <c r="D77" s="122">
        <f>[6]REKAPITULASI!D48</f>
        <v>6.6583896156689987E-4</v>
      </c>
      <c r="E77" s="117">
        <f t="shared" si="24"/>
        <v>0.20641007808573897</v>
      </c>
      <c r="F77" s="118">
        <f t="shared" si="25"/>
        <v>0.81232353311161787</v>
      </c>
      <c r="H77" s="88">
        <v>2027</v>
      </c>
      <c r="I77" s="128">
        <f t="shared" si="27"/>
        <v>31.250131973351195</v>
      </c>
      <c r="J77" s="162">
        <f t="shared" si="28"/>
        <v>31250.131973351195</v>
      </c>
    </row>
    <row r="78" spans="1:10" x14ac:dyDescent="0.25">
      <c r="A78" s="88">
        <v>2028</v>
      </c>
      <c r="B78" s="122">
        <f>[6]REKAPITULASI!B49</f>
        <v>2.9474596728934498E-2</v>
      </c>
      <c r="C78" s="117">
        <f t="shared" si="23"/>
        <v>0.61896653130762447</v>
      </c>
      <c r="D78" s="122">
        <f>[6]REKAPITULASI!D49</f>
        <v>6.8018300143694995E-4</v>
      </c>
      <c r="E78" s="117">
        <f t="shared" si="24"/>
        <v>0.2108567304454545</v>
      </c>
      <c r="F78" s="118">
        <f t="shared" si="25"/>
        <v>0.82982326175307897</v>
      </c>
      <c r="H78" s="88">
        <v>2028</v>
      </c>
      <c r="I78" s="128">
        <f t="shared" si="27"/>
        <v>32.022719066198654</v>
      </c>
      <c r="J78" s="162">
        <f t="shared" si="28"/>
        <v>32022.719066198653</v>
      </c>
    </row>
    <row r="79" spans="1:10" x14ac:dyDescent="0.25">
      <c r="A79" s="88">
        <v>2029</v>
      </c>
      <c r="B79" s="122">
        <f>[6]REKAPITULASI!B50</f>
        <v>3.0096171789969994E-2</v>
      </c>
      <c r="C79" s="117">
        <f t="shared" si="23"/>
        <v>0.63201960758936981</v>
      </c>
      <c r="D79" s="122">
        <f>[6]REKAPITULASI!D50</f>
        <v>6.9452704130699983E-4</v>
      </c>
      <c r="E79" s="117">
        <f t="shared" si="24"/>
        <v>0.21530338280516995</v>
      </c>
      <c r="F79" s="118">
        <f t="shared" si="25"/>
        <v>0.84732299039453973</v>
      </c>
      <c r="H79" s="88">
        <v>2029</v>
      </c>
      <c r="I79" s="128">
        <f t="shared" si="27"/>
        <v>32.795252317898573</v>
      </c>
      <c r="J79" s="162">
        <f t="shared" si="28"/>
        <v>32795.252317898572</v>
      </c>
    </row>
    <row r="80" spans="1:10" x14ac:dyDescent="0.25">
      <c r="A80" s="88">
        <v>2030</v>
      </c>
      <c r="B80" s="122">
        <f>[6]REKAPITULASI!B51</f>
        <v>3.0717746851005496E-2</v>
      </c>
      <c r="C80" s="117">
        <f t="shared" si="23"/>
        <v>0.64507268387111538</v>
      </c>
      <c r="D80" s="122">
        <f>[6]REKAPITULASI!D51</f>
        <v>7.0887108117705002E-4</v>
      </c>
      <c r="E80" s="117">
        <f t="shared" si="24"/>
        <v>0.2197500351648855</v>
      </c>
      <c r="F80" s="118">
        <f t="shared" si="25"/>
        <v>0.86482271903600094</v>
      </c>
      <c r="H80" s="88">
        <v>2030</v>
      </c>
      <c r="I80" s="128">
        <f t="shared" si="27"/>
        <v>33.567709095014756</v>
      </c>
      <c r="J80" s="162">
        <f t="shared" si="28"/>
        <v>33567.709095014754</v>
      </c>
    </row>
    <row r="81" spans="1:10" x14ac:dyDescent="0.25">
      <c r="A81" s="88">
        <v>2031</v>
      </c>
      <c r="B81" s="116"/>
      <c r="C81" s="117">
        <f t="shared" si="23"/>
        <v>0</v>
      </c>
      <c r="D81" s="116"/>
      <c r="E81" s="117">
        <f t="shared" si="24"/>
        <v>0</v>
      </c>
      <c r="F81" s="118">
        <f t="shared" si="25"/>
        <v>0</v>
      </c>
      <c r="H81" s="88">
        <v>2031</v>
      </c>
      <c r="I81" s="128">
        <f t="shared" si="27"/>
        <v>0</v>
      </c>
      <c r="J81" s="162">
        <f t="shared" si="28"/>
        <v>0</v>
      </c>
    </row>
    <row r="84" spans="1:10" x14ac:dyDescent="0.25">
      <c r="A84" s="119"/>
      <c r="B84" s="100"/>
      <c r="C84" s="101"/>
      <c r="D84" s="100"/>
      <c r="E84" s="101"/>
      <c r="F84" s="101"/>
    </row>
    <row r="85" spans="1:10" x14ac:dyDescent="0.25">
      <c r="A85" s="120" t="s">
        <v>144</v>
      </c>
      <c r="B85" s="101"/>
      <c r="C85" s="100"/>
      <c r="D85" s="101"/>
      <c r="G85" s="95">
        <v>1000</v>
      </c>
    </row>
    <row r="86" spans="1:10" ht="18" x14ac:dyDescent="0.25">
      <c r="A86" s="182" t="s">
        <v>11</v>
      </c>
      <c r="B86" s="183" t="s">
        <v>137</v>
      </c>
      <c r="C86" s="183"/>
      <c r="D86" s="179" t="s">
        <v>138</v>
      </c>
      <c r="E86" s="179"/>
      <c r="F86" s="181" t="s">
        <v>95</v>
      </c>
      <c r="G86" s="181"/>
    </row>
    <row r="87" spans="1:10" ht="51" x14ac:dyDescent="0.25">
      <c r="A87" s="182"/>
      <c r="B87" s="156" t="s">
        <v>139</v>
      </c>
      <c r="C87" s="156" t="s">
        <v>140</v>
      </c>
      <c r="D87" s="157" t="s">
        <v>141</v>
      </c>
      <c r="E87" s="157" t="s">
        <v>142</v>
      </c>
      <c r="F87" s="158" t="s">
        <v>143</v>
      </c>
      <c r="G87" s="158" t="s">
        <v>148</v>
      </c>
    </row>
    <row r="88" spans="1:10" x14ac:dyDescent="0.25">
      <c r="A88" s="182"/>
      <c r="B88" s="184" t="s">
        <v>101</v>
      </c>
      <c r="C88" s="159" t="s">
        <v>102</v>
      </c>
      <c r="D88" s="160" t="s">
        <v>103</v>
      </c>
      <c r="E88" s="160" t="s">
        <v>104</v>
      </c>
      <c r="F88" s="161" t="s">
        <v>105</v>
      </c>
      <c r="G88" s="161" t="s">
        <v>105</v>
      </c>
    </row>
    <row r="89" spans="1:10" x14ac:dyDescent="0.25">
      <c r="A89" s="182"/>
      <c r="B89" s="184"/>
      <c r="C89" s="159" t="s">
        <v>106</v>
      </c>
      <c r="D89" s="160"/>
      <c r="E89" s="160" t="s">
        <v>107</v>
      </c>
      <c r="F89" s="161" t="s">
        <v>108</v>
      </c>
      <c r="G89" s="161" t="s">
        <v>108</v>
      </c>
    </row>
    <row r="90" spans="1:10" x14ac:dyDescent="0.25">
      <c r="A90" s="88">
        <v>2011</v>
      </c>
      <c r="B90" s="123">
        <f>[6]REKAPITULASI!B59</f>
        <v>0.1943028475536</v>
      </c>
      <c r="C90" s="126">
        <f>B90*21</f>
        <v>4.0803597986255999</v>
      </c>
      <c r="D90" s="125">
        <f>[6]REKAPITULASI!D59</f>
        <v>6.6034063605714304E-3</v>
      </c>
      <c r="E90" s="121">
        <f>D90*310</f>
        <v>2.0470559717771435</v>
      </c>
      <c r="F90" s="124">
        <f>C90+E90</f>
        <v>6.1274157704027434</v>
      </c>
      <c r="G90" s="129">
        <f>F90*$G$85</f>
        <v>6127.4157704027439</v>
      </c>
    </row>
    <row r="91" spans="1:10" x14ac:dyDescent="0.25">
      <c r="A91" s="88">
        <v>2012</v>
      </c>
      <c r="B91" s="123">
        <f>[6]REKAPITULASI!B60</f>
        <v>0.20014281893760003</v>
      </c>
      <c r="C91" s="126">
        <f t="shared" ref="C91:C110" si="29">B91*21</f>
        <v>4.2029991976896008</v>
      </c>
      <c r="D91" s="125">
        <f>[6]REKAPITULASI!D60</f>
        <v>6.5568254400000013E-3</v>
      </c>
      <c r="E91" s="121">
        <f t="shared" ref="E91:E110" si="30">D91*310</f>
        <v>2.0326158864000003</v>
      </c>
      <c r="F91" s="124">
        <f t="shared" ref="F91:F110" si="31">C91+E91</f>
        <v>6.2356150840896012</v>
      </c>
      <c r="G91" s="129">
        <f t="shared" ref="G91:G109" si="32">F91*$G$85</f>
        <v>6235.6150840896016</v>
      </c>
    </row>
    <row r="92" spans="1:10" x14ac:dyDescent="0.25">
      <c r="A92" s="88">
        <v>2013</v>
      </c>
      <c r="B92" s="123">
        <f>[6]REKAPITULASI!B61</f>
        <v>0.20621471762879998</v>
      </c>
      <c r="C92" s="126">
        <f t="shared" si="29"/>
        <v>4.3305090702047995</v>
      </c>
      <c r="D92" s="125">
        <f>[6]REKAPITULASI!D61</f>
        <v>6.6602094994285726E-3</v>
      </c>
      <c r="E92" s="121">
        <f t="shared" si="30"/>
        <v>2.0646649448228573</v>
      </c>
      <c r="F92" s="124">
        <f t="shared" si="31"/>
        <v>6.3951740150276564</v>
      </c>
      <c r="G92" s="129">
        <f t="shared" si="32"/>
        <v>6395.1740150276564</v>
      </c>
    </row>
    <row r="93" spans="1:10" x14ac:dyDescent="0.25">
      <c r="A93" s="88">
        <v>2014</v>
      </c>
      <c r="B93" s="123">
        <f>[6]REKAPITULASI!B62</f>
        <v>0.2123106448248</v>
      </c>
      <c r="C93" s="126">
        <f t="shared" si="29"/>
        <v>4.4585235413208002</v>
      </c>
      <c r="D93" s="125">
        <f>[6]REKAPITULASI!D62</f>
        <v>7.0093161065714294E-3</v>
      </c>
      <c r="E93" s="121">
        <f t="shared" si="30"/>
        <v>2.172887993037143</v>
      </c>
      <c r="F93" s="124">
        <f t="shared" si="31"/>
        <v>6.6314115343579427</v>
      </c>
      <c r="G93" s="129">
        <f t="shared" si="32"/>
        <v>6631.4115343579424</v>
      </c>
    </row>
    <row r="94" spans="1:10" x14ac:dyDescent="0.25">
      <c r="A94" s="88">
        <v>2015</v>
      </c>
      <c r="B94" s="123">
        <f>[6]REKAPITULASI!B63</f>
        <v>0.21823419361680002</v>
      </c>
      <c r="C94" s="126">
        <f t="shared" si="29"/>
        <v>4.5829180659528008</v>
      </c>
      <c r="D94" s="125">
        <f>[6]REKAPITULASI!D63</f>
        <v>7.2048787265714303E-3</v>
      </c>
      <c r="E94" s="121">
        <f t="shared" si="30"/>
        <v>2.2335124052371436</v>
      </c>
      <c r="F94" s="124">
        <f t="shared" si="31"/>
        <v>6.8164304711899444</v>
      </c>
      <c r="G94" s="129">
        <f t="shared" si="32"/>
        <v>6816.430471189944</v>
      </c>
    </row>
    <row r="95" spans="1:10" x14ac:dyDescent="0.25">
      <c r="A95" s="88">
        <v>2016</v>
      </c>
      <c r="B95" s="123">
        <f>[6]REKAPITULASI!B64</f>
        <v>0.22443459257279999</v>
      </c>
      <c r="C95" s="126">
        <f t="shared" si="29"/>
        <v>4.7131264440287994</v>
      </c>
      <c r="D95" s="125">
        <f>[6]REKAPITULASI!D64</f>
        <v>7.4095813984761914E-3</v>
      </c>
      <c r="E95" s="121">
        <f t="shared" si="30"/>
        <v>2.2969702335276194</v>
      </c>
      <c r="F95" s="124">
        <f t="shared" si="31"/>
        <v>7.0100966775564189</v>
      </c>
      <c r="G95" s="129">
        <f t="shared" si="32"/>
        <v>7010.0966775564193</v>
      </c>
    </row>
    <row r="96" spans="1:10" x14ac:dyDescent="0.25">
      <c r="A96" s="88">
        <v>2017</v>
      </c>
      <c r="B96" s="123">
        <f>[6]REKAPITULASI!B65</f>
        <v>0.23223988670592002</v>
      </c>
      <c r="C96" s="126">
        <f t="shared" si="29"/>
        <v>4.8770376208243205</v>
      </c>
      <c r="D96" s="125">
        <f>[6]REKAPITULASI!D65</f>
        <v>7.6672687788190497E-3</v>
      </c>
      <c r="E96" s="121">
        <f t="shared" si="30"/>
        <v>2.3768533214339054</v>
      </c>
      <c r="F96" s="124">
        <f t="shared" si="31"/>
        <v>7.2538909422582254</v>
      </c>
      <c r="G96" s="129">
        <f t="shared" si="32"/>
        <v>7253.8909422582256</v>
      </c>
    </row>
    <row r="97" spans="1:7" x14ac:dyDescent="0.25">
      <c r="A97" s="88">
        <v>2018</v>
      </c>
      <c r="B97" s="123">
        <f>[6]REKAPITULASI!B66</f>
        <v>0.23861673846456002</v>
      </c>
      <c r="C97" s="126">
        <f t="shared" si="29"/>
        <v>5.0109515077557605</v>
      </c>
      <c r="D97" s="125">
        <f>[6]REKAPITULASI!D66</f>
        <v>7.8777969404095222E-3</v>
      </c>
      <c r="E97" s="121">
        <f t="shared" si="30"/>
        <v>2.4421170515269517</v>
      </c>
      <c r="F97" s="124">
        <f t="shared" si="31"/>
        <v>7.4530685592827126</v>
      </c>
      <c r="G97" s="129">
        <f t="shared" si="32"/>
        <v>7453.0685592827122</v>
      </c>
    </row>
    <row r="98" spans="1:7" x14ac:dyDescent="0.25">
      <c r="A98" s="88">
        <v>2019</v>
      </c>
      <c r="B98" s="123">
        <f>[6]REKAPITULASI!B67</f>
        <v>0.2449935902232</v>
      </c>
      <c r="C98" s="126">
        <f t="shared" si="29"/>
        <v>5.1448653946871996</v>
      </c>
      <c r="D98" s="125">
        <f>[6]REKAPITULASI!D67</f>
        <v>8.0883251020000008E-3</v>
      </c>
      <c r="E98" s="121">
        <f t="shared" si="30"/>
        <v>2.5073807816200002</v>
      </c>
      <c r="F98" s="124">
        <f t="shared" si="31"/>
        <v>7.6522461763071998</v>
      </c>
      <c r="G98" s="129">
        <f t="shared" si="32"/>
        <v>7652.2461763071997</v>
      </c>
    </row>
    <row r="99" spans="1:7" x14ac:dyDescent="0.25">
      <c r="A99" s="88">
        <v>2020</v>
      </c>
      <c r="B99" s="123">
        <f>[6]REKAPITULASI!B68</f>
        <v>0.25137044198184</v>
      </c>
      <c r="C99" s="126">
        <f t="shared" si="29"/>
        <v>5.2787792816186396</v>
      </c>
      <c r="D99" s="125">
        <f>[6]REKAPITULASI!D68</f>
        <v>8.298853263590476E-3</v>
      </c>
      <c r="E99" s="121">
        <f t="shared" si="30"/>
        <v>2.5726445117130474</v>
      </c>
      <c r="F99" s="124">
        <f t="shared" si="31"/>
        <v>7.8514237933316871</v>
      </c>
      <c r="G99" s="129">
        <f t="shared" si="32"/>
        <v>7851.4237933316872</v>
      </c>
    </row>
    <row r="100" spans="1:7" x14ac:dyDescent="0.25">
      <c r="A100" s="88">
        <v>2021</v>
      </c>
      <c r="B100" s="123">
        <f>[6]REKAPITULASI!B69</f>
        <v>0.25774729374048</v>
      </c>
      <c r="C100" s="126">
        <f t="shared" si="29"/>
        <v>5.4126931685500796</v>
      </c>
      <c r="D100" s="125">
        <f>[6]REKAPITULASI!D69</f>
        <v>8.5093814251809528E-3</v>
      </c>
      <c r="E100" s="121">
        <f t="shared" si="30"/>
        <v>2.6379082418060955</v>
      </c>
      <c r="F100" s="124">
        <f t="shared" si="31"/>
        <v>8.050601410356176</v>
      </c>
      <c r="G100" s="129">
        <f t="shared" si="32"/>
        <v>8050.6014103561756</v>
      </c>
    </row>
    <row r="101" spans="1:7" x14ac:dyDescent="0.25">
      <c r="A101" s="88">
        <v>2022</v>
      </c>
      <c r="B101" s="123">
        <f>[6]REKAPITULASI!B70</f>
        <v>0.26412414549912</v>
      </c>
      <c r="C101" s="126">
        <f t="shared" si="29"/>
        <v>5.5466070554815197</v>
      </c>
      <c r="D101" s="125">
        <f>[6]REKAPITULASI!D70</f>
        <v>8.719909586771428E-3</v>
      </c>
      <c r="E101" s="121">
        <f t="shared" si="30"/>
        <v>2.7031719718991427</v>
      </c>
      <c r="F101" s="124">
        <f t="shared" si="31"/>
        <v>8.2497790273806615</v>
      </c>
      <c r="G101" s="129">
        <f t="shared" si="32"/>
        <v>8249.7790273806622</v>
      </c>
    </row>
    <row r="102" spans="1:7" x14ac:dyDescent="0.25">
      <c r="A102" s="88">
        <v>2023</v>
      </c>
      <c r="B102" s="123">
        <f>[6]REKAPITULASI!B71</f>
        <v>0.27050099725775995</v>
      </c>
      <c r="C102" s="126">
        <f t="shared" si="29"/>
        <v>5.6805209424129588</v>
      </c>
      <c r="D102" s="125">
        <f>[6]REKAPITULASI!D71</f>
        <v>8.9304377483619031E-3</v>
      </c>
      <c r="E102" s="121">
        <f t="shared" si="30"/>
        <v>2.7684357019921899</v>
      </c>
      <c r="F102" s="124">
        <f t="shared" si="31"/>
        <v>8.4489566444051487</v>
      </c>
      <c r="G102" s="129">
        <f t="shared" si="32"/>
        <v>8448.9566444051488</v>
      </c>
    </row>
    <row r="103" spans="1:7" x14ac:dyDescent="0.25">
      <c r="A103" s="88">
        <v>2024</v>
      </c>
      <c r="B103" s="123">
        <f>[6]REKAPITULASI!B72</f>
        <v>0.2768778490164</v>
      </c>
      <c r="C103" s="126">
        <f t="shared" si="29"/>
        <v>5.8144348293443997</v>
      </c>
      <c r="D103" s="125">
        <f>[6]REKAPITULASI!D72</f>
        <v>9.1409659099523817E-3</v>
      </c>
      <c r="E103" s="121">
        <f t="shared" si="30"/>
        <v>2.8336994320852384</v>
      </c>
      <c r="F103" s="124">
        <f t="shared" si="31"/>
        <v>8.6481342614296377</v>
      </c>
      <c r="G103" s="129">
        <f t="shared" si="32"/>
        <v>8648.1342614296373</v>
      </c>
    </row>
    <row r="104" spans="1:7" x14ac:dyDescent="0.25">
      <c r="A104" s="88">
        <v>2025</v>
      </c>
      <c r="B104" s="123">
        <f>[6]REKAPITULASI!B73</f>
        <v>0.28325470077504</v>
      </c>
      <c r="C104" s="126">
        <f t="shared" si="29"/>
        <v>5.9483487162758397</v>
      </c>
      <c r="D104" s="125">
        <f>[6]REKAPITULASI!D73</f>
        <v>9.3514940715428586E-3</v>
      </c>
      <c r="E104" s="121">
        <f t="shared" si="30"/>
        <v>2.8989631621782861</v>
      </c>
      <c r="F104" s="124">
        <f t="shared" si="31"/>
        <v>8.8473118784541249</v>
      </c>
      <c r="G104" s="129">
        <f t="shared" si="32"/>
        <v>8847.3118784541257</v>
      </c>
    </row>
    <row r="105" spans="1:7" x14ac:dyDescent="0.25">
      <c r="A105" s="88">
        <v>2026</v>
      </c>
      <c r="B105" s="123">
        <f>[6]REKAPITULASI!B74</f>
        <v>0.28963155253368</v>
      </c>
      <c r="C105" s="126">
        <f t="shared" si="29"/>
        <v>6.0822626032072797</v>
      </c>
      <c r="D105" s="125">
        <f>[6]REKAPITULASI!D74</f>
        <v>9.5620222331333337E-3</v>
      </c>
      <c r="E105" s="121">
        <f t="shared" si="30"/>
        <v>2.9642268922713333</v>
      </c>
      <c r="F105" s="124">
        <f t="shared" si="31"/>
        <v>9.0464894954786139</v>
      </c>
      <c r="G105" s="129">
        <f t="shared" si="32"/>
        <v>9046.4894954786141</v>
      </c>
    </row>
    <row r="106" spans="1:7" x14ac:dyDescent="0.25">
      <c r="A106" s="88">
        <v>2027</v>
      </c>
      <c r="B106" s="123">
        <f>[6]REKAPITULASI!B75</f>
        <v>0.29600840429231989</v>
      </c>
      <c r="C106" s="126">
        <f t="shared" si="29"/>
        <v>6.216176490138718</v>
      </c>
      <c r="D106" s="125">
        <f>[6]REKAPITULASI!D75</f>
        <v>9.7725503947238088E-3</v>
      </c>
      <c r="E106" s="121">
        <f t="shared" si="30"/>
        <v>3.0294906223643809</v>
      </c>
      <c r="F106" s="124">
        <f t="shared" si="31"/>
        <v>9.2456671125030994</v>
      </c>
      <c r="G106" s="129">
        <f t="shared" si="32"/>
        <v>9245.6671125030989</v>
      </c>
    </row>
    <row r="107" spans="1:7" x14ac:dyDescent="0.25">
      <c r="A107" s="88">
        <v>2028</v>
      </c>
      <c r="B107" s="123">
        <f>[6]REKAPITULASI!B76</f>
        <v>0.30238525605095995</v>
      </c>
      <c r="C107" s="126">
        <f t="shared" si="29"/>
        <v>6.3500903770701589</v>
      </c>
      <c r="D107" s="125">
        <f>[6]REKAPITULASI!D76</f>
        <v>9.9830785563142857E-3</v>
      </c>
      <c r="E107" s="121">
        <f t="shared" si="30"/>
        <v>3.0947543524574286</v>
      </c>
      <c r="F107" s="124">
        <f t="shared" si="31"/>
        <v>9.4448447295275884</v>
      </c>
      <c r="G107" s="129">
        <f t="shared" si="32"/>
        <v>9444.8447295275892</v>
      </c>
    </row>
    <row r="108" spans="1:7" x14ac:dyDescent="0.25">
      <c r="A108" s="88">
        <v>2029</v>
      </c>
      <c r="B108" s="123">
        <f>[6]REKAPITULASI!B77</f>
        <v>0.30876210780960006</v>
      </c>
      <c r="C108" s="126">
        <f t="shared" si="29"/>
        <v>6.4840042640016016</v>
      </c>
      <c r="D108" s="125">
        <f>[6]REKAPITULASI!D77</f>
        <v>1.0193606717904763E-2</v>
      </c>
      <c r="E108" s="121">
        <f t="shared" si="30"/>
        <v>3.1600180825504762</v>
      </c>
      <c r="F108" s="124">
        <f t="shared" si="31"/>
        <v>9.6440223465520774</v>
      </c>
      <c r="G108" s="129">
        <f t="shared" si="32"/>
        <v>9644.0223465520776</v>
      </c>
    </row>
    <row r="109" spans="1:7" x14ac:dyDescent="0.25">
      <c r="A109" s="88">
        <v>2030</v>
      </c>
      <c r="B109" s="123">
        <f>[6]REKAPITULASI!B78</f>
        <v>0.31513895956824006</v>
      </c>
      <c r="C109" s="126">
        <f t="shared" si="29"/>
        <v>6.6179181509330416</v>
      </c>
      <c r="D109" s="125">
        <f>[6]REKAPITULASI!D78</f>
        <v>1.0404134879495239E-2</v>
      </c>
      <c r="E109" s="121">
        <f t="shared" si="30"/>
        <v>3.2252818126435243</v>
      </c>
      <c r="F109" s="124">
        <f t="shared" si="31"/>
        <v>9.8431999635765663</v>
      </c>
      <c r="G109" s="129">
        <f t="shared" si="32"/>
        <v>9843.199963576566</v>
      </c>
    </row>
    <row r="110" spans="1:7" x14ac:dyDescent="0.25">
      <c r="A110" s="88">
        <v>2031</v>
      </c>
      <c r="B110" s="123"/>
      <c r="C110" s="126">
        <f t="shared" si="29"/>
        <v>0</v>
      </c>
      <c r="D110" s="125"/>
      <c r="E110" s="121">
        <f t="shared" si="30"/>
        <v>0</v>
      </c>
      <c r="F110" s="124">
        <f t="shared" si="31"/>
        <v>0</v>
      </c>
      <c r="G110" s="98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D24" sqref="D24"/>
    </sheetView>
  </sheetViews>
  <sheetFormatPr defaultRowHeight="12.75" x14ac:dyDescent="0.25"/>
  <cols>
    <col min="1" max="2" width="9.140625" style="131"/>
    <col min="3" max="3" width="14.5703125" style="131" customWidth="1"/>
    <col min="4" max="4" width="19.140625" style="131" customWidth="1"/>
    <col min="5" max="16384" width="9.140625" style="131"/>
  </cols>
  <sheetData>
    <row r="3" spans="2:4" x14ac:dyDescent="0.25">
      <c r="B3" s="185" t="s">
        <v>11</v>
      </c>
      <c r="C3" s="185" t="s">
        <v>152</v>
      </c>
      <c r="D3" s="185"/>
    </row>
    <row r="4" spans="2:4" x14ac:dyDescent="0.25">
      <c r="B4" s="185"/>
      <c r="C4" s="132" t="s">
        <v>151</v>
      </c>
      <c r="D4" s="132" t="s">
        <v>147</v>
      </c>
    </row>
    <row r="5" spans="2:4" ht="15" x14ac:dyDescent="0.25">
      <c r="B5" s="88">
        <v>2011</v>
      </c>
      <c r="C5" s="151">
        <f>'[7]4D2_CH4_Industrial_Wastewater'!G12</f>
        <v>1655706</v>
      </c>
      <c r="D5" s="151">
        <f>(C5*21)/1000</f>
        <v>34769.826000000001</v>
      </c>
    </row>
    <row r="6" spans="2:4" ht="15" x14ac:dyDescent="0.25">
      <c r="B6" s="88">
        <v>2012</v>
      </c>
      <c r="C6" s="151">
        <f>'[7]4D2_CH4_Industrial_Wastewater'!G13</f>
        <v>3695172</v>
      </c>
      <c r="D6" s="151">
        <f t="shared" ref="D6:D15" si="0">(C6*21)/1000</f>
        <v>77598.611999999994</v>
      </c>
    </row>
    <row r="7" spans="2:4" ht="15" x14ac:dyDescent="0.25">
      <c r="B7" s="88">
        <v>2013</v>
      </c>
      <c r="C7" s="151">
        <f>'[7]4D2_CH4_Industrial_Wastewater'!G14</f>
        <v>4598922</v>
      </c>
      <c r="D7" s="151">
        <f t="shared" si="0"/>
        <v>96577.361999999994</v>
      </c>
    </row>
    <row r="8" spans="2:4" ht="15" x14ac:dyDescent="0.25">
      <c r="B8" s="88">
        <v>2014</v>
      </c>
      <c r="C8" s="151">
        <f>'[7]4D2_CH4_Industrial_Wastewater'!G15</f>
        <v>5517132</v>
      </c>
      <c r="D8" s="151">
        <f t="shared" si="0"/>
        <v>115859.772</v>
      </c>
    </row>
    <row r="9" spans="2:4" ht="15" x14ac:dyDescent="0.25">
      <c r="B9" s="88">
        <v>2015</v>
      </c>
      <c r="C9" s="151">
        <f>'[7]4D2_CH4_Industrial_Wastewater'!G16</f>
        <v>7523346</v>
      </c>
      <c r="D9" s="151">
        <f t="shared" si="0"/>
        <v>157990.266</v>
      </c>
    </row>
    <row r="10" spans="2:4" ht="15" x14ac:dyDescent="0.25">
      <c r="B10" s="88">
        <v>2016</v>
      </c>
      <c r="C10" s="151">
        <f>'[7]4D2_CH4_Industrial_Wastewater'!G17</f>
        <v>7326858</v>
      </c>
      <c r="D10" s="151">
        <f t="shared" si="0"/>
        <v>153864.01800000001</v>
      </c>
    </row>
    <row r="11" spans="2:4" ht="15" x14ac:dyDescent="0.25">
      <c r="B11" s="88">
        <v>2017</v>
      </c>
      <c r="C11" s="151">
        <f>'[7]4D2_CH4_Industrial_Wastewater'!G18</f>
        <v>10115021.433</v>
      </c>
      <c r="D11" s="151">
        <f t="shared" si="0"/>
        <v>212415.45009299999</v>
      </c>
    </row>
    <row r="12" spans="2:4" ht="15" x14ac:dyDescent="0.25">
      <c r="B12" s="88">
        <v>2018</v>
      </c>
      <c r="C12" s="151">
        <f>'[7]4D2_CH4_Industrial_Wastewater'!G19</f>
        <v>11480218.752</v>
      </c>
      <c r="D12" s="151">
        <f t="shared" si="0"/>
        <v>241084.593792</v>
      </c>
    </row>
    <row r="13" spans="2:4" ht="15" x14ac:dyDescent="0.25">
      <c r="B13" s="88">
        <v>2019</v>
      </c>
      <c r="C13" s="151">
        <f>'[7]4D2_CH4_Industrial_Wastewater'!G20</f>
        <v>12892218.956999999</v>
      </c>
      <c r="D13" s="151">
        <f t="shared" si="0"/>
        <v>270736.59809699992</v>
      </c>
    </row>
    <row r="14" spans="2:4" ht="15" x14ac:dyDescent="0.25">
      <c r="B14" s="88">
        <v>2020</v>
      </c>
      <c r="C14" s="151">
        <f>'[7]4D2_CH4_Industrial_Wastewater'!G21</f>
        <v>14351022.048</v>
      </c>
      <c r="D14" s="151">
        <f t="shared" si="0"/>
        <v>301371.46300799999</v>
      </c>
    </row>
    <row r="15" spans="2:4" ht="15" x14ac:dyDescent="0.25">
      <c r="B15" s="88">
        <v>2021</v>
      </c>
      <c r="C15" s="151">
        <f>'[7]4D2_CH4_Industrial_Wastewater'!G22</f>
        <v>16429430.359999999</v>
      </c>
      <c r="D15" s="151">
        <f t="shared" si="0"/>
        <v>345018.03756000003</v>
      </c>
    </row>
    <row r="16" spans="2:4" ht="15" x14ac:dyDescent="0.25">
      <c r="B16" s="88">
        <v>2022</v>
      </c>
      <c r="C16" s="151">
        <f>'[7]4D2_CH4_Industrial_Wastewater'!G23</f>
        <v>18576500.352000002</v>
      </c>
      <c r="D16" s="151">
        <f t="shared" ref="D16:D24" si="1">(C16*21)/1000</f>
        <v>390106.507392</v>
      </c>
    </row>
    <row r="17" spans="2:4" ht="15" x14ac:dyDescent="0.25">
      <c r="B17" s="88">
        <v>2023</v>
      </c>
      <c r="C17" s="151">
        <f>'[7]4D2_CH4_Industrial_Wastewater'!G24</f>
        <v>20792232.024</v>
      </c>
      <c r="D17" s="151">
        <f t="shared" si="1"/>
        <v>436636.87250400003</v>
      </c>
    </row>
    <row r="18" spans="2:4" ht="15" x14ac:dyDescent="0.25">
      <c r="B18" s="88">
        <v>2024</v>
      </c>
      <c r="C18" s="151">
        <f>'[7]4D2_CH4_Industrial_Wastewater'!G25</f>
        <v>23076625.376000002</v>
      </c>
      <c r="D18" s="151">
        <f t="shared" si="1"/>
        <v>484609.13289600005</v>
      </c>
    </row>
    <row r="19" spans="2:4" ht="15" x14ac:dyDescent="0.25">
      <c r="B19" s="88">
        <v>2025</v>
      </c>
      <c r="C19" s="151">
        <f>'[7]4D2_CH4_Industrial_Wastewater'!G26</f>
        <v>25429680.408000004</v>
      </c>
      <c r="D19" s="151">
        <f t="shared" si="1"/>
        <v>534023.28856800008</v>
      </c>
    </row>
    <row r="20" spans="2:4" ht="15" x14ac:dyDescent="0.25">
      <c r="B20" s="88">
        <v>2026</v>
      </c>
      <c r="C20" s="151">
        <f>'[7]4D2_CH4_Industrial_Wastewater'!G27</f>
        <v>27851397.120000001</v>
      </c>
      <c r="D20" s="151">
        <f t="shared" si="1"/>
        <v>584879.33952000004</v>
      </c>
    </row>
    <row r="21" spans="2:4" ht="15" x14ac:dyDescent="0.25">
      <c r="B21" s="88">
        <v>2027</v>
      </c>
      <c r="C21" s="151">
        <f>'[7]4D2_CH4_Industrial_Wastewater'!G28</f>
        <v>30341775.512000002</v>
      </c>
      <c r="D21" s="151">
        <f t="shared" si="1"/>
        <v>637177.28575200005</v>
      </c>
    </row>
    <row r="22" spans="2:4" ht="15" x14ac:dyDescent="0.25">
      <c r="B22" s="88">
        <v>2028</v>
      </c>
      <c r="C22" s="151">
        <f>'[7]4D2_CH4_Industrial_Wastewater'!G29</f>
        <v>32900815.583999999</v>
      </c>
      <c r="D22" s="151">
        <f t="shared" si="1"/>
        <v>690917.12726399989</v>
      </c>
    </row>
    <row r="23" spans="2:4" ht="15" x14ac:dyDescent="0.25">
      <c r="B23" s="88">
        <v>2029</v>
      </c>
      <c r="C23" s="151">
        <f>'[7]4D2_CH4_Industrial_Wastewater'!G30</f>
        <v>35528517.336000003</v>
      </c>
      <c r="D23" s="151">
        <f t="shared" si="1"/>
        <v>746098.86405600014</v>
      </c>
    </row>
    <row r="24" spans="2:4" ht="15" x14ac:dyDescent="0.25">
      <c r="B24" s="88">
        <v>2030</v>
      </c>
      <c r="C24" s="151">
        <f>'[7]4D2_CH4_Industrial_Wastewater'!G31</f>
        <v>36116647.008000009</v>
      </c>
      <c r="D24" s="151">
        <f t="shared" si="1"/>
        <v>758449.58716800017</v>
      </c>
    </row>
    <row r="25" spans="2:4" ht="15" x14ac:dyDescent="0.25">
      <c r="B25" s="88">
        <v>2031</v>
      </c>
      <c r="C25" s="133"/>
      <c r="D25" s="133">
        <f t="shared" ref="D25" si="2">(C25*21)/1000</f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92" t="s">
        <v>54</v>
      </c>
      <c r="E5" s="192"/>
      <c r="F5" s="193" t="s">
        <v>64</v>
      </c>
      <c r="G5" s="193"/>
      <c r="H5" s="193"/>
      <c r="I5" s="193"/>
    </row>
    <row r="6" spans="1:9" s="20" customFormat="1" ht="16.5" customHeight="1" x14ac:dyDescent="0.25">
      <c r="A6" s="209" t="s">
        <v>48</v>
      </c>
      <c r="B6" s="209" t="s">
        <v>50</v>
      </c>
      <c r="C6" s="210"/>
      <c r="D6" s="199" t="s">
        <v>70</v>
      </c>
      <c r="E6" s="199"/>
      <c r="F6" s="194" t="s">
        <v>56</v>
      </c>
      <c r="G6" s="194"/>
      <c r="H6" s="194"/>
      <c r="I6" s="194"/>
    </row>
    <row r="7" spans="1:9" s="20" customFormat="1" ht="29.25" customHeight="1" x14ac:dyDescent="0.25">
      <c r="A7" s="209"/>
      <c r="B7" s="209"/>
      <c r="C7" s="210"/>
      <c r="D7" s="199"/>
      <c r="E7" s="199"/>
      <c r="F7" s="194" t="s">
        <v>57</v>
      </c>
      <c r="G7" s="194"/>
      <c r="H7" s="194"/>
      <c r="I7" s="194"/>
    </row>
    <row r="8" spans="1:9" s="20" customFormat="1" ht="51" customHeight="1" x14ac:dyDescent="0.25">
      <c r="A8" s="209"/>
      <c r="B8" s="29" t="s">
        <v>59</v>
      </c>
      <c r="C8" s="22"/>
      <c r="D8" s="199" t="s">
        <v>58</v>
      </c>
      <c r="E8" s="199"/>
      <c r="F8" s="194" t="s">
        <v>61</v>
      </c>
      <c r="G8" s="194"/>
      <c r="H8" s="194"/>
      <c r="I8" s="194"/>
    </row>
    <row r="9" spans="1:9" s="20" customFormat="1" ht="31.5" customHeight="1" x14ac:dyDescent="0.25">
      <c r="A9" s="209"/>
      <c r="B9" s="198" t="s">
        <v>51</v>
      </c>
      <c r="C9" s="22"/>
      <c r="D9" s="199" t="s">
        <v>60</v>
      </c>
      <c r="E9" s="199"/>
      <c r="F9" s="206" t="s">
        <v>66</v>
      </c>
      <c r="G9" s="207"/>
      <c r="H9" s="207"/>
      <c r="I9" s="208"/>
    </row>
    <row r="10" spans="1:9" s="20" customFormat="1" ht="20.25" customHeight="1" x14ac:dyDescent="0.25">
      <c r="A10" s="209"/>
      <c r="B10" s="198"/>
      <c r="C10" s="22"/>
      <c r="D10" s="199"/>
      <c r="E10" s="199"/>
      <c r="F10" s="194" t="s">
        <v>62</v>
      </c>
      <c r="G10" s="194"/>
      <c r="H10" s="194"/>
      <c r="I10" s="194"/>
    </row>
    <row r="11" spans="1:9" s="20" customFormat="1" ht="17.25" customHeight="1" x14ac:dyDescent="0.25">
      <c r="A11" s="209"/>
      <c r="B11" s="198"/>
      <c r="C11" s="22"/>
      <c r="D11" s="199"/>
      <c r="E11" s="199"/>
      <c r="F11" s="194" t="s">
        <v>63</v>
      </c>
      <c r="G11" s="194"/>
      <c r="H11" s="194"/>
      <c r="I11" s="194"/>
    </row>
    <row r="12" spans="1:9" s="20" customFormat="1" ht="60" customHeight="1" x14ac:dyDescent="0.25">
      <c r="A12" s="209" t="s">
        <v>49</v>
      </c>
      <c r="B12" s="27" t="s">
        <v>52</v>
      </c>
      <c r="C12" s="23"/>
      <c r="D12" s="24"/>
      <c r="E12" s="22"/>
      <c r="F12" s="200" t="s">
        <v>67</v>
      </c>
      <c r="G12" s="201"/>
      <c r="H12" s="201"/>
      <c r="I12" s="202"/>
    </row>
    <row r="13" spans="1:9" s="20" customFormat="1" ht="30" x14ac:dyDescent="0.25">
      <c r="A13" s="209"/>
      <c r="B13" s="28" t="s">
        <v>53</v>
      </c>
      <c r="C13" s="23"/>
      <c r="D13" s="24"/>
      <c r="E13" s="22"/>
      <c r="F13" s="203"/>
      <c r="G13" s="204"/>
      <c r="H13" s="204"/>
      <c r="I13" s="205"/>
    </row>
    <row r="18" spans="1:22" ht="21" x14ac:dyDescent="0.35">
      <c r="A18" s="211" t="s">
        <v>74</v>
      </c>
      <c r="B18" s="211"/>
      <c r="C18" s="211"/>
      <c r="D18" s="211"/>
      <c r="E18" s="211"/>
      <c r="F18" s="211"/>
      <c r="G18" s="211"/>
      <c r="H18" s="211"/>
      <c r="I18" s="211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95" t="s">
        <v>8</v>
      </c>
      <c r="B21" s="196" t="s">
        <v>40</v>
      </c>
      <c r="C21" s="196"/>
      <c r="D21" s="196"/>
      <c r="E21" s="196"/>
      <c r="F21" s="196"/>
      <c r="G21" s="196"/>
      <c r="H21" s="196"/>
      <c r="I21" s="197"/>
      <c r="K21" t="s">
        <v>22</v>
      </c>
      <c r="L21" t="s">
        <v>25</v>
      </c>
    </row>
    <row r="22" spans="1:22" ht="38.25" x14ac:dyDescent="0.25">
      <c r="A22" s="19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97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17" t="s">
        <v>71</v>
      </c>
      <c r="C24" s="35">
        <v>0</v>
      </c>
      <c r="D24" s="217" t="s">
        <v>73</v>
      </c>
      <c r="E24" s="217" t="s">
        <v>79</v>
      </c>
      <c r="F24" s="217"/>
      <c r="G24" s="217"/>
      <c r="H24" s="217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17"/>
      <c r="C25" s="35">
        <v>0</v>
      </c>
      <c r="D25" s="217"/>
      <c r="E25" s="217"/>
      <c r="F25" s="217"/>
      <c r="G25" s="217"/>
      <c r="H25" s="217"/>
      <c r="I25" s="34"/>
      <c r="K25" t="s">
        <v>27</v>
      </c>
      <c r="L25" s="215">
        <v>1000</v>
      </c>
      <c r="M25" s="215"/>
      <c r="N25" s="215"/>
      <c r="O25" s="8" t="s">
        <v>28</v>
      </c>
      <c r="R25" s="216">
        <f>L25*1000/365</f>
        <v>2739.7260273972602</v>
      </c>
      <c r="S25" s="216"/>
      <c r="T25" s="216"/>
      <c r="U25" s="11" t="s">
        <v>45</v>
      </c>
    </row>
    <row r="26" spans="1:22" x14ac:dyDescent="0.25">
      <c r="A26" s="2">
        <v>2013</v>
      </c>
      <c r="B26" s="217"/>
      <c r="C26" s="35">
        <v>0</v>
      </c>
      <c r="D26" s="217"/>
      <c r="E26" s="217"/>
      <c r="F26" s="217"/>
      <c r="G26" s="217"/>
      <c r="H26" s="217"/>
      <c r="I26" s="34"/>
      <c r="K26" t="s">
        <v>29</v>
      </c>
      <c r="L26" s="215">
        <v>3000</v>
      </c>
      <c r="M26" s="215"/>
      <c r="N26" s="215"/>
      <c r="O26" s="8" t="s">
        <v>28</v>
      </c>
    </row>
    <row r="27" spans="1:22" x14ac:dyDescent="0.25">
      <c r="A27" s="2">
        <v>2014</v>
      </c>
      <c r="B27" s="217"/>
      <c r="C27" s="35">
        <v>0</v>
      </c>
      <c r="D27" s="217"/>
      <c r="E27" s="217"/>
      <c r="F27" s="217"/>
      <c r="G27" s="217"/>
      <c r="H27" s="217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17"/>
      <c r="C28" s="35">
        <v>0</v>
      </c>
      <c r="D28" s="217"/>
      <c r="E28" s="217"/>
      <c r="F28" s="217"/>
      <c r="G28" s="217"/>
      <c r="H28" s="217"/>
      <c r="I28" s="34"/>
    </row>
    <row r="29" spans="1:22" x14ac:dyDescent="0.25">
      <c r="A29" s="2">
        <v>2016</v>
      </c>
      <c r="B29" s="217"/>
      <c r="C29" s="35">
        <v>0</v>
      </c>
      <c r="D29" s="217"/>
      <c r="E29" s="217"/>
      <c r="F29" s="217"/>
      <c r="G29" s="217"/>
      <c r="H29" s="217"/>
      <c r="I29" s="34"/>
    </row>
    <row r="30" spans="1:22" x14ac:dyDescent="0.25">
      <c r="A30" s="2">
        <v>2017</v>
      </c>
      <c r="B30" s="217"/>
      <c r="C30" s="35">
        <v>0</v>
      </c>
      <c r="D30" s="217"/>
      <c r="E30" s="217"/>
      <c r="F30" s="217"/>
      <c r="G30" s="217"/>
      <c r="H30" s="217"/>
      <c r="I30" s="34"/>
    </row>
    <row r="31" spans="1:22" ht="25.5" x14ac:dyDescent="0.25">
      <c r="A31" s="2">
        <v>2018</v>
      </c>
      <c r="B31" s="217"/>
      <c r="C31" s="35">
        <v>0</v>
      </c>
      <c r="D31" s="217"/>
      <c r="E31" s="217"/>
      <c r="F31" s="217"/>
      <c r="G31" s="217"/>
      <c r="H31" s="217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17"/>
      <c r="C32" s="35">
        <v>0</v>
      </c>
      <c r="D32" s="217"/>
      <c r="E32" s="217"/>
      <c r="F32" s="217"/>
      <c r="G32" s="217"/>
      <c r="H32" s="217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17"/>
      <c r="C33" s="35">
        <v>0</v>
      </c>
      <c r="D33" s="217"/>
      <c r="E33" s="217"/>
      <c r="F33" s="217"/>
      <c r="G33" s="217"/>
      <c r="H33" s="217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95" t="s">
        <v>8</v>
      </c>
      <c r="B37" s="218" t="s">
        <v>78</v>
      </c>
      <c r="C37" s="219"/>
      <c r="D37" s="219"/>
      <c r="E37" s="219"/>
      <c r="F37" s="219"/>
      <c r="G37" s="219"/>
      <c r="H37" s="220"/>
      <c r="I37" s="213" t="s">
        <v>40</v>
      </c>
    </row>
    <row r="38" spans="1:20" ht="38.25" x14ac:dyDescent="0.25">
      <c r="A38" s="19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4"/>
    </row>
    <row r="39" spans="1:20" x14ac:dyDescent="0.25">
      <c r="A39" s="2">
        <v>2010</v>
      </c>
      <c r="B39" s="186" t="s">
        <v>75</v>
      </c>
      <c r="C39" s="186" t="s">
        <v>76</v>
      </c>
      <c r="D39" s="186" t="s">
        <v>75</v>
      </c>
      <c r="E39" s="186" t="s">
        <v>76</v>
      </c>
      <c r="F39" s="186" t="s">
        <v>76</v>
      </c>
      <c r="G39" s="186" t="s">
        <v>76</v>
      </c>
      <c r="H39" s="186" t="s">
        <v>76</v>
      </c>
      <c r="I39" s="14">
        <f>'timbulan sampah'!E5</f>
        <v>37.197200000000002</v>
      </c>
    </row>
    <row r="40" spans="1:20" x14ac:dyDescent="0.25">
      <c r="A40" s="2">
        <v>2011</v>
      </c>
      <c r="B40" s="187"/>
      <c r="C40" s="187"/>
      <c r="D40" s="187"/>
      <c r="E40" s="187"/>
      <c r="F40" s="187"/>
      <c r="G40" s="187"/>
      <c r="H40" s="187"/>
      <c r="I40" s="14">
        <f>'timbulan sampah'!E6</f>
        <v>38.315200000000004</v>
      </c>
      <c r="K40" t="s">
        <v>20</v>
      </c>
      <c r="O40" s="8" t="s">
        <v>21</v>
      </c>
    </row>
    <row r="41" spans="1:20" x14ac:dyDescent="0.25">
      <c r="A41" s="2">
        <v>2012</v>
      </c>
      <c r="B41" s="187"/>
      <c r="C41" s="187"/>
      <c r="D41" s="187"/>
      <c r="E41" s="187"/>
      <c r="F41" s="187"/>
      <c r="G41" s="187"/>
      <c r="H41" s="187"/>
      <c r="I41" s="14">
        <f>'timbulan sampah'!E7</f>
        <v>39.477600000000002</v>
      </c>
      <c r="K41" t="s">
        <v>23</v>
      </c>
      <c r="O41" s="8" t="s">
        <v>24</v>
      </c>
    </row>
    <row r="42" spans="1:20" x14ac:dyDescent="0.25">
      <c r="A42" s="2">
        <v>2013</v>
      </c>
      <c r="B42" s="187"/>
      <c r="C42" s="187"/>
      <c r="D42" s="187"/>
      <c r="E42" s="187"/>
      <c r="F42" s="187"/>
      <c r="G42" s="187"/>
      <c r="H42" s="187"/>
      <c r="I42" s="14">
        <f>'timbulan sampah'!E8</f>
        <v>40.644600000000004</v>
      </c>
    </row>
    <row r="43" spans="1:20" x14ac:dyDescent="0.25">
      <c r="A43" s="2">
        <v>2014</v>
      </c>
      <c r="B43" s="187"/>
      <c r="C43" s="187"/>
      <c r="D43" s="187"/>
      <c r="E43" s="187"/>
      <c r="F43" s="187"/>
      <c r="G43" s="187"/>
      <c r="H43" s="187"/>
      <c r="I43" s="14">
        <f>'timbulan sampah'!E9</f>
        <v>41.778600000000004</v>
      </c>
    </row>
    <row r="44" spans="1:20" x14ac:dyDescent="0.25">
      <c r="A44" s="2">
        <v>2015</v>
      </c>
      <c r="B44" s="187"/>
      <c r="C44" s="187"/>
      <c r="D44" s="187"/>
      <c r="E44" s="187"/>
      <c r="F44" s="187"/>
      <c r="G44" s="187"/>
      <c r="H44" s="187"/>
      <c r="I44" s="14">
        <f>'timbulan sampah'!E10</f>
        <v>42.965600000000009</v>
      </c>
    </row>
    <row r="45" spans="1:20" x14ac:dyDescent="0.25">
      <c r="A45" s="2">
        <v>2016</v>
      </c>
      <c r="B45" s="187"/>
      <c r="C45" s="187"/>
      <c r="D45" s="187"/>
      <c r="E45" s="187"/>
      <c r="F45" s="187"/>
      <c r="G45" s="187"/>
      <c r="H45" s="187"/>
      <c r="I45" s="14">
        <f>'timbulan sampah'!E11</f>
        <v>44.459840000000007</v>
      </c>
    </row>
    <row r="46" spans="1:20" x14ac:dyDescent="0.25">
      <c r="A46" s="2">
        <v>2017</v>
      </c>
      <c r="B46" s="187"/>
      <c r="C46" s="187"/>
      <c r="D46" s="187"/>
      <c r="E46" s="187"/>
      <c r="F46" s="187"/>
      <c r="G46" s="187"/>
      <c r="H46" s="187"/>
      <c r="I46" s="14">
        <f>'timbulan sampah'!E12</f>
        <v>45.680619999999998</v>
      </c>
    </row>
    <row r="47" spans="1:20" x14ac:dyDescent="0.25">
      <c r="A47" s="2">
        <v>2018</v>
      </c>
      <c r="B47" s="187"/>
      <c r="C47" s="187"/>
      <c r="D47" s="187"/>
      <c r="E47" s="187"/>
      <c r="F47" s="187"/>
      <c r="G47" s="187"/>
      <c r="H47" s="187"/>
      <c r="I47" s="14">
        <f>'timbulan sampah'!E13</f>
        <v>46.901400000000002</v>
      </c>
    </row>
    <row r="48" spans="1:20" x14ac:dyDescent="0.25">
      <c r="A48" s="2">
        <v>2019</v>
      </c>
      <c r="B48" s="187"/>
      <c r="C48" s="187"/>
      <c r="D48" s="187"/>
      <c r="E48" s="187"/>
      <c r="F48" s="187"/>
      <c r="G48" s="187"/>
      <c r="H48" s="187"/>
      <c r="I48" s="14">
        <f>'timbulan sampah'!E14</f>
        <v>48.12218</v>
      </c>
    </row>
    <row r="49" spans="1:21" x14ac:dyDescent="0.25">
      <c r="A49" s="2">
        <v>2020</v>
      </c>
      <c r="B49" s="188"/>
      <c r="C49" s="188"/>
      <c r="D49" s="188"/>
      <c r="E49" s="188"/>
      <c r="F49" s="188"/>
      <c r="G49" s="188"/>
      <c r="H49" s="188"/>
      <c r="I49" s="14">
        <f>'timbulan sampah'!E15</f>
        <v>49.342959999999998</v>
      </c>
    </row>
    <row r="52" spans="1:21" x14ac:dyDescent="0.25">
      <c r="A52" s="195" t="s">
        <v>8</v>
      </c>
      <c r="B52" s="212" t="s">
        <v>0</v>
      </c>
      <c r="C52" s="212"/>
      <c r="D52" s="212"/>
      <c r="E52" s="212"/>
      <c r="F52" s="212"/>
      <c r="G52" s="212"/>
      <c r="H52" s="212"/>
      <c r="I52" s="213" t="s">
        <v>10</v>
      </c>
    </row>
    <row r="53" spans="1:21" ht="42.75" customHeight="1" x14ac:dyDescent="0.25">
      <c r="A53" s="19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4"/>
    </row>
    <row r="54" spans="1:21" ht="17.25" customHeight="1" x14ac:dyDescent="0.25">
      <c r="A54" s="2">
        <v>2010</v>
      </c>
      <c r="B54" s="189" t="s">
        <v>77</v>
      </c>
      <c r="C54" s="189" t="s">
        <v>77</v>
      </c>
      <c r="D54" s="189" t="s">
        <v>77</v>
      </c>
      <c r="E54" s="189" t="s">
        <v>77</v>
      </c>
      <c r="F54" s="189" t="s">
        <v>77</v>
      </c>
      <c r="G54" s="189" t="s">
        <v>77</v>
      </c>
      <c r="H54" s="189" t="s">
        <v>77</v>
      </c>
      <c r="I54" s="3">
        <v>1</v>
      </c>
    </row>
    <row r="55" spans="1:21" x14ac:dyDescent="0.25">
      <c r="A55" s="2">
        <v>2011</v>
      </c>
      <c r="B55" s="190"/>
      <c r="C55" s="190"/>
      <c r="D55" s="190"/>
      <c r="E55" s="190"/>
      <c r="F55" s="190"/>
      <c r="G55" s="190"/>
      <c r="H55" s="190"/>
      <c r="I55" s="3">
        <v>1</v>
      </c>
    </row>
    <row r="56" spans="1:21" x14ac:dyDescent="0.25">
      <c r="A56" s="2">
        <v>2012</v>
      </c>
      <c r="B56" s="190"/>
      <c r="C56" s="190"/>
      <c r="D56" s="190"/>
      <c r="E56" s="190"/>
      <c r="F56" s="190"/>
      <c r="G56" s="190"/>
      <c r="H56" s="190"/>
      <c r="I56" s="3">
        <v>1</v>
      </c>
    </row>
    <row r="57" spans="1:21" x14ac:dyDescent="0.25">
      <c r="A57" s="2">
        <v>2013</v>
      </c>
      <c r="B57" s="190"/>
      <c r="C57" s="190"/>
      <c r="D57" s="190"/>
      <c r="E57" s="190"/>
      <c r="F57" s="190"/>
      <c r="G57" s="190"/>
      <c r="H57" s="190"/>
      <c r="I57" s="3">
        <v>1</v>
      </c>
    </row>
    <row r="58" spans="1:21" x14ac:dyDescent="0.25">
      <c r="A58" s="2">
        <v>2014</v>
      </c>
      <c r="B58" s="190"/>
      <c r="C58" s="190"/>
      <c r="D58" s="190"/>
      <c r="E58" s="190"/>
      <c r="F58" s="190"/>
      <c r="G58" s="190"/>
      <c r="H58" s="190"/>
      <c r="I58" s="3">
        <v>1</v>
      </c>
    </row>
    <row r="59" spans="1:21" x14ac:dyDescent="0.25">
      <c r="A59" s="2">
        <v>2015</v>
      </c>
      <c r="B59" s="190"/>
      <c r="C59" s="190"/>
      <c r="D59" s="190"/>
      <c r="E59" s="190"/>
      <c r="F59" s="190"/>
      <c r="G59" s="190"/>
      <c r="H59" s="190"/>
      <c r="I59" s="3">
        <v>1</v>
      </c>
    </row>
    <row r="60" spans="1:21" x14ac:dyDescent="0.25">
      <c r="A60" s="2">
        <v>2016</v>
      </c>
      <c r="B60" s="190"/>
      <c r="C60" s="190"/>
      <c r="D60" s="190"/>
      <c r="E60" s="190"/>
      <c r="F60" s="190"/>
      <c r="G60" s="190"/>
      <c r="H60" s="190"/>
      <c r="I60" s="3">
        <v>1</v>
      </c>
    </row>
    <row r="61" spans="1:21" x14ac:dyDescent="0.25">
      <c r="A61" s="2">
        <v>2017</v>
      </c>
      <c r="B61" s="190"/>
      <c r="C61" s="190"/>
      <c r="D61" s="190"/>
      <c r="E61" s="190"/>
      <c r="F61" s="190"/>
      <c r="G61" s="190"/>
      <c r="H61" s="190"/>
      <c r="I61" s="3">
        <v>1</v>
      </c>
    </row>
    <row r="62" spans="1:21" x14ac:dyDescent="0.25">
      <c r="A62" s="2">
        <v>2018</v>
      </c>
      <c r="B62" s="190"/>
      <c r="C62" s="190"/>
      <c r="D62" s="190"/>
      <c r="E62" s="190"/>
      <c r="F62" s="190"/>
      <c r="G62" s="190"/>
      <c r="H62" s="190"/>
      <c r="I62" s="3">
        <v>1</v>
      </c>
    </row>
    <row r="63" spans="1:21" x14ac:dyDescent="0.25">
      <c r="A63" s="2">
        <v>2019</v>
      </c>
      <c r="B63" s="190"/>
      <c r="C63" s="190"/>
      <c r="D63" s="190"/>
      <c r="E63" s="190"/>
      <c r="F63" s="190"/>
      <c r="G63" s="190"/>
      <c r="H63" s="190"/>
      <c r="I63" s="3">
        <v>1</v>
      </c>
      <c r="U63" s="4"/>
    </row>
    <row r="64" spans="1:21" x14ac:dyDescent="0.25">
      <c r="A64" s="2">
        <v>2020</v>
      </c>
      <c r="B64" s="191"/>
      <c r="C64" s="191"/>
      <c r="D64" s="191"/>
      <c r="E64" s="191"/>
      <c r="F64" s="191"/>
      <c r="G64" s="191"/>
      <c r="H64" s="191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36" t="s">
        <v>11</v>
      </c>
      <c r="B6" s="237" t="s">
        <v>110</v>
      </c>
      <c r="C6" s="237"/>
      <c r="D6" s="237"/>
      <c r="E6" s="71" t="s">
        <v>114</v>
      </c>
      <c r="F6" s="236" t="s">
        <v>11</v>
      </c>
      <c r="G6" s="237" t="s">
        <v>111</v>
      </c>
      <c r="H6" s="237"/>
      <c r="I6" s="237"/>
      <c r="J6" s="72" t="s">
        <v>115</v>
      </c>
      <c r="K6" s="236" t="s">
        <v>11</v>
      </c>
      <c r="L6" s="237" t="s">
        <v>112</v>
      </c>
      <c r="M6" s="237"/>
      <c r="N6" s="237"/>
      <c r="O6" s="72" t="s">
        <v>115</v>
      </c>
      <c r="P6" s="236" t="s">
        <v>11</v>
      </c>
      <c r="Q6" s="237" t="s">
        <v>113</v>
      </c>
      <c r="R6" s="237"/>
      <c r="S6" s="237"/>
    </row>
    <row r="7" spans="1:19" x14ac:dyDescent="0.25">
      <c r="A7" s="236"/>
      <c r="B7" s="236" t="s">
        <v>82</v>
      </c>
      <c r="C7" s="236"/>
      <c r="D7" s="237" t="s">
        <v>84</v>
      </c>
      <c r="E7" s="69"/>
      <c r="F7" s="236"/>
      <c r="G7" s="236" t="s">
        <v>82</v>
      </c>
      <c r="H7" s="236"/>
      <c r="I7" s="237" t="s">
        <v>84</v>
      </c>
      <c r="K7" s="236"/>
      <c r="L7" s="236" t="s">
        <v>82</v>
      </c>
      <c r="M7" s="236"/>
      <c r="N7" s="237" t="s">
        <v>84</v>
      </c>
      <c r="P7" s="236"/>
      <c r="Q7" s="236" t="s">
        <v>82</v>
      </c>
      <c r="R7" s="236"/>
      <c r="S7" s="237" t="s">
        <v>84</v>
      </c>
    </row>
    <row r="8" spans="1:19" x14ac:dyDescent="0.25">
      <c r="A8" s="236"/>
      <c r="B8" s="74" t="s">
        <v>85</v>
      </c>
      <c r="C8" s="74" t="s">
        <v>86</v>
      </c>
      <c r="D8" s="237"/>
      <c r="E8" s="6"/>
      <c r="F8" s="236"/>
      <c r="G8" s="74" t="s">
        <v>85</v>
      </c>
      <c r="H8" s="74" t="s">
        <v>86</v>
      </c>
      <c r="I8" s="237"/>
      <c r="K8" s="236"/>
      <c r="L8" s="74" t="s">
        <v>85</v>
      </c>
      <c r="M8" s="74" t="s">
        <v>86</v>
      </c>
      <c r="N8" s="237"/>
      <c r="P8" s="236"/>
      <c r="Q8" s="74" t="s">
        <v>85</v>
      </c>
      <c r="R8" s="74" t="s">
        <v>86</v>
      </c>
      <c r="S8" s="237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27" t="s">
        <v>11</v>
      </c>
      <c r="B23" s="229" t="s">
        <v>81</v>
      </c>
      <c r="C23" s="230"/>
      <c r="D23" s="230"/>
      <c r="E23" s="230"/>
      <c r="F23" s="231"/>
      <c r="K23" t="s">
        <v>121</v>
      </c>
      <c r="L23">
        <v>280</v>
      </c>
      <c r="M23" t="s">
        <v>123</v>
      </c>
    </row>
    <row r="24" spans="1:19" ht="15.75" thickBot="1" x14ac:dyDescent="0.3">
      <c r="A24" s="228"/>
      <c r="B24" s="229" t="s">
        <v>82</v>
      </c>
      <c r="C24" s="231"/>
      <c r="D24" s="229" t="s">
        <v>83</v>
      </c>
      <c r="E24" s="231"/>
      <c r="F24" s="232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28"/>
      <c r="B25" s="36" t="s">
        <v>85</v>
      </c>
      <c r="C25" s="36" t="s">
        <v>86</v>
      </c>
      <c r="D25" s="36" t="s">
        <v>87</v>
      </c>
      <c r="E25" s="36" t="s">
        <v>86</v>
      </c>
      <c r="F25" s="233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34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35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35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0.52023256990328659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0.53601529684339355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0.55186048123697984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0.5672576012903876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0.58337433982953635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0.6036626931528204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0.62023808664382474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0.63681348013482919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0.65338887362583375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0.6699642671168381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0.68653966060784266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21" t="s">
        <v>11</v>
      </c>
      <c r="B58" s="223" t="s">
        <v>93</v>
      </c>
      <c r="C58" s="224"/>
      <c r="D58" s="53" t="s">
        <v>94</v>
      </c>
      <c r="E58" s="54"/>
      <c r="F58" s="55" t="s">
        <v>95</v>
      </c>
    </row>
    <row r="59" spans="1:6" ht="63.75" thickBot="1" x14ac:dyDescent="0.3">
      <c r="A59" s="222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22"/>
      <c r="B60" s="225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22"/>
      <c r="B61" s="226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2017-09-27T07:17:43Z</dcterms:modified>
</cp:coreProperties>
</file>