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erau\"/>
    </mc:Choice>
  </mc:AlternateContent>
  <bookViews>
    <workbookView xWindow="0" yWindow="0" windowWidth="20490" windowHeight="7755" tabRatio="820" activeTab="6"/>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6" i="4" l="1"/>
  <c r="E17" i="4"/>
  <c r="E18" i="4"/>
  <c r="E19" i="4"/>
  <c r="E20" i="4"/>
  <c r="E21" i="4"/>
  <c r="E22" i="4"/>
  <c r="E23" i="4"/>
  <c r="E24" i="4"/>
  <c r="E25"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F77" i="6"/>
  <c r="L52" i="6"/>
  <c r="L57" i="6"/>
  <c r="L70" i="6"/>
  <c r="L72" i="6"/>
  <c r="K25" i="6"/>
  <c r="K72" i="6"/>
  <c r="E72" i="6"/>
  <c r="F72" i="6"/>
  <c r="D73" i="7" s="1"/>
  <c r="C78" i="35" s="1"/>
  <c r="H72" i="6"/>
  <c r="J72" i="6"/>
  <c r="H73" i="7" s="1"/>
  <c r="C78" i="33" s="1"/>
  <c r="K46" i="6"/>
  <c r="F53" i="6"/>
  <c r="L86" i="6"/>
  <c r="K92" i="6"/>
  <c r="F59" i="6"/>
  <c r="K48" i="6"/>
  <c r="I49" i="7" s="1"/>
  <c r="L46" i="6"/>
  <c r="O68" i="7"/>
  <c r="K63"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L17" i="7"/>
  <c r="J48" i="7"/>
  <c r="O24" i="7"/>
  <c r="P29" i="37" s="1"/>
  <c r="D24" i="7"/>
  <c r="O52" i="7"/>
  <c r="C57" i="37" s="1"/>
  <c r="G22" i="7"/>
  <c r="P27" i="34" s="1"/>
  <c r="O26" i="7"/>
  <c r="C31" i="37" s="1"/>
  <c r="L93" i="7"/>
  <c r="L77" i="7"/>
  <c r="H50" i="7"/>
  <c r="K89" i="7"/>
  <c r="O89" i="7"/>
  <c r="P94" i="37" s="1"/>
  <c r="D79" i="7"/>
  <c r="C84" i="31" s="1"/>
  <c r="O79" i="7"/>
  <c r="C84" i="37" s="1"/>
  <c r="L37" i="7"/>
  <c r="J16" i="7"/>
  <c r="O46" i="7"/>
  <c r="C51" i="37" s="1"/>
  <c r="O21" i="7"/>
  <c r="C26" i="37" s="1"/>
  <c r="F57" i="7"/>
  <c r="C62" i="32" s="1"/>
  <c r="G30" i="7"/>
  <c r="P35" i="34" s="1"/>
  <c r="H35" i="7"/>
  <c r="P40" i="33" s="1"/>
  <c r="G28" i="7"/>
  <c r="P33" i="34" s="1"/>
  <c r="O28" i="7"/>
  <c r="P33" i="37" s="1"/>
  <c r="F28" i="7"/>
  <c r="F65" i="7"/>
  <c r="P70" i="32" s="1"/>
  <c r="O74" i="7"/>
  <c r="O45" i="7"/>
  <c r="G92" i="7"/>
  <c r="P97" i="34" s="1"/>
  <c r="J92" i="7"/>
  <c r="K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C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C83" i="34"/>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D81" i="39"/>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44" i="33"/>
  <c r="C86" i="35"/>
  <c r="C97" i="18"/>
  <c r="C38" i="18"/>
  <c r="C33" i="31"/>
  <c r="C93" i="34"/>
  <c r="C68" i="18"/>
  <c r="P31" i="31"/>
  <c r="P90" i="32"/>
  <c r="C94" i="31"/>
  <c r="P78" i="31"/>
  <c r="P94" i="31"/>
  <c r="C90" i="34"/>
  <c r="P41" i="31"/>
  <c r="C41" i="35"/>
  <c r="C63" i="32"/>
  <c r="D75" i="39" l="1"/>
  <c r="C59" i="33"/>
  <c r="P23" i="6"/>
  <c r="P83" i="31"/>
  <c r="C82" i="35"/>
  <c r="C82" i="31"/>
  <c r="C76" i="18"/>
  <c r="F76" i="18" s="1"/>
  <c r="M69" i="7"/>
  <c r="C50" i="33"/>
  <c r="C64" i="33"/>
  <c r="P82" i="18"/>
  <c r="P51" i="33"/>
  <c r="C80" i="34"/>
  <c r="P76" i="33"/>
  <c r="R76" i="33" s="1"/>
  <c r="T76" i="33" s="1"/>
  <c r="C55" i="31"/>
  <c r="C88" i="18"/>
  <c r="P79" i="32"/>
  <c r="C79" i="33"/>
  <c r="C63" i="33"/>
  <c r="P88" i="33"/>
  <c r="P80" i="32"/>
  <c r="M76" i="7"/>
  <c r="P55" i="31"/>
  <c r="C79" i="32"/>
  <c r="M37" i="7"/>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P44" i="31"/>
  <c r="P96" i="32"/>
  <c r="P34" i="31"/>
  <c r="C61" i="34"/>
  <c r="C43" i="32"/>
  <c r="C61" i="31"/>
  <c r="C92" i="33"/>
  <c r="C56" i="34"/>
  <c r="C90" i="37"/>
  <c r="C56" i="32"/>
  <c r="P52" i="33"/>
  <c r="R52" i="33" s="1"/>
  <c r="T52" i="33" s="1"/>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H88" i="31"/>
  <c r="T99" i="35"/>
  <c r="R76" i="34"/>
  <c r="R58" i="34"/>
  <c r="R98" i="34"/>
  <c r="R32" i="34"/>
  <c r="R52" i="34"/>
  <c r="R38" i="34"/>
  <c r="R36" i="34"/>
  <c r="R26" i="34"/>
  <c r="R96" i="34"/>
  <c r="R82" i="34"/>
  <c r="R35" i="34"/>
  <c r="R34" i="34"/>
  <c r="R61" i="34"/>
  <c r="R83" i="34"/>
  <c r="R92" i="34"/>
  <c r="T52" i="31"/>
  <c r="S41" i="36"/>
  <c r="G82" i="34" l="1"/>
  <c r="R42" i="31"/>
  <c r="R38" i="31"/>
  <c r="R94" i="33"/>
  <c r="S94" i="33" s="1"/>
  <c r="R83" i="31"/>
  <c r="R93" i="33"/>
  <c r="R59" i="31"/>
  <c r="T59" i="31" s="1"/>
  <c r="F98" i="34"/>
  <c r="G98" i="34" s="1"/>
  <c r="F75" i="31"/>
  <c r="G75" i="31" s="1"/>
  <c r="F57" i="35"/>
  <c r="R42" i="18"/>
  <c r="S42" i="18" s="1"/>
  <c r="R88" i="33"/>
  <c r="S88" i="33" s="1"/>
  <c r="R91" i="18"/>
  <c r="S91" i="18" s="1"/>
  <c r="R55" i="31"/>
  <c r="S55" i="31" s="1"/>
  <c r="R80" i="18"/>
  <c r="S80" i="18" s="1"/>
  <c r="F43" i="32"/>
  <c r="R48" i="18"/>
  <c r="S48" i="18" s="1"/>
  <c r="F42" i="31"/>
  <c r="H42" i="31" s="1"/>
  <c r="R22" i="37"/>
  <c r="S22" i="37" s="1"/>
  <c r="F39" i="32"/>
  <c r="F48" i="35"/>
  <c r="H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T51" i="18" s="1"/>
  <c r="R41" i="33"/>
  <c r="S41" i="33" s="1"/>
  <c r="R47" i="37"/>
  <c r="S47" i="37" s="1"/>
  <c r="G52" i="34"/>
  <c r="F50" i="34"/>
  <c r="H50" i="34" s="1"/>
  <c r="R55" i="18"/>
  <c r="T55" i="18" s="1"/>
  <c r="R54" i="18"/>
  <c r="T54" i="18" s="1"/>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77" i="18"/>
  <c r="H76" i="18"/>
  <c r="T86" i="31"/>
  <c r="R90" i="31"/>
  <c r="T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S61" i="18" s="1"/>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S81" i="31"/>
  <c r="T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H87" i="36"/>
  <c r="G87" i="36"/>
  <c r="H44" i="36"/>
  <c r="H37" i="36"/>
  <c r="H51" i="36"/>
  <c r="G35" i="36"/>
  <c r="H35" i="36"/>
  <c r="G58" i="36"/>
  <c r="H58" i="36"/>
  <c r="G61" i="36"/>
  <c r="H61" i="36"/>
  <c r="S23" i="35"/>
  <c r="T23" i="35"/>
  <c r="T96" i="35"/>
  <c r="S96" i="35"/>
  <c r="T42" i="35"/>
  <c r="S42" i="35"/>
  <c r="S90" i="35"/>
  <c r="T90" i="35"/>
  <c r="K10" i="32"/>
  <c r="K9" i="32"/>
  <c r="K12" i="32"/>
  <c r="H35" i="18"/>
  <c r="G35" i="18"/>
  <c r="T55" i="31"/>
  <c r="S29" i="31"/>
  <c r="T29" i="31"/>
  <c r="T76" i="31"/>
  <c r="S76" i="31"/>
  <c r="S59" i="18"/>
  <c r="T89" i="18"/>
  <c r="T59" i="18"/>
  <c r="S86" i="18"/>
  <c r="T86" i="18"/>
  <c r="S97" i="18"/>
  <c r="G86" i="36"/>
  <c r="H86" i="36"/>
  <c r="H19" i="36"/>
  <c r="J19" i="36" s="1"/>
  <c r="K19" i="36" s="1"/>
  <c r="I17" i="17" s="1"/>
  <c r="S43" i="35"/>
  <c r="T43" i="35"/>
  <c r="T97" i="35"/>
  <c r="S97" i="35"/>
  <c r="T40" i="35"/>
  <c r="S40" i="35"/>
  <c r="G52" i="18"/>
  <c r="H52"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T52" i="18"/>
  <c r="S35" i="18"/>
  <c r="T56" i="35"/>
  <c r="T88" i="18"/>
  <c r="G36" i="18"/>
  <c r="S84" i="18"/>
  <c r="S29" i="18"/>
  <c r="T68" i="18"/>
  <c r="S72" i="18"/>
  <c r="G54" i="31"/>
  <c r="G76" i="31"/>
  <c r="E90" i="38"/>
  <c r="E45" i="38"/>
  <c r="T49" i="35"/>
  <c r="S50" i="35"/>
  <c r="S36" i="18"/>
  <c r="T61"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70" i="18"/>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82" i="40"/>
  <c r="S76" i="40"/>
  <c r="S37" i="40"/>
  <c r="T51" i="40"/>
  <c r="T38" i="40"/>
  <c r="S60" i="40"/>
  <c r="T42" i="40"/>
  <c r="T66" i="40"/>
  <c r="W12" i="32"/>
  <c r="W9" i="32"/>
  <c r="W10" i="32"/>
  <c r="H96" i="18"/>
  <c r="G96" i="18"/>
  <c r="H24" i="18"/>
  <c r="G24" i="18"/>
  <c r="H98" i="18"/>
  <c r="H99" i="18"/>
  <c r="G99" i="18"/>
  <c r="K9" i="40"/>
  <c r="K12" i="40"/>
  <c r="K10" i="40"/>
  <c r="G72" i="31"/>
  <c r="D87" i="38"/>
  <c r="S89" i="18"/>
  <c r="T79" i="18"/>
  <c r="S67" i="18"/>
  <c r="S73" i="18"/>
  <c r="S87" i="18"/>
  <c r="T76" i="18"/>
  <c r="S53" i="18"/>
  <c r="S52" i="18"/>
  <c r="T35" i="18"/>
  <c r="S77" i="18"/>
  <c r="T31" i="18"/>
  <c r="H75" i="31"/>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48" i="18" l="1"/>
  <c r="T42" i="18"/>
  <c r="G34" i="36"/>
  <c r="G59" i="36"/>
  <c r="H94" i="36"/>
  <c r="G78" i="36"/>
  <c r="G48" i="36"/>
  <c r="G84" i="37"/>
  <c r="H63" i="18"/>
  <c r="G83" i="18"/>
  <c r="H62" i="37"/>
  <c r="S51" i="18"/>
  <c r="H52" i="31"/>
  <c r="S98" i="18"/>
  <c r="S63" i="31"/>
  <c r="H67" i="31"/>
  <c r="T79" i="31"/>
  <c r="S59" i="31"/>
  <c r="H65" i="18"/>
  <c r="G64" i="35"/>
  <c r="T80" i="18"/>
  <c r="S90" i="31"/>
  <c r="H99" i="34"/>
  <c r="S54" i="18"/>
  <c r="S68" i="31"/>
  <c r="T60" i="18"/>
  <c r="G58" i="18"/>
  <c r="H73" i="34"/>
  <c r="T49" i="33"/>
  <c r="S55" i="18"/>
  <c r="H81" i="34"/>
  <c r="T69" i="31"/>
  <c r="G86" i="18"/>
  <c r="G80" i="31"/>
  <c r="G60" i="18"/>
  <c r="H83" i="34"/>
  <c r="S26" i="18"/>
  <c r="T22" i="37"/>
  <c r="T28" i="18"/>
  <c r="G43" i="34"/>
  <c r="G48" i="35"/>
  <c r="T34" i="31"/>
  <c r="G45" i="34"/>
  <c r="H21" i="34"/>
  <c r="G48" i="31"/>
  <c r="T44" i="31"/>
  <c r="T33" i="33"/>
  <c r="T44" i="37"/>
  <c r="S46" i="31"/>
  <c r="S40" i="37"/>
  <c r="T45" i="18"/>
  <c r="G31" i="34"/>
  <c r="T47" i="33"/>
  <c r="T41" i="33"/>
  <c r="T47" i="37"/>
  <c r="T34" i="18"/>
  <c r="S42" i="33"/>
  <c r="G44" i="35"/>
  <c r="J20" i="31"/>
  <c r="K13" i="38"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20" i="31"/>
  <c r="D18" i="17" s="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K22" i="34"/>
  <c r="G20" i="17"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I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J31" i="34" l="1"/>
  <c r="L24" i="38"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K31" i="34" l="1"/>
  <c r="G29" i="17" s="1"/>
  <c r="B32" i="40"/>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<sst xmlns="http://schemas.openxmlformats.org/spreadsheetml/2006/main" count="1446" uniqueCount="343">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</sst>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3">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auto="1"/>
      </left>
      <right/>
      <top style="thin">
        <color auto="1"/>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3" borderId="78" xfId="0" applyFill="1" applyBorder="1"/>
    <xf numFmtId="0" fontId="0" fillId="3" borderId="82" xfId="0" applyFill="1" applyBorder="1"/>
    <xf numFmtId="0" fontId="0" fillId="5" borderId="47" xfId="0" applyFill="1" applyBorder="1" applyProtection="1">
      <protection locked="0"/>
    </xf>
    <xf numFmtId="0" fontId="0" fillId="5" borderId="48" xfId="0" applyFill="1" applyBorder="1" applyProtection="1">
      <protection locked="0"/>
    </xf>
    <xf numFmtId="0" fontId="0" fillId="5" borderId="30" xfId="0" applyFill="1" applyBorder="1" applyProtection="1">
      <protection locked="0"/>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5"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7.2405809520000002</v>
          </cell>
        </row>
        <row r="31">
          <cell r="C31">
            <v>7.6422532559999992</v>
          </cell>
        </row>
        <row r="32">
          <cell r="C32">
            <v>8.0746242720000012</v>
          </cell>
        </row>
        <row r="33">
          <cell r="C33">
            <v>8.2224465840000001</v>
          </cell>
        </row>
        <row r="34">
          <cell r="C34">
            <v>8.6752217639999998</v>
          </cell>
        </row>
        <row r="35">
          <cell r="C35">
            <v>9.2991206880000004</v>
          </cell>
        </row>
        <row r="36">
          <cell r="C36">
            <v>9.6775532039999987</v>
          </cell>
        </row>
        <row r="37">
          <cell r="C37">
            <v>10.067019996000001</v>
          </cell>
        </row>
        <row r="38">
          <cell r="C38">
            <v>10.466719692</v>
          </cell>
        </row>
        <row r="39">
          <cell r="C39">
            <v>10.875357768000001</v>
          </cell>
        </row>
        <row r="40">
          <cell r="C40">
            <v>11.039145875999999</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10.422655440000002</v>
          </cell>
        </row>
        <row r="30">
          <cell r="C30">
            <v>10.735919040000001</v>
          </cell>
        </row>
        <row r="31">
          <cell r="C31">
            <v>11.061623520000001</v>
          </cell>
        </row>
        <row r="32">
          <cell r="C32">
            <v>11.38861692</v>
          </cell>
        </row>
        <row r="33">
          <cell r="C33">
            <v>11.706363720000001</v>
          </cell>
        </row>
        <row r="34">
          <cell r="C34">
            <v>12.038961120000003</v>
          </cell>
        </row>
        <row r="35">
          <cell r="C35">
            <v>12.457647168000003</v>
          </cell>
        </row>
        <row r="36">
          <cell r="C36">
            <v>12.799709724</v>
          </cell>
        </row>
        <row r="37">
          <cell r="C37">
            <v>13.141772280000001</v>
          </cell>
        </row>
        <row r="38">
          <cell r="C38">
            <v>13.483834836</v>
          </cell>
        </row>
        <row r="39">
          <cell r="C39">
            <v>13.825897392</v>
          </cell>
        </row>
        <row r="40">
          <cell r="C40">
            <v>14.167959947999998</v>
          </cell>
        </row>
        <row r="41">
          <cell r="C41">
            <v>14.510022503999998</v>
          </cell>
        </row>
        <row r="42">
          <cell r="C42">
            <v>14.852085060000002</v>
          </cell>
        </row>
        <row r="43">
          <cell r="C43">
            <v>15.194147616000004</v>
          </cell>
        </row>
        <row r="44">
          <cell r="C44">
            <v>15.536210172000001</v>
          </cell>
        </row>
        <row r="45">
          <cell r="C45">
            <v>15.878272727999997</v>
          </cell>
        </row>
        <row r="46">
          <cell r="C46">
            <v>16.220335284000001</v>
          </cell>
        </row>
        <row r="47">
          <cell r="C47">
            <v>16.562397839999999</v>
          </cell>
        </row>
        <row r="48">
          <cell r="C48">
            <v>16.904460396000005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9" t="s">
        <v>212</v>
      </c>
      <c r="C7" s="769"/>
      <c r="D7" s="769"/>
      <c r="E7" s="769"/>
      <c r="F7" s="769"/>
      <c r="G7" s="769"/>
      <c r="H7" s="769"/>
      <c r="I7" s="769"/>
      <c r="J7" s="360"/>
      <c r="K7" s="360"/>
    </row>
    <row r="8" spans="2:11" s="9" customFormat="1">
      <c r="B8" s="10"/>
      <c r="C8" s="10"/>
      <c r="D8" s="10"/>
      <c r="E8" s="10"/>
      <c r="F8" s="10"/>
      <c r="G8" s="10"/>
      <c r="H8" s="10"/>
      <c r="I8" s="10"/>
      <c r="J8" s="10"/>
      <c r="K8" s="10"/>
    </row>
    <row r="9" spans="2:11" ht="44.1" customHeight="1">
      <c r="B9" s="770" t="s">
        <v>227</v>
      </c>
      <c r="C9" s="770"/>
      <c r="D9" s="770"/>
      <c r="E9" s="770"/>
      <c r="F9" s="770"/>
      <c r="G9" s="770"/>
      <c r="H9" s="770"/>
      <c r="I9" s="77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33" t="str">
        <f>city</f>
        <v>Berau</v>
      </c>
      <c r="E2" s="834"/>
      <c r="F2" s="835"/>
    </row>
    <row r="3" spans="2:15" ht="13.5" thickBot="1">
      <c r="C3" s="490" t="s">
        <v>276</v>
      </c>
      <c r="D3" s="833" t="str">
        <f>province</f>
        <v>Kalimantan Timur</v>
      </c>
      <c r="E3" s="834"/>
      <c r="F3" s="835"/>
    </row>
    <row r="4" spans="2:15" ht="13.5" thickBot="1">
      <c r="B4" s="489"/>
      <c r="C4" s="490" t="s">
        <v>30</v>
      </c>
      <c r="D4" s="833">
        <f>country</f>
        <v>0</v>
      </c>
      <c r="E4" s="834"/>
      <c r="F4" s="835"/>
      <c r="H4" s="836"/>
      <c r="I4" s="836"/>
      <c r="J4" s="836"/>
      <c r="K4" s="836"/>
    </row>
    <row r="5" spans="2:15">
      <c r="B5" s="489"/>
      <c r="H5" s="837"/>
      <c r="I5" s="837"/>
      <c r="J5" s="837"/>
      <c r="K5" s="83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0.18897916284720001</v>
      </c>
      <c r="E18" s="535">
        <f>Amnt_Deposited!F14*$F$11*(1-DOCF)*Garden!E19</f>
        <v>0</v>
      </c>
      <c r="F18" s="535">
        <f>Amnt_Deposited!D14*$D$11*(1-DOCF)*Paper!E19</f>
        <v>0.14944559084928002</v>
      </c>
      <c r="G18" s="535">
        <f>Amnt_Deposited!G14*$D$12*(1-DOCF)*Wood!E19</f>
        <v>0.12329261245065599</v>
      </c>
      <c r="H18" s="535">
        <f>Amnt_Deposited!H14*$F$12*(1-DOCF)*Textiles!E19</f>
        <v>1.8767585827584001E-2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0.48048495197472002</v>
      </c>
      <c r="O18" s="473">
        <f t="shared" ref="O18:O81" si="1">O17+N18</f>
        <v>0.48048495197472002</v>
      </c>
    </row>
    <row r="19" spans="2:15">
      <c r="B19" s="470">
        <f>B18+1</f>
        <v>1951</v>
      </c>
      <c r="C19" s="533">
        <f>Amnt_Deposited!O15*$D$10*(1-DOCF)*MSW!E20</f>
        <v>0</v>
      </c>
      <c r="D19" s="534">
        <f>Amnt_Deposited!C15*$F$10*(1-DOCF)*Food!E20</f>
        <v>0.19946280998159999</v>
      </c>
      <c r="E19" s="535">
        <f>Amnt_Deposited!F15*$F$11*(1-DOCF)*Garden!E20</f>
        <v>0</v>
      </c>
      <c r="F19" s="535">
        <f>Amnt_Deposited!D15*$D$11*(1-DOCF)*Paper!E20</f>
        <v>0.15773610720384001</v>
      </c>
      <c r="G19" s="535">
        <f>Amnt_Deposited!G15*$D$12*(1-DOCF)*Wood!E20</f>
        <v>0.13013228844316799</v>
      </c>
      <c r="H19" s="535">
        <f>Amnt_Deposited!H15*$F$12*(1-DOCF)*Textiles!E20</f>
        <v>1.9808720439551997E-2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0.50713992606815994</v>
      </c>
      <c r="O19" s="473">
        <f t="shared" si="1"/>
        <v>0.98762487804288002</v>
      </c>
    </row>
    <row r="20" spans="2:15">
      <c r="B20" s="470">
        <f t="shared" ref="B20:B83" si="2">B19+1</f>
        <v>1952</v>
      </c>
      <c r="C20" s="533">
        <f>Amnt_Deposited!O16*$D$10*(1-DOCF)*MSW!E21</f>
        <v>0</v>
      </c>
      <c r="D20" s="534">
        <f>Amnt_Deposited!C16*$F$10*(1-DOCF)*Food!E21</f>
        <v>0.21074769349920006</v>
      </c>
      <c r="E20" s="535">
        <f>Amnt_Deposited!F16*$F$11*(1-DOCF)*Garden!E21</f>
        <v>0</v>
      </c>
      <c r="F20" s="535">
        <f>Amnt_Deposited!D16*$D$11*(1-DOCF)*Paper!E21</f>
        <v>0.16666024497408005</v>
      </c>
      <c r="G20" s="535">
        <f>Amnt_Deposited!G16*$D$12*(1-DOCF)*Wood!E21</f>
        <v>0.13749470210361603</v>
      </c>
      <c r="H20" s="535">
        <f>Amnt_Deposited!H16*$F$12*(1-DOCF)*Textiles!E21</f>
        <v>2.0929426113024004E-2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0.53583206668992012</v>
      </c>
      <c r="O20" s="473">
        <f t="shared" si="1"/>
        <v>1.5234569447328001</v>
      </c>
    </row>
    <row r="21" spans="2:15">
      <c r="B21" s="470">
        <f t="shared" si="2"/>
        <v>1953</v>
      </c>
      <c r="C21" s="533">
        <f>Amnt_Deposited!O17*$D$10*(1-DOCF)*MSW!E22</f>
        <v>0</v>
      </c>
      <c r="D21" s="534">
        <f>Amnt_Deposited!C17*$F$10*(1-DOCF)*Food!E22</f>
        <v>0.2146058558424</v>
      </c>
      <c r="E21" s="535">
        <f>Amnt_Deposited!F17*$F$11*(1-DOCF)*Garden!E22</f>
        <v>0</v>
      </c>
      <c r="F21" s="535">
        <f>Amnt_Deposited!D17*$D$11*(1-DOCF)*Paper!E22</f>
        <v>0.16971129749376002</v>
      </c>
      <c r="G21" s="535">
        <f>Amnt_Deposited!G17*$D$12*(1-DOCF)*Wood!E22</f>
        <v>0.14001182043235202</v>
      </c>
      <c r="H21" s="535">
        <f>Amnt_Deposited!H17*$F$12*(1-DOCF)*Textiles!E22</f>
        <v>2.1312581545728002E-2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0.54564155531424008</v>
      </c>
      <c r="O21" s="473">
        <f t="shared" si="1"/>
        <v>2.0690985000470401</v>
      </c>
    </row>
    <row r="22" spans="2:15">
      <c r="B22" s="470">
        <f t="shared" si="2"/>
        <v>1954</v>
      </c>
      <c r="C22" s="533">
        <f>Amnt_Deposited!O18*$D$10*(1-DOCF)*MSW!E23</f>
        <v>0</v>
      </c>
      <c r="D22" s="534">
        <f>Amnt_Deposited!C18*$F$10*(1-DOCF)*Food!E23</f>
        <v>0.22642328804039999</v>
      </c>
      <c r="E22" s="535">
        <f>Amnt_Deposited!F18*$F$11*(1-DOCF)*Garden!E23</f>
        <v>0</v>
      </c>
      <c r="F22" s="535">
        <f>Amnt_Deposited!D18*$D$11*(1-DOCF)*Paper!E23</f>
        <v>0.17905657720896001</v>
      </c>
      <c r="G22" s="535">
        <f>Amnt_Deposited!G18*$D$12*(1-DOCF)*Wood!E23</f>
        <v>0.14772167619739202</v>
      </c>
      <c r="H22" s="535">
        <f>Amnt_Deposited!H18*$F$12*(1-DOCF)*Textiles!E23</f>
        <v>2.2486174812287998E-2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0.57568771625903992</v>
      </c>
      <c r="O22" s="473">
        <f t="shared" si="1"/>
        <v>2.64478621630608</v>
      </c>
    </row>
    <row r="23" spans="2:15">
      <c r="B23" s="470">
        <f t="shared" si="2"/>
        <v>1955</v>
      </c>
      <c r="C23" s="533">
        <f>Amnt_Deposited!O19*$D$10*(1-DOCF)*MSW!E24</f>
        <v>0</v>
      </c>
      <c r="D23" s="534">
        <f>Amnt_Deposited!C19*$F$10*(1-DOCF)*Food!E24</f>
        <v>0.24270704995680001</v>
      </c>
      <c r="E23" s="535">
        <f>Amnt_Deposited!F19*$F$11*(1-DOCF)*Garden!E24</f>
        <v>0</v>
      </c>
      <c r="F23" s="535">
        <f>Amnt_Deposited!D19*$D$11*(1-DOCF)*Paper!E24</f>
        <v>0.19193385100032001</v>
      </c>
      <c r="G23" s="535">
        <f>Amnt_Deposited!G19*$D$12*(1-DOCF)*Wood!E24</f>
        <v>0.15834542707526403</v>
      </c>
      <c r="H23" s="535">
        <f>Amnt_Deposited!H19*$F$12*(1-DOCF)*Textiles!E24</f>
        <v>2.4103320823296002E-2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0.61708964885568007</v>
      </c>
      <c r="O23" s="473">
        <f t="shared" si="1"/>
        <v>3.2618758651617599</v>
      </c>
    </row>
    <row r="24" spans="2:15">
      <c r="B24" s="470">
        <f t="shared" si="2"/>
        <v>1956</v>
      </c>
      <c r="C24" s="533">
        <f>Amnt_Deposited!O20*$D$10*(1-DOCF)*MSW!E25</f>
        <v>0</v>
      </c>
      <c r="D24" s="534">
        <f>Amnt_Deposited!C20*$F$10*(1-DOCF)*Food!E25</f>
        <v>0.25258413862439999</v>
      </c>
      <c r="E24" s="535">
        <f>Amnt_Deposited!F20*$F$11*(1-DOCF)*Garden!E25</f>
        <v>0</v>
      </c>
      <c r="F24" s="535">
        <f>Amnt_Deposited!D20*$D$11*(1-DOCF)*Paper!E25</f>
        <v>0.19974469813055998</v>
      </c>
      <c r="G24" s="535">
        <f>Amnt_Deposited!G20*$D$12*(1-DOCF)*Wood!E25</f>
        <v>0.16478937595771201</v>
      </c>
      <c r="H24" s="535">
        <f>Amnt_Deposited!H20*$F$12*(1-DOCF)*Textiles!E25</f>
        <v>2.5084217904767999E-2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0.64220243061743998</v>
      </c>
      <c r="O24" s="473">
        <f t="shared" si="1"/>
        <v>3.9040782957792</v>
      </c>
    </row>
    <row r="25" spans="2:15">
      <c r="B25" s="470">
        <f t="shared" si="2"/>
        <v>1957</v>
      </c>
      <c r="C25" s="533">
        <f>Amnt_Deposited!O21*$D$10*(1-DOCF)*MSW!E26</f>
        <v>0</v>
      </c>
      <c r="D25" s="534">
        <f>Amnt_Deposited!C21*$F$10*(1-DOCF)*Food!E26</f>
        <v>0.26274922189560002</v>
      </c>
      <c r="E25" s="535">
        <f>Amnt_Deposited!F21*$F$11*(1-DOCF)*Garden!E26</f>
        <v>0</v>
      </c>
      <c r="F25" s="535">
        <f>Amnt_Deposited!D21*$D$11*(1-DOCF)*Paper!E26</f>
        <v>0.20778329271744003</v>
      </c>
      <c r="G25" s="535">
        <f>Amnt_Deposited!G21*$D$12*(1-DOCF)*Wood!E26</f>
        <v>0.17142121649188802</v>
      </c>
      <c r="H25" s="535">
        <f>Amnt_Deposited!H21*$F$12*(1-DOCF)*Textiles!E26</f>
        <v>2.6093715829632005E-2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0.66804744693456009</v>
      </c>
      <c r="O25" s="473">
        <f t="shared" si="1"/>
        <v>4.5721257427137605</v>
      </c>
    </row>
    <row r="26" spans="2:15">
      <c r="B26" s="470">
        <f t="shared" si="2"/>
        <v>1958</v>
      </c>
      <c r="C26" s="533">
        <f>Amnt_Deposited!O22*$D$10*(1-DOCF)*MSW!E27</f>
        <v>0</v>
      </c>
      <c r="D26" s="534">
        <f>Amnt_Deposited!C22*$F$10*(1-DOCF)*Food!E27</f>
        <v>0.27318138396120001</v>
      </c>
      <c r="E26" s="535">
        <f>Amnt_Deposited!F22*$F$11*(1-DOCF)*Garden!E27</f>
        <v>0</v>
      </c>
      <c r="F26" s="535">
        <f>Amnt_Deposited!D22*$D$11*(1-DOCF)*Paper!E27</f>
        <v>0.21603309444288002</v>
      </c>
      <c r="G26" s="535">
        <f>Amnt_Deposited!G22*$D$12*(1-DOCF)*Wood!E27</f>
        <v>0.17822730291537603</v>
      </c>
      <c r="H26" s="535">
        <f>Amnt_Deposited!H22*$F$12*(1-DOCF)*Textiles!E27</f>
        <v>2.7129737441663998E-2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0.69457151876112011</v>
      </c>
      <c r="O26" s="473">
        <f t="shared" si="1"/>
        <v>5.2666972614748806</v>
      </c>
    </row>
    <row r="27" spans="2:15">
      <c r="B27" s="470">
        <f t="shared" si="2"/>
        <v>1959</v>
      </c>
      <c r="C27" s="533">
        <f>Amnt_Deposited!O23*$D$10*(1-DOCF)*MSW!E28</f>
        <v>0</v>
      </c>
      <c r="D27" s="534">
        <f>Amnt_Deposited!C23*$F$10*(1-DOCF)*Food!E28</f>
        <v>0.28384683774479996</v>
      </c>
      <c r="E27" s="535">
        <f>Amnt_Deposited!F23*$F$11*(1-DOCF)*Garden!E28</f>
        <v>0</v>
      </c>
      <c r="F27" s="535">
        <f>Amnt_Deposited!D23*$D$11*(1-DOCF)*Paper!E28</f>
        <v>0.22446738433152005</v>
      </c>
      <c r="G27" s="535">
        <f>Amnt_Deposited!G23*$D$12*(1-DOCF)*Wood!E28</f>
        <v>0.18518559207350405</v>
      </c>
      <c r="H27" s="535">
        <f>Amnt_Deposited!H23*$F$12*(1-DOCF)*Textiles!E28</f>
        <v>2.8188927334656E-2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0.72168874148448015</v>
      </c>
      <c r="O27" s="473">
        <f t="shared" si="1"/>
        <v>5.988386002959361</v>
      </c>
    </row>
    <row r="28" spans="2:15">
      <c r="B28" s="470">
        <f t="shared" si="2"/>
        <v>1960</v>
      </c>
      <c r="C28" s="533">
        <f>Amnt_Deposited!O24*$D$10*(1-DOCF)*MSW!E29</f>
        <v>0</v>
      </c>
      <c r="D28" s="534">
        <f>Amnt_Deposited!C24*$F$10*(1-DOCF)*Food!E29</f>
        <v>0.28812170736359993</v>
      </c>
      <c r="E28" s="535">
        <f>Amnt_Deposited!F24*$F$11*(1-DOCF)*Garden!E29</f>
        <v>0</v>
      </c>
      <c r="F28" s="535">
        <f>Amnt_Deposited!D24*$D$11*(1-DOCF)*Paper!E29</f>
        <v>0.22784797088064002</v>
      </c>
      <c r="G28" s="535">
        <f>Amnt_Deposited!G24*$D$12*(1-DOCF)*Wood!E29</f>
        <v>0.187974575976528</v>
      </c>
      <c r="H28" s="535">
        <f>Amnt_Deposited!H24*$F$12*(1-DOCF)*Textiles!E29</f>
        <v>2.8613466110591998E-2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0.73255772033136002</v>
      </c>
      <c r="O28" s="473">
        <f t="shared" si="1"/>
        <v>6.7209437232907208</v>
      </c>
    </row>
    <row r="29" spans="2:15">
      <c r="B29" s="470">
        <f t="shared" si="2"/>
        <v>1961</v>
      </c>
      <c r="C29" s="533">
        <f>Amnt_Deposited!O25*$D$10*(1-DOCF)*MSW!E30</f>
        <v>0</v>
      </c>
      <c r="D29" s="534">
        <f>Amnt_Deposited!C25*$F$10*(1-DOCF)*Food!E30</f>
        <v>0.27203130698400008</v>
      </c>
      <c r="E29" s="535">
        <f>Amnt_Deposited!F25*$F$11*(1-DOCF)*Garden!E30</f>
        <v>0</v>
      </c>
      <c r="F29" s="535">
        <f>Amnt_Deposited!D25*$D$11*(1-DOCF)*Paper!E30</f>
        <v>0.21512360828160004</v>
      </c>
      <c r="G29" s="535">
        <f>Amnt_Deposited!G25*$D$12*(1-DOCF)*Wood!E30</f>
        <v>0.17747697683232003</v>
      </c>
      <c r="H29" s="535">
        <f>Amnt_Deposited!H25*$F$12*(1-DOCF)*Textiles!E30</f>
        <v>2.7015522900480007E-2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0.69164741499840021</v>
      </c>
      <c r="O29" s="473">
        <f t="shared" si="1"/>
        <v>7.4125911382891214</v>
      </c>
    </row>
    <row r="30" spans="2:15">
      <c r="B30" s="470">
        <f t="shared" si="2"/>
        <v>1962</v>
      </c>
      <c r="C30" s="533">
        <f>Amnt_Deposited!O26*$D$10*(1-DOCF)*MSW!E31</f>
        <v>0</v>
      </c>
      <c r="D30" s="534">
        <f>Amnt_Deposited!C26*$F$10*(1-DOCF)*Food!E31</f>
        <v>0.28020748694400005</v>
      </c>
      <c r="E30" s="535">
        <f>Amnt_Deposited!F26*$F$11*(1-DOCF)*Garden!E31</f>
        <v>0</v>
      </c>
      <c r="F30" s="535">
        <f>Amnt_Deposited!D26*$D$11*(1-DOCF)*Paper!E31</f>
        <v>0.22158936898560003</v>
      </c>
      <c r="G30" s="535">
        <f>Amnt_Deposited!G26*$D$12*(1-DOCF)*Wood!E31</f>
        <v>0.18281122941312003</v>
      </c>
      <c r="H30" s="535">
        <f>Amnt_Deposited!H26*$F$12*(1-DOCF)*Textiles!E31</f>
        <v>2.7827502151680002E-2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0.71243558749440006</v>
      </c>
      <c r="O30" s="473">
        <f t="shared" si="1"/>
        <v>8.1250267257835223</v>
      </c>
    </row>
    <row r="31" spans="2:15">
      <c r="B31" s="470">
        <f t="shared" si="2"/>
        <v>1963</v>
      </c>
      <c r="C31" s="533">
        <f>Amnt_Deposited!O27*$D$10*(1-DOCF)*MSW!E32</f>
        <v>0</v>
      </c>
      <c r="D31" s="534">
        <f>Amnt_Deposited!C27*$F$10*(1-DOCF)*Food!E32</f>
        <v>0.28870837387199999</v>
      </c>
      <c r="E31" s="535">
        <f>Amnt_Deposited!F27*$F$11*(1-DOCF)*Garden!E32</f>
        <v>0</v>
      </c>
      <c r="F31" s="535">
        <f>Amnt_Deposited!D27*$D$11*(1-DOCF)*Paper!E32</f>
        <v>0.22831190945280003</v>
      </c>
      <c r="G31" s="535">
        <f>Amnt_Deposited!G27*$D$12*(1-DOCF)*Wood!E32</f>
        <v>0.18835732529856006</v>
      </c>
      <c r="H31" s="535">
        <f>Amnt_Deposited!H27*$F$12*(1-DOCF)*Textiles!E32</f>
        <v>2.8671728163840005E-2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0.73404933678720008</v>
      </c>
      <c r="O31" s="473">
        <f t="shared" si="1"/>
        <v>8.8590760625707219</v>
      </c>
    </row>
    <row r="32" spans="2:15">
      <c r="B32" s="470">
        <f t="shared" si="2"/>
        <v>1964</v>
      </c>
      <c r="C32" s="533">
        <f>Amnt_Deposited!O28*$D$10*(1-DOCF)*MSW!E33</f>
        <v>0</v>
      </c>
      <c r="D32" s="534">
        <f>Amnt_Deposited!C28*$F$10*(1-DOCF)*Food!E33</f>
        <v>0.29724290161200001</v>
      </c>
      <c r="E32" s="535">
        <f>Amnt_Deposited!F28*$F$11*(1-DOCF)*Garden!E33</f>
        <v>0</v>
      </c>
      <c r="F32" s="535">
        <f>Amnt_Deposited!D28*$D$11*(1-DOCF)*Paper!E33</f>
        <v>0.2350610532288</v>
      </c>
      <c r="G32" s="535">
        <f>Amnt_Deposited!G28*$D$12*(1-DOCF)*Wood!E33</f>
        <v>0.19392536891376003</v>
      </c>
      <c r="H32" s="535">
        <f>Amnt_Deposited!H28*$F$12*(1-DOCF)*Textiles!E33</f>
        <v>2.9519295056639999E-2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0.75574861881119992</v>
      </c>
      <c r="O32" s="473">
        <f t="shared" si="1"/>
        <v>9.614824681381922</v>
      </c>
    </row>
    <row r="33" spans="2:15">
      <c r="B33" s="470">
        <f t="shared" si="2"/>
        <v>1965</v>
      </c>
      <c r="C33" s="533">
        <f>Amnt_Deposited!O29*$D$10*(1-DOCF)*MSW!E34</f>
        <v>0</v>
      </c>
      <c r="D33" s="534">
        <f>Amnt_Deposited!C29*$F$10*(1-DOCF)*Food!E34</f>
        <v>0.30553609309200003</v>
      </c>
      <c r="E33" s="535">
        <f>Amnt_Deposited!F29*$F$11*(1-DOCF)*Garden!E34</f>
        <v>0</v>
      </c>
      <c r="F33" s="535">
        <f>Amnt_Deposited!D29*$D$11*(1-DOCF)*Paper!E34</f>
        <v>0.24161934718080005</v>
      </c>
      <c r="G33" s="535">
        <f>Amnt_Deposited!G29*$D$12*(1-DOCF)*Wood!E34</f>
        <v>0.19933596142416002</v>
      </c>
      <c r="H33" s="535">
        <f>Amnt_Deposited!H29*$F$12*(1-DOCF)*Textiles!E34</f>
        <v>3.0342894762240002E-2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0.7768342964592001</v>
      </c>
      <c r="O33" s="473">
        <f t="shared" si="1"/>
        <v>10.391658977841121</v>
      </c>
    </row>
    <row r="34" spans="2:15">
      <c r="B34" s="470">
        <f t="shared" si="2"/>
        <v>1966</v>
      </c>
      <c r="C34" s="533">
        <f>Amnt_Deposited!O30*$D$10*(1-DOCF)*MSW!E35</f>
        <v>0</v>
      </c>
      <c r="D34" s="534">
        <f>Amnt_Deposited!C30*$F$10*(1-DOCF)*Food!E35</f>
        <v>0.31421688523200014</v>
      </c>
      <c r="E34" s="535">
        <f>Amnt_Deposited!F30*$F$11*(1-DOCF)*Garden!E35</f>
        <v>0</v>
      </c>
      <c r="F34" s="535">
        <f>Amnt_Deposited!D30*$D$11*(1-DOCF)*Paper!E35</f>
        <v>0.24848415751680011</v>
      </c>
      <c r="G34" s="535">
        <f>Amnt_Deposited!G30*$D$12*(1-DOCF)*Wood!E35</f>
        <v>0.20499942995136011</v>
      </c>
      <c r="H34" s="535">
        <f>Amnt_Deposited!H30*$F$12*(1-DOCF)*Textiles!E35</f>
        <v>3.120498722304001E-2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0.79890545992320039</v>
      </c>
      <c r="O34" s="473">
        <f t="shared" si="1"/>
        <v>11.190564437764323</v>
      </c>
    </row>
    <row r="35" spans="2:15">
      <c r="B35" s="470">
        <f t="shared" si="2"/>
        <v>1967</v>
      </c>
      <c r="C35" s="533">
        <f>Amnt_Deposited!O31*$D$10*(1-DOCF)*MSW!E36</f>
        <v>0</v>
      </c>
      <c r="D35" s="534">
        <f>Amnt_Deposited!C31*$F$10*(1-DOCF)*Food!E36</f>
        <v>0.32514459108480009</v>
      </c>
      <c r="E35" s="535">
        <f>Amnt_Deposited!F31*$F$11*(1-DOCF)*Garden!E36</f>
        <v>0</v>
      </c>
      <c r="F35" s="535">
        <f>Amnt_Deposited!D31*$D$11*(1-DOCF)*Paper!E36</f>
        <v>0.25712583754752011</v>
      </c>
      <c r="G35" s="535">
        <f>Amnt_Deposited!G31*$D$12*(1-DOCF)*Wood!E36</f>
        <v>0.21212881597670405</v>
      </c>
      <c r="H35" s="535">
        <f>Amnt_Deposited!H31*$F$12*(1-DOCF)*Textiles!E36</f>
        <v>3.2290221459456002E-2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0.82668946606848026</v>
      </c>
      <c r="O35" s="473">
        <f t="shared" si="1"/>
        <v>12.017253903832803</v>
      </c>
    </row>
    <row r="36" spans="2:15">
      <c r="B36" s="470">
        <f t="shared" si="2"/>
        <v>1968</v>
      </c>
      <c r="C36" s="533">
        <f>Amnt_Deposited!O32*$D$10*(1-DOCF)*MSW!E37</f>
        <v>0</v>
      </c>
      <c r="D36" s="534">
        <f>Amnt_Deposited!C32*$F$10*(1-DOCF)*Food!E37</f>
        <v>0.33407242379640001</v>
      </c>
      <c r="E36" s="535">
        <f>Amnt_Deposited!F32*$F$11*(1-DOCF)*Garden!E37</f>
        <v>0</v>
      </c>
      <c r="F36" s="535">
        <f>Amnt_Deposited!D32*$D$11*(1-DOCF)*Paper!E37</f>
        <v>0.26418600870336001</v>
      </c>
      <c r="G36" s="535">
        <f>Amnt_Deposited!G32*$D$12*(1-DOCF)*Wood!E37</f>
        <v>0.21795345718027204</v>
      </c>
      <c r="H36" s="535">
        <f>Amnt_Deposited!H32*$F$12*(1-DOCF)*Textiles!E37</f>
        <v>3.3176847604607998E-2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0.84938873728464004</v>
      </c>
      <c r="O36" s="473">
        <f t="shared" si="1"/>
        <v>12.866642641117442</v>
      </c>
    </row>
    <row r="37" spans="2:15">
      <c r="B37" s="470">
        <f t="shared" si="2"/>
        <v>1969</v>
      </c>
      <c r="C37" s="533">
        <f>Amnt_Deposited!O33*$D$10*(1-DOCF)*MSW!E38</f>
        <v>0</v>
      </c>
      <c r="D37" s="534">
        <f>Amnt_Deposited!C33*$F$10*(1-DOCF)*Food!E38</f>
        <v>0.34300025650800003</v>
      </c>
      <c r="E37" s="535">
        <f>Amnt_Deposited!F33*$F$11*(1-DOCF)*Garden!E38</f>
        <v>0</v>
      </c>
      <c r="F37" s="535">
        <f>Amnt_Deposited!D33*$D$11*(1-DOCF)*Paper!E38</f>
        <v>0.27124617985920008</v>
      </c>
      <c r="G37" s="535">
        <f>Amnt_Deposited!G33*$D$12*(1-DOCF)*Wood!E38</f>
        <v>0.22377809838384</v>
      </c>
      <c r="H37" s="535">
        <f>Amnt_Deposited!H33*$F$12*(1-DOCF)*Textiles!E38</f>
        <v>3.4063473749760001E-2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0.87208800850080015</v>
      </c>
      <c r="O37" s="473">
        <f t="shared" si="1"/>
        <v>13.738730649618242</v>
      </c>
    </row>
    <row r="38" spans="2:15">
      <c r="B38" s="470">
        <f t="shared" si="2"/>
        <v>1970</v>
      </c>
      <c r="C38" s="533">
        <f>Amnt_Deposited!O34*$D$10*(1-DOCF)*MSW!E39</f>
        <v>0</v>
      </c>
      <c r="D38" s="534">
        <f>Amnt_Deposited!C34*$F$10*(1-DOCF)*Food!E39</f>
        <v>0.3519280892196</v>
      </c>
      <c r="E38" s="535">
        <f>Amnt_Deposited!F34*$F$11*(1-DOCF)*Garden!E39</f>
        <v>0</v>
      </c>
      <c r="F38" s="535">
        <f>Amnt_Deposited!D34*$D$11*(1-DOCF)*Paper!E39</f>
        <v>0.27830635101504003</v>
      </c>
      <c r="G38" s="535">
        <f>Amnt_Deposited!G34*$D$12*(1-DOCF)*Wood!E39</f>
        <v>0.22960273958740804</v>
      </c>
      <c r="H38" s="535">
        <f>Amnt_Deposited!H34*$F$12*(1-DOCF)*Textiles!E39</f>
        <v>3.4950099894911997E-2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0.89478727971696015</v>
      </c>
      <c r="O38" s="473">
        <f t="shared" si="1"/>
        <v>14.633517929335202</v>
      </c>
    </row>
    <row r="39" spans="2:15">
      <c r="B39" s="470">
        <f t="shared" si="2"/>
        <v>1971</v>
      </c>
      <c r="C39" s="533">
        <f>Amnt_Deposited!O35*$D$10*(1-DOCF)*MSW!E40</f>
        <v>0</v>
      </c>
      <c r="D39" s="534">
        <f>Amnt_Deposited!C35*$F$10*(1-DOCF)*Food!E40</f>
        <v>0.36085592193119997</v>
      </c>
      <c r="E39" s="535">
        <f>Amnt_Deposited!F35*$F$11*(1-DOCF)*Garden!E40</f>
        <v>0</v>
      </c>
      <c r="F39" s="535">
        <f>Amnt_Deposited!D35*$D$11*(1-DOCF)*Paper!E40</f>
        <v>0.28536652217088004</v>
      </c>
      <c r="G39" s="535">
        <f>Amnt_Deposited!G35*$D$12*(1-DOCF)*Wood!E40</f>
        <v>0.23542738079097603</v>
      </c>
      <c r="H39" s="535">
        <f>Amnt_Deposited!H35*$F$12*(1-DOCF)*Textiles!E40</f>
        <v>3.5836726040063993E-2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0.91748655093312004</v>
      </c>
      <c r="O39" s="473">
        <f t="shared" si="1"/>
        <v>15.551004480268322</v>
      </c>
    </row>
    <row r="40" spans="2:15">
      <c r="B40" s="470">
        <f t="shared" si="2"/>
        <v>1972</v>
      </c>
      <c r="C40" s="533">
        <f>Amnt_Deposited!O36*$D$10*(1-DOCF)*MSW!E41</f>
        <v>0</v>
      </c>
      <c r="D40" s="534">
        <f>Amnt_Deposited!C36*$F$10*(1-DOCF)*Food!E41</f>
        <v>0.36978375464279994</v>
      </c>
      <c r="E40" s="535">
        <f>Amnt_Deposited!F36*$F$11*(1-DOCF)*Garden!E41</f>
        <v>0</v>
      </c>
      <c r="F40" s="535">
        <f>Amnt_Deposited!D36*$D$11*(1-DOCF)*Paper!E41</f>
        <v>0.29242669332672</v>
      </c>
      <c r="G40" s="535">
        <f>Amnt_Deposited!G36*$D$12*(1-DOCF)*Wood!E41</f>
        <v>0.24125202199454399</v>
      </c>
      <c r="H40" s="535">
        <f>Amnt_Deposited!H36*$F$12*(1-DOCF)*Textiles!E41</f>
        <v>3.6723352185215996E-2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0.94018582214927982</v>
      </c>
      <c r="O40" s="473">
        <f t="shared" si="1"/>
        <v>16.4911903024176</v>
      </c>
    </row>
    <row r="41" spans="2:15">
      <c r="B41" s="470">
        <f t="shared" si="2"/>
        <v>1973</v>
      </c>
      <c r="C41" s="533">
        <f>Amnt_Deposited!O37*$D$10*(1-DOCF)*MSW!E42</f>
        <v>0</v>
      </c>
      <c r="D41" s="534">
        <f>Amnt_Deposited!C37*$F$10*(1-DOCF)*Food!E42</f>
        <v>0.37871158735440003</v>
      </c>
      <c r="E41" s="535">
        <f>Amnt_Deposited!F37*$F$11*(1-DOCF)*Garden!E42</f>
        <v>0</v>
      </c>
      <c r="F41" s="535">
        <f>Amnt_Deposited!D37*$D$11*(1-DOCF)*Paper!E42</f>
        <v>0.29948686448256001</v>
      </c>
      <c r="G41" s="535">
        <f>Amnt_Deposited!G37*$D$12*(1-DOCF)*Wood!E42</f>
        <v>0.24707666319811197</v>
      </c>
      <c r="H41" s="535">
        <f>Amnt_Deposited!H37*$F$12*(1-DOCF)*Textiles!E42</f>
        <v>3.7609978330367999E-2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0.96288509336544004</v>
      </c>
      <c r="O41" s="473">
        <f t="shared" si="1"/>
        <v>17.45407539578304</v>
      </c>
    </row>
    <row r="42" spans="2:15">
      <c r="B42" s="470">
        <f t="shared" si="2"/>
        <v>1974</v>
      </c>
      <c r="C42" s="533">
        <f>Amnt_Deposited!O38*$D$10*(1-DOCF)*MSW!E43</f>
        <v>0</v>
      </c>
      <c r="D42" s="534">
        <f>Amnt_Deposited!C38*$F$10*(1-DOCF)*Food!E43</f>
        <v>0.38763942006600005</v>
      </c>
      <c r="E42" s="535">
        <f>Amnt_Deposited!F38*$F$11*(1-DOCF)*Garden!E43</f>
        <v>0</v>
      </c>
      <c r="F42" s="535">
        <f>Amnt_Deposited!D38*$D$11*(1-DOCF)*Paper!E43</f>
        <v>0.30654703563840013</v>
      </c>
      <c r="G42" s="535">
        <f>Amnt_Deposited!G38*$D$12*(1-DOCF)*Wood!E43</f>
        <v>0.25290130440168007</v>
      </c>
      <c r="H42" s="535">
        <f>Amnt_Deposited!H38*$F$12*(1-DOCF)*Textiles!E43</f>
        <v>3.8496604475520002E-2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0.98558436458160026</v>
      </c>
      <c r="O42" s="473">
        <f t="shared" si="1"/>
        <v>18.439659760364641</v>
      </c>
    </row>
    <row r="43" spans="2:15">
      <c r="B43" s="470">
        <f t="shared" si="2"/>
        <v>1975</v>
      </c>
      <c r="C43" s="533">
        <f>Amnt_Deposited!O39*$D$10*(1-DOCF)*MSW!E44</f>
        <v>0</v>
      </c>
      <c r="D43" s="534">
        <f>Amnt_Deposited!C39*$F$10*(1-DOCF)*Food!E44</f>
        <v>0.39656725277760013</v>
      </c>
      <c r="E43" s="535">
        <f>Amnt_Deposited!F39*$F$11*(1-DOCF)*Garden!E44</f>
        <v>0</v>
      </c>
      <c r="F43" s="535">
        <f>Amnt_Deposited!D39*$D$11*(1-DOCF)*Paper!E44</f>
        <v>0.31360720679424015</v>
      </c>
      <c r="G43" s="535">
        <f>Amnt_Deposited!G39*$D$12*(1-DOCF)*Wood!E44</f>
        <v>0.25872594560524809</v>
      </c>
      <c r="H43" s="535">
        <f>Amnt_Deposited!H39*$F$12*(1-DOCF)*Textiles!E44</f>
        <v>3.9383230620672005E-2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1.0082836357977603</v>
      </c>
      <c r="O43" s="473">
        <f t="shared" si="1"/>
        <v>19.447943396162401</v>
      </c>
    </row>
    <row r="44" spans="2:15">
      <c r="B44" s="470">
        <f t="shared" si="2"/>
        <v>1976</v>
      </c>
      <c r="C44" s="533">
        <f>Amnt_Deposited!O40*$D$10*(1-DOCF)*MSW!E45</f>
        <v>0</v>
      </c>
      <c r="D44" s="534">
        <f>Amnt_Deposited!C40*$F$10*(1-DOCF)*Food!E45</f>
        <v>0.40549508548919999</v>
      </c>
      <c r="E44" s="535">
        <f>Amnt_Deposited!F40*$F$11*(1-DOCF)*Garden!E45</f>
        <v>0</v>
      </c>
      <c r="F44" s="535">
        <f>Amnt_Deposited!D40*$D$11*(1-DOCF)*Paper!E45</f>
        <v>0.32066737795008005</v>
      </c>
      <c r="G44" s="535">
        <f>Amnt_Deposited!G40*$D$12*(1-DOCF)*Wood!E45</f>
        <v>0.26455058680881605</v>
      </c>
      <c r="H44" s="535">
        <f>Amnt_Deposited!H40*$F$12*(1-DOCF)*Textiles!E45</f>
        <v>4.0269856765824001E-2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1.03098290701392</v>
      </c>
      <c r="O44" s="473">
        <f t="shared" si="1"/>
        <v>20.478926303176323</v>
      </c>
    </row>
    <row r="45" spans="2:15">
      <c r="B45" s="470">
        <f t="shared" si="2"/>
        <v>1977</v>
      </c>
      <c r="C45" s="533">
        <f>Amnt_Deposited!O41*$D$10*(1-DOCF)*MSW!E46</f>
        <v>0</v>
      </c>
      <c r="D45" s="534">
        <f>Amnt_Deposited!C41*$F$10*(1-DOCF)*Food!E46</f>
        <v>0.41442291820079991</v>
      </c>
      <c r="E45" s="535">
        <f>Amnt_Deposited!F41*$F$11*(1-DOCF)*Garden!E46</f>
        <v>0</v>
      </c>
      <c r="F45" s="535">
        <f>Amnt_Deposited!D41*$D$11*(1-DOCF)*Paper!E46</f>
        <v>0.32772754910591995</v>
      </c>
      <c r="G45" s="535">
        <f>Amnt_Deposited!G41*$D$12*(1-DOCF)*Wood!E46</f>
        <v>0.27037522801238395</v>
      </c>
      <c r="H45" s="535">
        <f>Amnt_Deposited!H41*$F$12*(1-DOCF)*Textiles!E46</f>
        <v>4.1156482910975997E-2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1.0536821782300798</v>
      </c>
      <c r="O45" s="473">
        <f t="shared" si="1"/>
        <v>21.532608481406402</v>
      </c>
    </row>
    <row r="46" spans="2:15">
      <c r="B46" s="470">
        <f t="shared" si="2"/>
        <v>1978</v>
      </c>
      <c r="C46" s="533">
        <f>Amnt_Deposited!O42*$D$10*(1-DOCF)*MSW!E47</f>
        <v>0</v>
      </c>
      <c r="D46" s="534">
        <f>Amnt_Deposited!C42*$F$10*(1-DOCF)*Food!E47</f>
        <v>0.42335075091240004</v>
      </c>
      <c r="E46" s="535">
        <f>Amnt_Deposited!F42*$F$11*(1-DOCF)*Garden!E47</f>
        <v>0</v>
      </c>
      <c r="F46" s="535">
        <f>Amnt_Deposited!D42*$D$11*(1-DOCF)*Paper!E47</f>
        <v>0.33478772026176007</v>
      </c>
      <c r="G46" s="535">
        <f>Amnt_Deposited!G42*$D$12*(1-DOCF)*Wood!E47</f>
        <v>0.27619986921595208</v>
      </c>
      <c r="H46" s="535">
        <f>Amnt_Deposited!H42*$F$12*(1-DOCF)*Textiles!E47</f>
        <v>4.2043109056128E-2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1.07638144944624</v>
      </c>
      <c r="O46" s="473">
        <f t="shared" si="1"/>
        <v>22.608989930852644</v>
      </c>
    </row>
    <row r="47" spans="2:15">
      <c r="B47" s="470">
        <f t="shared" si="2"/>
        <v>1979</v>
      </c>
      <c r="C47" s="533">
        <f>Amnt_Deposited!O43*$D$10*(1-DOCF)*MSW!E48</f>
        <v>0</v>
      </c>
      <c r="D47" s="534">
        <f>Amnt_Deposited!C43*$F$10*(1-DOCF)*Food!E48</f>
        <v>0.43227858362399996</v>
      </c>
      <c r="E47" s="535">
        <f>Amnt_Deposited!F43*$F$11*(1-DOCF)*Garden!E48</f>
        <v>0</v>
      </c>
      <c r="F47" s="535">
        <f>Amnt_Deposited!D43*$D$11*(1-DOCF)*Paper!E48</f>
        <v>0.34184789141760002</v>
      </c>
      <c r="G47" s="535">
        <f>Amnt_Deposited!G43*$D$12*(1-DOCF)*Wood!E48</f>
        <v>0.28202451041951998</v>
      </c>
      <c r="H47" s="535">
        <f>Amnt_Deposited!H43*$F$12*(1-DOCF)*Textiles!E48</f>
        <v>4.2929735201280003E-2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1.0990807206624</v>
      </c>
      <c r="O47" s="473">
        <f t="shared" si="1"/>
        <v>23.708070651515044</v>
      </c>
    </row>
    <row r="48" spans="2:15">
      <c r="B48" s="470">
        <f t="shared" si="2"/>
        <v>1980</v>
      </c>
      <c r="C48" s="533">
        <f>Amnt_Deposited!O44*$D$10*(1-DOCF)*MSW!E49</f>
        <v>0</v>
      </c>
      <c r="D48" s="534">
        <f>Amnt_Deposited!C44*$F$10*(1-DOCF)*Food!E49</f>
        <v>0.44120641633560009</v>
      </c>
      <c r="E48" s="535">
        <f>Amnt_Deposited!F44*$F$11*(1-DOCF)*Garden!E49</f>
        <v>0</v>
      </c>
      <c r="F48" s="535">
        <f>Amnt_Deposited!D44*$D$11*(1-DOCF)*Paper!E49</f>
        <v>0.34890806257344015</v>
      </c>
      <c r="G48" s="535">
        <f>Amnt_Deposited!G44*$D$12*(1-DOCF)*Wood!E49</f>
        <v>0.28784915162308805</v>
      </c>
      <c r="H48" s="535">
        <f>Amnt_Deposited!H44*$F$12*(1-DOCF)*Textiles!E49</f>
        <v>4.3816361346432013E-2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1.1217799918785603</v>
      </c>
      <c r="O48" s="473">
        <f t="shared" si="1"/>
        <v>24.829850643393605</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24.829850643393605</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24.829850643393605</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24.829850643393605</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24.829850643393605</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24.829850643393605</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24.829850643393605</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24.829850643393605</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24.829850643393605</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24.829850643393605</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24.829850643393605</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24.829850643393605</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24.829850643393605</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24.829850643393605</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24.829850643393605</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24.829850643393605</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24.829850643393605</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24.829850643393605</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24.829850643393605</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24.829850643393605</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24.829850643393605</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24.829850643393605</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24.829850643393605</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24.829850643393605</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24.829850643393605</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24.829850643393605</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24.829850643393605</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24.829850643393605</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24.829850643393605</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24.829850643393605</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24.829850643393605</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24.829850643393605</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24.829850643393605</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24.829850643393605</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24.829850643393605</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24.829850643393605</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24.829850643393605</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24.829850643393605</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24.829850643393605</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24.829850643393605</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24.829850643393605</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24.829850643393605</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24.829850643393605</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24.829850643393605</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24.829850643393605</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24.829850643393605</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24.829850643393605</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24.829850643393605</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24.829850643393605</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24.829850643393605</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24.829850643393605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5" t="s">
        <v>52</v>
      </c>
      <c r="C2" s="855"/>
      <c r="D2" s="855"/>
      <c r="E2" s="855"/>
      <c r="F2" s="855"/>
      <c r="G2" s="855"/>
      <c r="H2" s="855"/>
    </row>
    <row r="3" spans="1:35" ht="13.5" thickBot="1">
      <c r="B3" s="855"/>
      <c r="C3" s="855"/>
      <c r="D3" s="855"/>
      <c r="E3" s="855"/>
      <c r="F3" s="855"/>
      <c r="G3" s="855"/>
      <c r="H3" s="855"/>
    </row>
    <row r="4" spans="1:35" ht="13.5" thickBot="1">
      <c r="P4" s="838" t="s">
        <v>242</v>
      </c>
      <c r="Q4" s="839"/>
      <c r="R4" s="840" t="s">
        <v>243</v>
      </c>
      <c r="S4" s="84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7" t="s">
        <v>47</v>
      </c>
      <c r="E5" s="858"/>
      <c r="F5" s="858"/>
      <c r="G5" s="847"/>
      <c r="H5" s="858" t="s">
        <v>57</v>
      </c>
      <c r="I5" s="858"/>
      <c r="J5" s="858"/>
      <c r="K5" s="847"/>
      <c r="L5" s="135"/>
      <c r="M5" s="135"/>
      <c r="N5" s="135"/>
      <c r="O5" s="163"/>
      <c r="P5" s="207" t="s">
        <v>116</v>
      </c>
      <c r="Q5" s="208" t="s">
        <v>113</v>
      </c>
      <c r="R5" s="207" t="s">
        <v>116</v>
      </c>
      <c r="S5" s="208" t="s">
        <v>113</v>
      </c>
      <c r="V5" s="305" t="s">
        <v>118</v>
      </c>
      <c r="W5" s="306">
        <v>3</v>
      </c>
      <c r="AF5" s="859" t="s">
        <v>126</v>
      </c>
      <c r="AG5" s="859" t="s">
        <v>129</v>
      </c>
      <c r="AH5" s="859" t="s">
        <v>154</v>
      </c>
      <c r="AI5"/>
    </row>
    <row r="6" spans="1:35" ht="13.5" thickBot="1">
      <c r="B6" s="166"/>
      <c r="C6" s="152"/>
      <c r="D6" s="856" t="s">
        <v>45</v>
      </c>
      <c r="E6" s="856"/>
      <c r="F6" s="856" t="s">
        <v>46</v>
      </c>
      <c r="G6" s="856"/>
      <c r="H6" s="856" t="s">
        <v>45</v>
      </c>
      <c r="I6" s="856"/>
      <c r="J6" s="856" t="s">
        <v>99</v>
      </c>
      <c r="K6" s="856"/>
      <c r="L6" s="135"/>
      <c r="M6" s="135"/>
      <c r="N6" s="135"/>
      <c r="O6" s="203" t="s">
        <v>6</v>
      </c>
      <c r="P6" s="162">
        <v>0.38</v>
      </c>
      <c r="Q6" s="164" t="s">
        <v>234</v>
      </c>
      <c r="R6" s="162">
        <v>0.15</v>
      </c>
      <c r="S6" s="164" t="s">
        <v>244</v>
      </c>
      <c r="W6" s="864" t="s">
        <v>125</v>
      </c>
      <c r="X6" s="866"/>
      <c r="Y6" s="866"/>
      <c r="Z6" s="866"/>
      <c r="AA6" s="866"/>
      <c r="AB6" s="866"/>
      <c r="AC6" s="866"/>
      <c r="AD6" s="866"/>
      <c r="AE6" s="866"/>
      <c r="AF6" s="860"/>
      <c r="AG6" s="860"/>
      <c r="AH6" s="860"/>
      <c r="AI6"/>
    </row>
    <row r="7" spans="1:35" ht="26.25" thickBot="1">
      <c r="B7" s="864" t="s">
        <v>133</v>
      </c>
      <c r="C7" s="86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1"/>
      <c r="AG7" s="861"/>
      <c r="AH7" s="861"/>
      <c r="AI7"/>
    </row>
    <row r="8" spans="1:35" ht="25.5" customHeight="1">
      <c r="B8" s="86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6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2" t="s">
        <v>264</v>
      </c>
      <c r="P13" s="853"/>
      <c r="Q13" s="853"/>
      <c r="R13" s="853"/>
      <c r="S13" s="854"/>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44" t="s">
        <v>70</v>
      </c>
      <c r="C26" s="844"/>
      <c r="D26" s="844"/>
      <c r="E26" s="844"/>
      <c r="F26" s="844"/>
      <c r="G26" s="844"/>
      <c r="H26" s="84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45"/>
      <c r="C27" s="845"/>
      <c r="D27" s="845"/>
      <c r="E27" s="845"/>
      <c r="F27" s="845"/>
      <c r="G27" s="845"/>
      <c r="H27" s="845"/>
      <c r="O27" s="84"/>
      <c r="P27" s="402"/>
      <c r="Q27" s="84"/>
      <c r="R27" s="84"/>
      <c r="S27" s="84"/>
      <c r="U27" s="171"/>
      <c r="V27" s="173"/>
    </row>
    <row r="28" spans="1:35">
      <c r="B28" s="845"/>
      <c r="C28" s="845"/>
      <c r="D28" s="845"/>
      <c r="E28" s="845"/>
      <c r="F28" s="845"/>
      <c r="G28" s="845"/>
      <c r="H28" s="845"/>
      <c r="O28" s="84"/>
      <c r="P28" s="402"/>
      <c r="Q28" s="84"/>
      <c r="R28" s="84"/>
      <c r="S28" s="84"/>
      <c r="V28" s="173"/>
    </row>
    <row r="29" spans="1:35">
      <c r="B29" s="845"/>
      <c r="C29" s="845"/>
      <c r="D29" s="845"/>
      <c r="E29" s="845"/>
      <c r="F29" s="845"/>
      <c r="G29" s="845"/>
      <c r="H29" s="84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45"/>
      <c r="C30" s="845"/>
      <c r="D30" s="845"/>
      <c r="E30" s="845"/>
      <c r="F30" s="845"/>
      <c r="G30" s="845"/>
      <c r="H30" s="84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46" t="s">
        <v>75</v>
      </c>
      <c r="D38" s="847"/>
      <c r="O38" s="394"/>
      <c r="P38" s="395"/>
      <c r="Q38" s="396"/>
      <c r="R38" s="84"/>
    </row>
    <row r="39" spans="2:18">
      <c r="B39" s="142">
        <v>35</v>
      </c>
      <c r="C39" s="850">
        <f>LN(2)/B39</f>
        <v>1.980420515885558E-2</v>
      </c>
      <c r="D39" s="851"/>
    </row>
    <row r="40" spans="2:18" ht="27">
      <c r="B40" s="364" t="s">
        <v>76</v>
      </c>
      <c r="C40" s="848" t="s">
        <v>77</v>
      </c>
      <c r="D40" s="849"/>
    </row>
    <row r="41" spans="2:18" ht="13.5" thickBot="1">
      <c r="B41" s="143">
        <v>0.05</v>
      </c>
      <c r="C41" s="842">
        <f>LN(2)/B41</f>
        <v>13.862943611198904</v>
      </c>
      <c r="D41" s="84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3.1496527141200001</v>
      </c>
      <c r="D19" s="416">
        <f>Dry_Matter_Content!C6</f>
        <v>0.59</v>
      </c>
      <c r="E19" s="283">
        <f>MCF!R18</f>
        <v>0.8</v>
      </c>
      <c r="F19" s="130">
        <f>C19*D19*$K$6*DOCF*E19</f>
        <v>0.28246085540228161</v>
      </c>
      <c r="G19" s="65">
        <f t="shared" ref="G19:G50" si="0">F19*$K$12</f>
        <v>0.28246085540228161</v>
      </c>
      <c r="H19" s="65">
        <f t="shared" ref="H19:H50" si="1">F19*(1-$K$12)</f>
        <v>0</v>
      </c>
      <c r="I19" s="65">
        <f t="shared" ref="I19:I50" si="2">G19+I18*$K$10</f>
        <v>0.28246085540228161</v>
      </c>
      <c r="J19" s="65">
        <f t="shared" ref="J19:J50" si="3">I18*(1-$K$10)+H19</f>
        <v>0</v>
      </c>
      <c r="K19" s="66">
        <f>J19*CH4_fraction*conv</f>
        <v>0</v>
      </c>
      <c r="O19" s="95">
        <f>Amnt_Deposited!B14</f>
        <v>2000</v>
      </c>
      <c r="P19" s="98">
        <f>Amnt_Deposited!C14</f>
        <v>3.1496527141200001</v>
      </c>
      <c r="Q19" s="283">
        <f>MCF!R18</f>
        <v>0.8</v>
      </c>
      <c r="R19" s="130">
        <f t="shared" ref="R19:R50" si="4">P19*$W$6*DOCF*Q19</f>
        <v>0.18897916284720001</v>
      </c>
      <c r="S19" s="65">
        <f>R19*$W$12</f>
        <v>0.18897916284720001</v>
      </c>
      <c r="T19" s="65">
        <f>R19*(1-$W$12)</f>
        <v>0</v>
      </c>
      <c r="U19" s="65">
        <f>S19+U18*$W$10</f>
        <v>0.18897916284720001</v>
      </c>
      <c r="V19" s="65">
        <f>U18*(1-$W$10)+T19</f>
        <v>0</v>
      </c>
      <c r="W19" s="66">
        <f>V19*CH4_fraction*conv</f>
        <v>0</v>
      </c>
    </row>
    <row r="20" spans="2:23">
      <c r="B20" s="96">
        <f>Amnt_Deposited!B15</f>
        <v>2001</v>
      </c>
      <c r="C20" s="99">
        <f>Amnt_Deposited!C15</f>
        <v>3.3243801663599997</v>
      </c>
      <c r="D20" s="418">
        <f>Dry_Matter_Content!C7</f>
        <v>0.59</v>
      </c>
      <c r="E20" s="284">
        <f>MCF!R19</f>
        <v>0.8</v>
      </c>
      <c r="F20" s="67">
        <f t="shared" ref="F20:F50" si="5">C20*D20*$K$6*DOCF*E20</f>
        <v>0.29813041331916479</v>
      </c>
      <c r="G20" s="67">
        <f t="shared" si="0"/>
        <v>0.29813041331916479</v>
      </c>
      <c r="H20" s="67">
        <f t="shared" si="1"/>
        <v>0</v>
      </c>
      <c r="I20" s="67">
        <f t="shared" si="2"/>
        <v>0.48746958691568826</v>
      </c>
      <c r="J20" s="67">
        <f t="shared" si="3"/>
        <v>9.3121681805758139E-2</v>
      </c>
      <c r="K20" s="100">
        <f>J20*CH4_fraction*conv</f>
        <v>6.2081121203838754E-2</v>
      </c>
      <c r="M20" s="393"/>
      <c r="O20" s="96">
        <f>Amnt_Deposited!B15</f>
        <v>2001</v>
      </c>
      <c r="P20" s="99">
        <f>Amnt_Deposited!C15</f>
        <v>3.3243801663599997</v>
      </c>
      <c r="Q20" s="284">
        <f>MCF!R19</f>
        <v>0.8</v>
      </c>
      <c r="R20" s="67">
        <f t="shared" si="4"/>
        <v>0.19946280998159999</v>
      </c>
      <c r="S20" s="67">
        <f>R20*$W$12</f>
        <v>0.19946280998159999</v>
      </c>
      <c r="T20" s="67">
        <f>R20*(1-$W$12)</f>
        <v>0</v>
      </c>
      <c r="U20" s="67">
        <f>S20+U19*$W$10</f>
        <v>0.32613933112111171</v>
      </c>
      <c r="V20" s="67">
        <f>U19*(1-$W$10)+T20</f>
        <v>6.2302641707688317E-2</v>
      </c>
      <c r="W20" s="100">
        <f>V20*CH4_fraction*conv</f>
        <v>4.1535094471792211E-2</v>
      </c>
    </row>
    <row r="21" spans="2:23">
      <c r="B21" s="96">
        <f>Amnt_Deposited!B16</f>
        <v>2002</v>
      </c>
      <c r="C21" s="99">
        <f>Amnt_Deposited!C16</f>
        <v>3.5124615583200005</v>
      </c>
      <c r="D21" s="418">
        <f>Dry_Matter_Content!C8</f>
        <v>0.59</v>
      </c>
      <c r="E21" s="284">
        <f>MCF!R20</f>
        <v>0.8</v>
      </c>
      <c r="F21" s="67">
        <f t="shared" si="5"/>
        <v>0.31499755255013767</v>
      </c>
      <c r="G21" s="67">
        <f t="shared" si="0"/>
        <v>0.31499755255013767</v>
      </c>
      <c r="H21" s="67">
        <f t="shared" si="1"/>
        <v>0</v>
      </c>
      <c r="I21" s="67">
        <f t="shared" si="2"/>
        <v>0.64175818849243593</v>
      </c>
      <c r="J21" s="67">
        <f t="shared" si="3"/>
        <v>0.16070895097339002</v>
      </c>
      <c r="K21" s="100">
        <f t="shared" ref="K21:K84" si="6">J21*CH4_fraction*conv</f>
        <v>0.10713930064892668</v>
      </c>
      <c r="O21" s="96">
        <f>Amnt_Deposited!B16</f>
        <v>2002</v>
      </c>
      <c r="P21" s="99">
        <f>Amnt_Deposited!C16</f>
        <v>3.5124615583200005</v>
      </c>
      <c r="Q21" s="284">
        <f>MCF!R20</f>
        <v>0.8</v>
      </c>
      <c r="R21" s="67">
        <f t="shared" si="4"/>
        <v>0.21074769349920006</v>
      </c>
      <c r="S21" s="67">
        <f t="shared" ref="S21:S84" si="7">R21*$W$12</f>
        <v>0.21074769349920006</v>
      </c>
      <c r="T21" s="67">
        <f t="shared" ref="T21:T84" si="8">R21*(1-$W$12)</f>
        <v>0</v>
      </c>
      <c r="U21" s="67">
        <f t="shared" ref="U21:U84" si="9">S21+U20*$W$10</f>
        <v>0.42936542495033625</v>
      </c>
      <c r="V21" s="67">
        <f t="shared" ref="V21:V84" si="10">U20*(1-$W$10)+T21</f>
        <v>0.10752159966997549</v>
      </c>
      <c r="W21" s="100">
        <f t="shared" ref="W21:W84" si="11">V21*CH4_fraction*conv</f>
        <v>7.1681066446650316E-2</v>
      </c>
    </row>
    <row r="22" spans="2:23">
      <c r="B22" s="96">
        <f>Amnt_Deposited!B17</f>
        <v>2003</v>
      </c>
      <c r="C22" s="99">
        <f>Amnt_Deposited!C17</f>
        <v>3.5767642640399999</v>
      </c>
      <c r="D22" s="418">
        <f>Dry_Matter_Content!C9</f>
        <v>0.59</v>
      </c>
      <c r="E22" s="284">
        <f>MCF!R21</f>
        <v>0.8</v>
      </c>
      <c r="F22" s="67">
        <f t="shared" si="5"/>
        <v>0.32076421919910714</v>
      </c>
      <c r="G22" s="67">
        <f t="shared" si="0"/>
        <v>0.32076421919910714</v>
      </c>
      <c r="H22" s="67">
        <f t="shared" si="1"/>
        <v>0</v>
      </c>
      <c r="I22" s="67">
        <f t="shared" si="2"/>
        <v>0.75094759765310526</v>
      </c>
      <c r="J22" s="67">
        <f t="shared" si="3"/>
        <v>0.21157481003843778</v>
      </c>
      <c r="K22" s="100">
        <f t="shared" si="6"/>
        <v>0.14104987335895852</v>
      </c>
      <c r="N22" s="258"/>
      <c r="O22" s="96">
        <f>Amnt_Deposited!B17</f>
        <v>2003</v>
      </c>
      <c r="P22" s="99">
        <f>Amnt_Deposited!C17</f>
        <v>3.5767642640399999</v>
      </c>
      <c r="Q22" s="284">
        <f>MCF!R21</f>
        <v>0.8</v>
      </c>
      <c r="R22" s="67">
        <f t="shared" si="4"/>
        <v>0.2146058558424</v>
      </c>
      <c r="S22" s="67">
        <f t="shared" si="7"/>
        <v>0.2146058558424</v>
      </c>
      <c r="T22" s="67">
        <f t="shared" si="8"/>
        <v>0</v>
      </c>
      <c r="U22" s="67">
        <f t="shared" si="9"/>
        <v>0.50241810726122127</v>
      </c>
      <c r="V22" s="67">
        <f t="shared" si="10"/>
        <v>0.141553173531515</v>
      </c>
      <c r="W22" s="100">
        <f t="shared" si="11"/>
        <v>9.4368782354343331E-2</v>
      </c>
    </row>
    <row r="23" spans="2:23">
      <c r="B23" s="96">
        <f>Amnt_Deposited!B18</f>
        <v>2004</v>
      </c>
      <c r="C23" s="99">
        <f>Amnt_Deposited!C18</f>
        <v>3.7737214673399997</v>
      </c>
      <c r="D23" s="418">
        <f>Dry_Matter_Content!C10</f>
        <v>0.59</v>
      </c>
      <c r="E23" s="284">
        <f>MCF!R22</f>
        <v>0.8</v>
      </c>
      <c r="F23" s="67">
        <f t="shared" si="5"/>
        <v>0.33842734119105122</v>
      </c>
      <c r="G23" s="67">
        <f t="shared" si="0"/>
        <v>0.33842734119105122</v>
      </c>
      <c r="H23" s="67">
        <f t="shared" si="1"/>
        <v>0</v>
      </c>
      <c r="I23" s="67">
        <f t="shared" si="2"/>
        <v>0.84180256942023346</v>
      </c>
      <c r="J23" s="67">
        <f t="shared" si="3"/>
        <v>0.24757236942392299</v>
      </c>
      <c r="K23" s="100">
        <f t="shared" si="6"/>
        <v>0.16504824628261533</v>
      </c>
      <c r="N23" s="258"/>
      <c r="O23" s="96">
        <f>Amnt_Deposited!B18</f>
        <v>2004</v>
      </c>
      <c r="P23" s="99">
        <f>Amnt_Deposited!C18</f>
        <v>3.7737214673399997</v>
      </c>
      <c r="Q23" s="284">
        <f>MCF!R22</f>
        <v>0.8</v>
      </c>
      <c r="R23" s="67">
        <f t="shared" si="4"/>
        <v>0.22642328804039999</v>
      </c>
      <c r="S23" s="67">
        <f t="shared" si="7"/>
        <v>0.22642328804039999</v>
      </c>
      <c r="T23" s="67">
        <f t="shared" si="8"/>
        <v>0</v>
      </c>
      <c r="U23" s="67">
        <f t="shared" si="9"/>
        <v>0.56320421682888056</v>
      </c>
      <c r="V23" s="67">
        <f t="shared" si="10"/>
        <v>0.16563717847274065</v>
      </c>
      <c r="W23" s="100">
        <f t="shared" si="11"/>
        <v>0.11042478564849376</v>
      </c>
    </row>
    <row r="24" spans="2:23">
      <c r="B24" s="96">
        <f>Amnt_Deposited!B19</f>
        <v>2005</v>
      </c>
      <c r="C24" s="99">
        <f>Amnt_Deposited!C19</f>
        <v>4.0451174992799999</v>
      </c>
      <c r="D24" s="418">
        <f>Dry_Matter_Content!C11</f>
        <v>0.59</v>
      </c>
      <c r="E24" s="284">
        <f>MCF!R23</f>
        <v>0.8</v>
      </c>
      <c r="F24" s="67">
        <f t="shared" si="5"/>
        <v>0.36276613733543039</v>
      </c>
      <c r="G24" s="67">
        <f t="shared" si="0"/>
        <v>0.36276613733543039</v>
      </c>
      <c r="H24" s="67">
        <f t="shared" si="1"/>
        <v>0</v>
      </c>
      <c r="I24" s="67">
        <f t="shared" si="2"/>
        <v>0.92704327442212076</v>
      </c>
      <c r="J24" s="67">
        <f t="shared" si="3"/>
        <v>0.2775254323335431</v>
      </c>
      <c r="K24" s="100">
        <f t="shared" si="6"/>
        <v>0.18501695488902872</v>
      </c>
      <c r="N24" s="258"/>
      <c r="O24" s="96">
        <f>Amnt_Deposited!B19</f>
        <v>2005</v>
      </c>
      <c r="P24" s="99">
        <f>Amnt_Deposited!C19</f>
        <v>4.0451174992799999</v>
      </c>
      <c r="Q24" s="284">
        <f>MCF!R23</f>
        <v>0.8</v>
      </c>
      <c r="R24" s="67">
        <f t="shared" si="4"/>
        <v>0.24270704995680001</v>
      </c>
      <c r="S24" s="67">
        <f t="shared" si="7"/>
        <v>0.24270704995680001</v>
      </c>
      <c r="T24" s="67">
        <f t="shared" si="8"/>
        <v>0</v>
      </c>
      <c r="U24" s="67">
        <f t="shared" si="9"/>
        <v>0.62023412650900145</v>
      </c>
      <c r="V24" s="67">
        <f t="shared" si="10"/>
        <v>0.18567714027667914</v>
      </c>
      <c r="W24" s="100">
        <f t="shared" si="11"/>
        <v>0.12378476018445275</v>
      </c>
    </row>
    <row r="25" spans="2:23">
      <c r="B25" s="96">
        <f>Amnt_Deposited!B20</f>
        <v>2006</v>
      </c>
      <c r="C25" s="99">
        <f>Amnt_Deposited!C20</f>
        <v>4.2097356437399993</v>
      </c>
      <c r="D25" s="418">
        <f>Dry_Matter_Content!C12</f>
        <v>0.59</v>
      </c>
      <c r="E25" s="284">
        <f>MCF!R24</f>
        <v>0.8</v>
      </c>
      <c r="F25" s="67">
        <f t="shared" si="5"/>
        <v>0.37752909253060318</v>
      </c>
      <c r="G25" s="67">
        <f t="shared" si="0"/>
        <v>0.37752909253060318</v>
      </c>
      <c r="H25" s="67">
        <f t="shared" si="1"/>
        <v>0</v>
      </c>
      <c r="I25" s="67">
        <f t="shared" si="2"/>
        <v>0.99894478291826894</v>
      </c>
      <c r="J25" s="67">
        <f t="shared" si="3"/>
        <v>0.30562758403445495</v>
      </c>
      <c r="K25" s="100">
        <f t="shared" si="6"/>
        <v>0.20375172268963662</v>
      </c>
      <c r="N25" s="258"/>
      <c r="O25" s="96">
        <f>Amnt_Deposited!B20</f>
        <v>2006</v>
      </c>
      <c r="P25" s="99">
        <f>Amnt_Deposited!C20</f>
        <v>4.2097356437399993</v>
      </c>
      <c r="Q25" s="284">
        <f>MCF!R24</f>
        <v>0.8</v>
      </c>
      <c r="R25" s="67">
        <f t="shared" si="4"/>
        <v>0.25258413862439999</v>
      </c>
      <c r="S25" s="67">
        <f t="shared" si="7"/>
        <v>0.25258413862439999</v>
      </c>
      <c r="T25" s="67">
        <f t="shared" si="8"/>
        <v>0</v>
      </c>
      <c r="U25" s="67">
        <f t="shared" si="9"/>
        <v>0.6683395068587884</v>
      </c>
      <c r="V25" s="67">
        <f t="shared" si="10"/>
        <v>0.20447875827461304</v>
      </c>
      <c r="W25" s="100">
        <f t="shared" si="11"/>
        <v>0.13631917218307535</v>
      </c>
    </row>
    <row r="26" spans="2:23">
      <c r="B26" s="96">
        <f>Amnt_Deposited!B21</f>
        <v>2007</v>
      </c>
      <c r="C26" s="99">
        <f>Amnt_Deposited!C21</f>
        <v>4.3791536982600006</v>
      </c>
      <c r="D26" s="418">
        <f>Dry_Matter_Content!C13</f>
        <v>0.59</v>
      </c>
      <c r="E26" s="284">
        <f>MCF!R25</f>
        <v>0.8</v>
      </c>
      <c r="F26" s="67">
        <f t="shared" si="5"/>
        <v>0.39272250365995687</v>
      </c>
      <c r="G26" s="67">
        <f t="shared" si="0"/>
        <v>0.39272250365995687</v>
      </c>
      <c r="H26" s="67">
        <f t="shared" si="1"/>
        <v>0</v>
      </c>
      <c r="I26" s="67">
        <f t="shared" si="2"/>
        <v>1.0623352165327926</v>
      </c>
      <c r="J26" s="67">
        <f t="shared" si="3"/>
        <v>0.32933207004543319</v>
      </c>
      <c r="K26" s="100">
        <f t="shared" si="6"/>
        <v>0.21955471336362212</v>
      </c>
      <c r="N26" s="258"/>
      <c r="O26" s="96">
        <f>Amnt_Deposited!B21</f>
        <v>2007</v>
      </c>
      <c r="P26" s="99">
        <f>Amnt_Deposited!C21</f>
        <v>4.3791536982600006</v>
      </c>
      <c r="Q26" s="284">
        <f>MCF!R25</f>
        <v>0.8</v>
      </c>
      <c r="R26" s="67">
        <f t="shared" si="4"/>
        <v>0.26274922189560002</v>
      </c>
      <c r="S26" s="67">
        <f t="shared" si="7"/>
        <v>0.26274922189560002</v>
      </c>
      <c r="T26" s="67">
        <f t="shared" si="8"/>
        <v>0</v>
      </c>
      <c r="U26" s="67">
        <f t="shared" si="9"/>
        <v>0.71075059090061954</v>
      </c>
      <c r="V26" s="67">
        <f t="shared" si="10"/>
        <v>0.22033813785376888</v>
      </c>
      <c r="W26" s="100">
        <f t="shared" si="11"/>
        <v>0.14689209190251257</v>
      </c>
    </row>
    <row r="27" spans="2:23">
      <c r="B27" s="96">
        <f>Amnt_Deposited!B22</f>
        <v>2008</v>
      </c>
      <c r="C27" s="99">
        <f>Amnt_Deposited!C22</f>
        <v>4.5530230660199997</v>
      </c>
      <c r="D27" s="418">
        <f>Dry_Matter_Content!C14</f>
        <v>0.59</v>
      </c>
      <c r="E27" s="284">
        <f>MCF!R26</f>
        <v>0.8</v>
      </c>
      <c r="F27" s="67">
        <f t="shared" si="5"/>
        <v>0.4083151085606736</v>
      </c>
      <c r="G27" s="67">
        <f t="shared" si="0"/>
        <v>0.4083151085606736</v>
      </c>
      <c r="H27" s="67">
        <f t="shared" si="1"/>
        <v>0</v>
      </c>
      <c r="I27" s="67">
        <f t="shared" si="2"/>
        <v>1.120419699812216</v>
      </c>
      <c r="J27" s="67">
        <f t="shared" si="3"/>
        <v>0.35023062528125021</v>
      </c>
      <c r="K27" s="100">
        <f t="shared" si="6"/>
        <v>0.23348708352083347</v>
      </c>
      <c r="N27" s="258"/>
      <c r="O27" s="96">
        <f>Amnt_Deposited!B22</f>
        <v>2008</v>
      </c>
      <c r="P27" s="99">
        <f>Amnt_Deposited!C22</f>
        <v>4.5530230660199997</v>
      </c>
      <c r="Q27" s="284">
        <f>MCF!R26</f>
        <v>0.8</v>
      </c>
      <c r="R27" s="67">
        <f t="shared" si="4"/>
        <v>0.27318138396120001</v>
      </c>
      <c r="S27" s="67">
        <f t="shared" si="7"/>
        <v>0.27318138396120001</v>
      </c>
      <c r="T27" s="67">
        <f t="shared" si="8"/>
        <v>0</v>
      </c>
      <c r="U27" s="67">
        <f t="shared" si="9"/>
        <v>0.74961175277356118</v>
      </c>
      <c r="V27" s="67">
        <f t="shared" si="10"/>
        <v>0.2343202220882584</v>
      </c>
      <c r="W27" s="100">
        <f t="shared" si="11"/>
        <v>0.15621348139217225</v>
      </c>
    </row>
    <row r="28" spans="2:23">
      <c r="B28" s="96">
        <f>Amnt_Deposited!B23</f>
        <v>2009</v>
      </c>
      <c r="C28" s="99">
        <f>Amnt_Deposited!C23</f>
        <v>4.7307806290799999</v>
      </c>
      <c r="D28" s="418">
        <f>Dry_Matter_Content!C15</f>
        <v>0.59</v>
      </c>
      <c r="E28" s="284">
        <f>MCF!R27</f>
        <v>0.8</v>
      </c>
      <c r="F28" s="67">
        <f t="shared" si="5"/>
        <v>0.42425640681589444</v>
      </c>
      <c r="G28" s="67">
        <f t="shared" si="0"/>
        <v>0.42425640681589444</v>
      </c>
      <c r="H28" s="67">
        <f t="shared" si="1"/>
        <v>0</v>
      </c>
      <c r="I28" s="67">
        <f t="shared" si="2"/>
        <v>1.1752961915732563</v>
      </c>
      <c r="J28" s="67">
        <f t="shared" si="3"/>
        <v>0.36937991505485418</v>
      </c>
      <c r="K28" s="100">
        <f t="shared" si="6"/>
        <v>0.2462532767032361</v>
      </c>
      <c r="N28" s="258"/>
      <c r="O28" s="96">
        <f>Amnt_Deposited!B23</f>
        <v>2009</v>
      </c>
      <c r="P28" s="99">
        <f>Amnt_Deposited!C23</f>
        <v>4.7307806290799999</v>
      </c>
      <c r="Q28" s="284">
        <f>MCF!R27</f>
        <v>0.8</v>
      </c>
      <c r="R28" s="67">
        <f t="shared" si="4"/>
        <v>0.28384683774479996</v>
      </c>
      <c r="S28" s="67">
        <f t="shared" si="7"/>
        <v>0.28384683774479996</v>
      </c>
      <c r="T28" s="67">
        <f t="shared" si="8"/>
        <v>0</v>
      </c>
      <c r="U28" s="67">
        <f t="shared" si="9"/>
        <v>0.7863266223728298</v>
      </c>
      <c r="V28" s="67">
        <f t="shared" si="10"/>
        <v>0.24713196814553137</v>
      </c>
      <c r="W28" s="100">
        <f t="shared" si="11"/>
        <v>0.16475464543035423</v>
      </c>
    </row>
    <row r="29" spans="2:23">
      <c r="B29" s="96">
        <f>Amnt_Deposited!B24</f>
        <v>2010</v>
      </c>
      <c r="C29" s="99">
        <f>Amnt_Deposited!C24</f>
        <v>4.8020284560599995</v>
      </c>
      <c r="D29" s="418">
        <f>Dry_Matter_Content!C16</f>
        <v>0.59</v>
      </c>
      <c r="E29" s="284">
        <f>MCF!R28</f>
        <v>0.8</v>
      </c>
      <c r="F29" s="67">
        <f t="shared" si="5"/>
        <v>0.43064591193946078</v>
      </c>
      <c r="G29" s="67">
        <f t="shared" si="0"/>
        <v>0.43064591193946078</v>
      </c>
      <c r="H29" s="67">
        <f t="shared" si="1"/>
        <v>0</v>
      </c>
      <c r="I29" s="67">
        <f t="shared" si="2"/>
        <v>1.2184705091803574</v>
      </c>
      <c r="J29" s="67">
        <f t="shared" si="3"/>
        <v>0.38747159433235956</v>
      </c>
      <c r="K29" s="100">
        <f t="shared" si="6"/>
        <v>0.25831439622157304</v>
      </c>
      <c r="O29" s="96">
        <f>Amnt_Deposited!B24</f>
        <v>2010</v>
      </c>
      <c r="P29" s="99">
        <f>Amnt_Deposited!C24</f>
        <v>4.8020284560599995</v>
      </c>
      <c r="Q29" s="284">
        <f>MCF!R28</f>
        <v>0.8</v>
      </c>
      <c r="R29" s="67">
        <f t="shared" si="4"/>
        <v>0.28812170736359993</v>
      </c>
      <c r="S29" s="67">
        <f t="shared" si="7"/>
        <v>0.28812170736359993</v>
      </c>
      <c r="T29" s="67">
        <f t="shared" si="8"/>
        <v>0</v>
      </c>
      <c r="U29" s="67">
        <f t="shared" si="9"/>
        <v>0.81521220507160397</v>
      </c>
      <c r="V29" s="67">
        <f t="shared" si="10"/>
        <v>0.25923612466482576</v>
      </c>
      <c r="W29" s="100">
        <f t="shared" si="11"/>
        <v>0.17282408310988384</v>
      </c>
    </row>
    <row r="30" spans="2:23">
      <c r="B30" s="96">
        <f>Amnt_Deposited!B25</f>
        <v>2011</v>
      </c>
      <c r="C30" s="99">
        <f>Amnt_Deposited!C25</f>
        <v>4.5338551164000007</v>
      </c>
      <c r="D30" s="418">
        <f>Dry_Matter_Content!C17</f>
        <v>0.59</v>
      </c>
      <c r="E30" s="284">
        <f>MCF!R29</f>
        <v>0.8</v>
      </c>
      <c r="F30" s="67">
        <f t="shared" si="5"/>
        <v>0.40659612683875201</v>
      </c>
      <c r="G30" s="67">
        <f t="shared" si="0"/>
        <v>0.40659612683875201</v>
      </c>
      <c r="H30" s="67">
        <f t="shared" si="1"/>
        <v>0</v>
      </c>
      <c r="I30" s="67">
        <f t="shared" si="2"/>
        <v>1.223361334645598</v>
      </c>
      <c r="J30" s="67">
        <f t="shared" si="3"/>
        <v>0.40170530137351135</v>
      </c>
      <c r="K30" s="100">
        <f t="shared" si="6"/>
        <v>0.26780353424900755</v>
      </c>
      <c r="O30" s="96">
        <f>Amnt_Deposited!B25</f>
        <v>2011</v>
      </c>
      <c r="P30" s="99">
        <f>Amnt_Deposited!C25</f>
        <v>4.5338551164000007</v>
      </c>
      <c r="Q30" s="284">
        <f>MCF!R29</f>
        <v>0.8</v>
      </c>
      <c r="R30" s="67">
        <f t="shared" si="4"/>
        <v>0.27203130698400008</v>
      </c>
      <c r="S30" s="67">
        <f t="shared" si="7"/>
        <v>0.27203130698400008</v>
      </c>
      <c r="T30" s="67">
        <f t="shared" si="8"/>
        <v>0</v>
      </c>
      <c r="U30" s="67">
        <f t="shared" si="9"/>
        <v>0.81848438981641269</v>
      </c>
      <c r="V30" s="67">
        <f t="shared" si="10"/>
        <v>0.26875912223919135</v>
      </c>
      <c r="W30" s="100">
        <f t="shared" si="11"/>
        <v>0.17917274815946088</v>
      </c>
    </row>
    <row r="31" spans="2:23">
      <c r="B31" s="96">
        <f>Amnt_Deposited!B26</f>
        <v>2012</v>
      </c>
      <c r="C31" s="99">
        <f>Amnt_Deposited!C26</f>
        <v>4.6701247824000003</v>
      </c>
      <c r="D31" s="418">
        <f>Dry_Matter_Content!C18</f>
        <v>0.59</v>
      </c>
      <c r="E31" s="284">
        <f>MCF!R30</f>
        <v>0.8</v>
      </c>
      <c r="F31" s="67">
        <f t="shared" si="5"/>
        <v>0.41881679048563208</v>
      </c>
      <c r="G31" s="67">
        <f t="shared" si="0"/>
        <v>0.41881679048563208</v>
      </c>
      <c r="H31" s="67">
        <f t="shared" si="1"/>
        <v>0</v>
      </c>
      <c r="I31" s="67">
        <f t="shared" si="2"/>
        <v>1.2388604166434904</v>
      </c>
      <c r="J31" s="67">
        <f t="shared" si="3"/>
        <v>0.40331770848773957</v>
      </c>
      <c r="K31" s="100">
        <f t="shared" si="6"/>
        <v>0.26887847232515971</v>
      </c>
      <c r="O31" s="96">
        <f>Amnt_Deposited!B26</f>
        <v>2012</v>
      </c>
      <c r="P31" s="99">
        <f>Amnt_Deposited!C26</f>
        <v>4.6701247824000003</v>
      </c>
      <c r="Q31" s="284">
        <f>MCF!R30</f>
        <v>0.8</v>
      </c>
      <c r="R31" s="67">
        <f t="shared" si="4"/>
        <v>0.28020748694400005</v>
      </c>
      <c r="S31" s="67">
        <f t="shared" si="7"/>
        <v>0.28020748694400005</v>
      </c>
      <c r="T31" s="67">
        <f t="shared" si="8"/>
        <v>0</v>
      </c>
      <c r="U31" s="67">
        <f t="shared" si="9"/>
        <v>0.82885398080519002</v>
      </c>
      <c r="V31" s="67">
        <f t="shared" si="10"/>
        <v>0.26983789595522278</v>
      </c>
      <c r="W31" s="100">
        <f t="shared" si="11"/>
        <v>0.17989193063681519</v>
      </c>
    </row>
    <row r="32" spans="2:23">
      <c r="B32" s="96">
        <f>Amnt_Deposited!B27</f>
        <v>2013</v>
      </c>
      <c r="C32" s="99">
        <f>Amnt_Deposited!C27</f>
        <v>4.8118062312000003</v>
      </c>
      <c r="D32" s="418">
        <f>Dry_Matter_Content!C19</f>
        <v>0.59</v>
      </c>
      <c r="E32" s="284">
        <f>MCF!R31</f>
        <v>0.8</v>
      </c>
      <c r="F32" s="67">
        <f t="shared" si="5"/>
        <v>0.43152278281401601</v>
      </c>
      <c r="G32" s="67">
        <f t="shared" si="0"/>
        <v>0.43152278281401601</v>
      </c>
      <c r="H32" s="67">
        <f t="shared" si="1"/>
        <v>0</v>
      </c>
      <c r="I32" s="67">
        <f t="shared" si="2"/>
        <v>1.261955754330212</v>
      </c>
      <c r="J32" s="67">
        <f t="shared" si="3"/>
        <v>0.40842744512729462</v>
      </c>
      <c r="K32" s="100">
        <f t="shared" si="6"/>
        <v>0.27228496341819641</v>
      </c>
      <c r="O32" s="96">
        <f>Amnt_Deposited!B27</f>
        <v>2013</v>
      </c>
      <c r="P32" s="99">
        <f>Amnt_Deposited!C27</f>
        <v>4.8118062312000003</v>
      </c>
      <c r="Q32" s="284">
        <f>MCF!R31</f>
        <v>0.8</v>
      </c>
      <c r="R32" s="67">
        <f t="shared" si="4"/>
        <v>0.28870837387199999</v>
      </c>
      <c r="S32" s="67">
        <f t="shared" si="7"/>
        <v>0.28870837387199999</v>
      </c>
      <c r="T32" s="67">
        <f t="shared" si="8"/>
        <v>0</v>
      </c>
      <c r="U32" s="67">
        <f t="shared" si="9"/>
        <v>0.84430581244215785</v>
      </c>
      <c r="V32" s="67">
        <f t="shared" si="10"/>
        <v>0.27325654223503215</v>
      </c>
      <c r="W32" s="100">
        <f t="shared" si="11"/>
        <v>0.18217102815668809</v>
      </c>
    </row>
    <row r="33" spans="2:23">
      <c r="B33" s="96">
        <f>Amnt_Deposited!B28</f>
        <v>2014</v>
      </c>
      <c r="C33" s="99">
        <f>Amnt_Deposited!C28</f>
        <v>4.9540483601999998</v>
      </c>
      <c r="D33" s="418">
        <f>Dry_Matter_Content!C20</f>
        <v>0.59</v>
      </c>
      <c r="E33" s="284">
        <f>MCF!R32</f>
        <v>0.8</v>
      </c>
      <c r="F33" s="67">
        <f t="shared" si="5"/>
        <v>0.44427905694273601</v>
      </c>
      <c r="G33" s="67">
        <f t="shared" si="0"/>
        <v>0.44427905694273601</v>
      </c>
      <c r="H33" s="67">
        <f t="shared" si="1"/>
        <v>0</v>
      </c>
      <c r="I33" s="67">
        <f t="shared" si="2"/>
        <v>1.2901932962803038</v>
      </c>
      <c r="J33" s="67">
        <f t="shared" si="3"/>
        <v>0.41604151499264436</v>
      </c>
      <c r="K33" s="100">
        <f t="shared" si="6"/>
        <v>0.27736100999509622</v>
      </c>
      <c r="O33" s="96">
        <f>Amnt_Deposited!B28</f>
        <v>2014</v>
      </c>
      <c r="P33" s="99">
        <f>Amnt_Deposited!C28</f>
        <v>4.9540483601999998</v>
      </c>
      <c r="Q33" s="284">
        <f>MCF!R32</f>
        <v>0.8</v>
      </c>
      <c r="R33" s="67">
        <f t="shared" si="4"/>
        <v>0.29724290161200001</v>
      </c>
      <c r="S33" s="67">
        <f t="shared" si="7"/>
        <v>0.29724290161200001</v>
      </c>
      <c r="T33" s="67">
        <f t="shared" si="8"/>
        <v>0</v>
      </c>
      <c r="U33" s="67">
        <f t="shared" si="9"/>
        <v>0.86319801267638518</v>
      </c>
      <c r="V33" s="67">
        <f t="shared" si="10"/>
        <v>0.27835070137777274</v>
      </c>
      <c r="W33" s="100">
        <f t="shared" si="11"/>
        <v>0.18556713425184848</v>
      </c>
    </row>
    <row r="34" spans="2:23">
      <c r="B34" s="96">
        <f>Amnt_Deposited!B29</f>
        <v>2015</v>
      </c>
      <c r="C34" s="99">
        <f>Amnt_Deposited!C29</f>
        <v>5.0922682182000001</v>
      </c>
      <c r="D34" s="418">
        <f>Dry_Matter_Content!C21</f>
        <v>0.59</v>
      </c>
      <c r="E34" s="284">
        <f>MCF!R33</f>
        <v>0.8</v>
      </c>
      <c r="F34" s="67">
        <f t="shared" si="5"/>
        <v>0.45667461380817598</v>
      </c>
      <c r="G34" s="67">
        <f t="shared" si="0"/>
        <v>0.45667461380817598</v>
      </c>
      <c r="H34" s="67">
        <f t="shared" si="1"/>
        <v>0</v>
      </c>
      <c r="I34" s="67">
        <f t="shared" si="2"/>
        <v>1.3215170435656625</v>
      </c>
      <c r="J34" s="67">
        <f t="shared" si="3"/>
        <v>0.42535086652281728</v>
      </c>
      <c r="K34" s="100">
        <f t="shared" si="6"/>
        <v>0.28356724434854486</v>
      </c>
      <c r="O34" s="96">
        <f>Amnt_Deposited!B29</f>
        <v>2015</v>
      </c>
      <c r="P34" s="99">
        <f>Amnt_Deposited!C29</f>
        <v>5.0922682182000001</v>
      </c>
      <c r="Q34" s="284">
        <f>MCF!R33</f>
        <v>0.8</v>
      </c>
      <c r="R34" s="67">
        <f t="shared" si="4"/>
        <v>0.30553609309200003</v>
      </c>
      <c r="S34" s="67">
        <f t="shared" si="7"/>
        <v>0.30553609309200003</v>
      </c>
      <c r="T34" s="67">
        <f t="shared" si="8"/>
        <v>0</v>
      </c>
      <c r="U34" s="67">
        <f t="shared" si="9"/>
        <v>0.88415502468710694</v>
      </c>
      <c r="V34" s="67">
        <f t="shared" si="10"/>
        <v>0.28457908108127827</v>
      </c>
      <c r="W34" s="100">
        <f t="shared" si="11"/>
        <v>0.18971938738751884</v>
      </c>
    </row>
    <row r="35" spans="2:23">
      <c r="B35" s="96">
        <f>Amnt_Deposited!B30</f>
        <v>2016</v>
      </c>
      <c r="C35" s="99">
        <f>Amnt_Deposited!C30</f>
        <v>5.2369480872000018</v>
      </c>
      <c r="D35" s="418">
        <f>Dry_Matter_Content!C22</f>
        <v>0.59</v>
      </c>
      <c r="E35" s="284">
        <f>MCF!R34</f>
        <v>0.8</v>
      </c>
      <c r="F35" s="67">
        <f t="shared" si="5"/>
        <v>0.46964950446009618</v>
      </c>
      <c r="G35" s="67">
        <f t="shared" si="0"/>
        <v>0.46964950446009618</v>
      </c>
      <c r="H35" s="67">
        <f t="shared" si="1"/>
        <v>0</v>
      </c>
      <c r="I35" s="67">
        <f t="shared" si="2"/>
        <v>1.355488869939913</v>
      </c>
      <c r="J35" s="67">
        <f t="shared" si="3"/>
        <v>0.43567767808584562</v>
      </c>
      <c r="K35" s="100">
        <f t="shared" si="6"/>
        <v>0.29045178539056371</v>
      </c>
      <c r="O35" s="96">
        <f>Amnt_Deposited!B30</f>
        <v>2016</v>
      </c>
      <c r="P35" s="99">
        <f>Amnt_Deposited!C30</f>
        <v>5.2369480872000018</v>
      </c>
      <c r="Q35" s="284">
        <f>MCF!R34</f>
        <v>0.8</v>
      </c>
      <c r="R35" s="67">
        <f t="shared" si="4"/>
        <v>0.31421688523200014</v>
      </c>
      <c r="S35" s="67">
        <f t="shared" si="7"/>
        <v>0.31421688523200014</v>
      </c>
      <c r="T35" s="67">
        <f t="shared" si="8"/>
        <v>0</v>
      </c>
      <c r="U35" s="67">
        <f t="shared" si="9"/>
        <v>0.90688372208290358</v>
      </c>
      <c r="V35" s="67">
        <f t="shared" si="10"/>
        <v>0.29148818783620362</v>
      </c>
      <c r="W35" s="100">
        <f t="shared" si="11"/>
        <v>0.19432545855746908</v>
      </c>
    </row>
    <row r="36" spans="2:23">
      <c r="B36" s="96">
        <f>Amnt_Deposited!B31</f>
        <v>2017</v>
      </c>
      <c r="C36" s="99">
        <f>Amnt_Deposited!C31</f>
        <v>5.4190765180800016</v>
      </c>
      <c r="D36" s="418">
        <f>Dry_Matter_Content!C23</f>
        <v>0.59</v>
      </c>
      <c r="E36" s="284">
        <f>MCF!R35</f>
        <v>0.8</v>
      </c>
      <c r="F36" s="67">
        <f t="shared" si="5"/>
        <v>0.48598278214141449</v>
      </c>
      <c r="G36" s="67">
        <f t="shared" si="0"/>
        <v>0.48598278214141449</v>
      </c>
      <c r="H36" s="67">
        <f t="shared" si="1"/>
        <v>0</v>
      </c>
      <c r="I36" s="67">
        <f t="shared" si="2"/>
        <v>1.3945941438403338</v>
      </c>
      <c r="J36" s="67">
        <f t="shared" si="3"/>
        <v>0.44687750824099381</v>
      </c>
      <c r="K36" s="100">
        <f t="shared" si="6"/>
        <v>0.29791833882732921</v>
      </c>
      <c r="O36" s="96">
        <f>Amnt_Deposited!B31</f>
        <v>2017</v>
      </c>
      <c r="P36" s="99">
        <f>Amnt_Deposited!C31</f>
        <v>5.4190765180800016</v>
      </c>
      <c r="Q36" s="284">
        <f>MCF!R35</f>
        <v>0.8</v>
      </c>
      <c r="R36" s="67">
        <f t="shared" si="4"/>
        <v>0.32514459108480009</v>
      </c>
      <c r="S36" s="67">
        <f t="shared" si="7"/>
        <v>0.32514459108480009</v>
      </c>
      <c r="T36" s="67">
        <f t="shared" si="8"/>
        <v>0</v>
      </c>
      <c r="U36" s="67">
        <f t="shared" si="9"/>
        <v>0.93304692942038392</v>
      </c>
      <c r="V36" s="67">
        <f t="shared" si="10"/>
        <v>0.2989813837473197</v>
      </c>
      <c r="W36" s="100">
        <f t="shared" si="11"/>
        <v>0.19932092249821312</v>
      </c>
    </row>
    <row r="37" spans="2:23">
      <c r="B37" s="96">
        <f>Amnt_Deposited!B32</f>
        <v>2018</v>
      </c>
      <c r="C37" s="99">
        <f>Amnt_Deposited!C32</f>
        <v>5.5678737299399996</v>
      </c>
      <c r="D37" s="418">
        <f>Dry_Matter_Content!C24</f>
        <v>0.59</v>
      </c>
      <c r="E37" s="284">
        <f>MCF!R36</f>
        <v>0.8</v>
      </c>
      <c r="F37" s="67">
        <f t="shared" si="5"/>
        <v>0.4993269161010192</v>
      </c>
      <c r="G37" s="67">
        <f t="shared" si="0"/>
        <v>0.4993269161010192</v>
      </c>
      <c r="H37" s="67">
        <f t="shared" si="1"/>
        <v>0</v>
      </c>
      <c r="I37" s="67">
        <f t="shared" si="2"/>
        <v>1.4341513268011048</v>
      </c>
      <c r="J37" s="67">
        <f t="shared" si="3"/>
        <v>0.45976973314024822</v>
      </c>
      <c r="K37" s="100">
        <f t="shared" si="6"/>
        <v>0.30651315542683211</v>
      </c>
      <c r="O37" s="96">
        <f>Amnt_Deposited!B32</f>
        <v>2018</v>
      </c>
      <c r="P37" s="99">
        <f>Amnt_Deposited!C32</f>
        <v>5.5678737299399996</v>
      </c>
      <c r="Q37" s="284">
        <f>MCF!R36</f>
        <v>0.8</v>
      </c>
      <c r="R37" s="67">
        <f t="shared" si="4"/>
        <v>0.33407242379640001</v>
      </c>
      <c r="S37" s="67">
        <f t="shared" si="7"/>
        <v>0.33407242379640001</v>
      </c>
      <c r="T37" s="67">
        <f t="shared" si="8"/>
        <v>0</v>
      </c>
      <c r="U37" s="67">
        <f t="shared" si="9"/>
        <v>0.95951248447888371</v>
      </c>
      <c r="V37" s="67">
        <f t="shared" si="10"/>
        <v>0.30760686873790027</v>
      </c>
      <c r="W37" s="100">
        <f t="shared" si="11"/>
        <v>0.20507124582526684</v>
      </c>
    </row>
    <row r="38" spans="2:23">
      <c r="B38" s="96">
        <f>Amnt_Deposited!B33</f>
        <v>2019</v>
      </c>
      <c r="C38" s="99">
        <f>Amnt_Deposited!C33</f>
        <v>5.7166709418000003</v>
      </c>
      <c r="D38" s="418">
        <f>Dry_Matter_Content!C25</f>
        <v>0.59</v>
      </c>
      <c r="E38" s="284">
        <f>MCF!R37</f>
        <v>0.8</v>
      </c>
      <c r="F38" s="67">
        <f t="shared" si="5"/>
        <v>0.51267105006062408</v>
      </c>
      <c r="G38" s="67">
        <f t="shared" si="0"/>
        <v>0.51267105006062408</v>
      </c>
      <c r="H38" s="67">
        <f t="shared" si="1"/>
        <v>0</v>
      </c>
      <c r="I38" s="67">
        <f t="shared" si="2"/>
        <v>1.474011433464014</v>
      </c>
      <c r="J38" s="67">
        <f t="shared" si="3"/>
        <v>0.47281094339771501</v>
      </c>
      <c r="K38" s="100">
        <f t="shared" si="6"/>
        <v>0.31520729559847666</v>
      </c>
      <c r="O38" s="96">
        <f>Amnt_Deposited!B33</f>
        <v>2019</v>
      </c>
      <c r="P38" s="99">
        <f>Amnt_Deposited!C33</f>
        <v>5.7166709418000003</v>
      </c>
      <c r="Q38" s="284">
        <f>MCF!R37</f>
        <v>0.8</v>
      </c>
      <c r="R38" s="67">
        <f t="shared" si="4"/>
        <v>0.34300025650800003</v>
      </c>
      <c r="S38" s="67">
        <f t="shared" si="7"/>
        <v>0.34300025650800003</v>
      </c>
      <c r="T38" s="67">
        <f t="shared" si="8"/>
        <v>0</v>
      </c>
      <c r="U38" s="67">
        <f t="shared" si="9"/>
        <v>0.98618070927565604</v>
      </c>
      <c r="V38" s="67">
        <f t="shared" si="10"/>
        <v>0.3163320317112277</v>
      </c>
      <c r="W38" s="100">
        <f t="shared" si="11"/>
        <v>0.21088802114081845</v>
      </c>
    </row>
    <row r="39" spans="2:23">
      <c r="B39" s="96">
        <f>Amnt_Deposited!B34</f>
        <v>2020</v>
      </c>
      <c r="C39" s="99">
        <f>Amnt_Deposited!C34</f>
        <v>5.8654681536600002</v>
      </c>
      <c r="D39" s="418">
        <f>Dry_Matter_Content!C26</f>
        <v>0.59</v>
      </c>
      <c r="E39" s="284">
        <f>MCF!R38</f>
        <v>0.8</v>
      </c>
      <c r="F39" s="67">
        <f t="shared" si="5"/>
        <v>0.52601518402022884</v>
      </c>
      <c r="G39" s="67">
        <f t="shared" si="0"/>
        <v>0.52601518402022884</v>
      </c>
      <c r="H39" s="67">
        <f t="shared" si="1"/>
        <v>0</v>
      </c>
      <c r="I39" s="67">
        <f t="shared" si="2"/>
        <v>1.5140745959568855</v>
      </c>
      <c r="J39" s="67">
        <f t="shared" si="3"/>
        <v>0.48595202152735739</v>
      </c>
      <c r="K39" s="100">
        <f t="shared" si="6"/>
        <v>0.32396801435157158</v>
      </c>
      <c r="O39" s="96">
        <f>Amnt_Deposited!B34</f>
        <v>2020</v>
      </c>
      <c r="P39" s="99">
        <f>Amnt_Deposited!C34</f>
        <v>5.8654681536600002</v>
      </c>
      <c r="Q39" s="284">
        <f>MCF!R38</f>
        <v>0.8</v>
      </c>
      <c r="R39" s="67">
        <f t="shared" si="4"/>
        <v>0.3519280892196</v>
      </c>
      <c r="S39" s="67">
        <f t="shared" si="7"/>
        <v>0.3519280892196</v>
      </c>
      <c r="T39" s="67">
        <f t="shared" si="8"/>
        <v>0</v>
      </c>
      <c r="U39" s="67">
        <f t="shared" si="9"/>
        <v>1.0129847876607172</v>
      </c>
      <c r="V39" s="67">
        <f t="shared" si="10"/>
        <v>0.32512401083453885</v>
      </c>
      <c r="W39" s="100">
        <f t="shared" si="11"/>
        <v>0.21674934055635922</v>
      </c>
    </row>
    <row r="40" spans="2:23">
      <c r="B40" s="96">
        <f>Amnt_Deposited!B35</f>
        <v>2021</v>
      </c>
      <c r="C40" s="99">
        <f>Amnt_Deposited!C35</f>
        <v>6.01426536552</v>
      </c>
      <c r="D40" s="418">
        <f>Dry_Matter_Content!C27</f>
        <v>0.59</v>
      </c>
      <c r="E40" s="284">
        <f>MCF!R39</f>
        <v>0.8</v>
      </c>
      <c r="F40" s="67">
        <f t="shared" si="5"/>
        <v>0.53935931797983361</v>
      </c>
      <c r="G40" s="67">
        <f t="shared" si="0"/>
        <v>0.53935931797983361</v>
      </c>
      <c r="H40" s="67">
        <f t="shared" si="1"/>
        <v>0</v>
      </c>
      <c r="I40" s="67">
        <f t="shared" si="2"/>
        <v>1.554273870843045</v>
      </c>
      <c r="J40" s="67">
        <f t="shared" si="3"/>
        <v>0.49916004309367401</v>
      </c>
      <c r="K40" s="100">
        <f t="shared" si="6"/>
        <v>0.33277336206244934</v>
      </c>
      <c r="O40" s="96">
        <f>Amnt_Deposited!B35</f>
        <v>2021</v>
      </c>
      <c r="P40" s="99">
        <f>Amnt_Deposited!C35</f>
        <v>6.01426536552</v>
      </c>
      <c r="Q40" s="284">
        <f>MCF!R39</f>
        <v>0.8</v>
      </c>
      <c r="R40" s="67">
        <f t="shared" si="4"/>
        <v>0.36085592193119997</v>
      </c>
      <c r="S40" s="67">
        <f t="shared" si="7"/>
        <v>0.36085592193119997</v>
      </c>
      <c r="T40" s="67">
        <f t="shared" si="8"/>
        <v>0</v>
      </c>
      <c r="U40" s="67">
        <f t="shared" si="9"/>
        <v>1.0398799314293341</v>
      </c>
      <c r="V40" s="67">
        <f t="shared" si="10"/>
        <v>0.33396077816258291</v>
      </c>
      <c r="W40" s="100">
        <f t="shared" si="11"/>
        <v>0.22264051877505525</v>
      </c>
    </row>
    <row r="41" spans="2:23">
      <c r="B41" s="96">
        <f>Amnt_Deposited!B36</f>
        <v>2022</v>
      </c>
      <c r="C41" s="99">
        <f>Amnt_Deposited!C36</f>
        <v>6.163062577379999</v>
      </c>
      <c r="D41" s="418">
        <f>Dry_Matter_Content!C28</f>
        <v>0.59</v>
      </c>
      <c r="E41" s="284">
        <f>MCF!R40</f>
        <v>0.8</v>
      </c>
      <c r="F41" s="67">
        <f t="shared" si="5"/>
        <v>0.55270345193943837</v>
      </c>
      <c r="G41" s="67">
        <f t="shared" si="0"/>
        <v>0.55270345193943837</v>
      </c>
      <c r="H41" s="67">
        <f t="shared" si="1"/>
        <v>0</v>
      </c>
      <c r="I41" s="67">
        <f t="shared" si="2"/>
        <v>1.5945643845949395</v>
      </c>
      <c r="J41" s="67">
        <f t="shared" si="3"/>
        <v>0.51241293818754374</v>
      </c>
      <c r="K41" s="100">
        <f t="shared" si="6"/>
        <v>0.34160862545836246</v>
      </c>
      <c r="O41" s="96">
        <f>Amnt_Deposited!B36</f>
        <v>2022</v>
      </c>
      <c r="P41" s="99">
        <f>Amnt_Deposited!C36</f>
        <v>6.163062577379999</v>
      </c>
      <c r="Q41" s="284">
        <f>MCF!R40</f>
        <v>0.8</v>
      </c>
      <c r="R41" s="67">
        <f t="shared" si="4"/>
        <v>0.36978375464279994</v>
      </c>
      <c r="S41" s="67">
        <f t="shared" si="7"/>
        <v>0.36978375464279994</v>
      </c>
      <c r="T41" s="67">
        <f t="shared" si="8"/>
        <v>0</v>
      </c>
      <c r="U41" s="67">
        <f t="shared" si="9"/>
        <v>1.0668361181500488</v>
      </c>
      <c r="V41" s="67">
        <f t="shared" si="10"/>
        <v>0.34282756792208541</v>
      </c>
      <c r="W41" s="100">
        <f t="shared" si="11"/>
        <v>0.22855171194805693</v>
      </c>
    </row>
    <row r="42" spans="2:23">
      <c r="B42" s="96">
        <f>Amnt_Deposited!B37</f>
        <v>2023</v>
      </c>
      <c r="C42" s="99">
        <f>Amnt_Deposited!C37</f>
        <v>6.3118597892399997</v>
      </c>
      <c r="D42" s="418">
        <f>Dry_Matter_Content!C29</f>
        <v>0.59</v>
      </c>
      <c r="E42" s="284">
        <f>MCF!R41</f>
        <v>0.8</v>
      </c>
      <c r="F42" s="67">
        <f t="shared" si="5"/>
        <v>0.56604758589904314</v>
      </c>
      <c r="G42" s="67">
        <f t="shared" si="0"/>
        <v>0.56604758589904314</v>
      </c>
      <c r="H42" s="67">
        <f t="shared" si="1"/>
        <v>0</v>
      </c>
      <c r="I42" s="67">
        <f t="shared" si="2"/>
        <v>1.6349160575875139</v>
      </c>
      <c r="J42" s="67">
        <f t="shared" si="3"/>
        <v>0.52569591290646878</v>
      </c>
      <c r="K42" s="100">
        <f t="shared" si="6"/>
        <v>0.35046394193764585</v>
      </c>
      <c r="O42" s="96">
        <f>Amnt_Deposited!B37</f>
        <v>2023</v>
      </c>
      <c r="P42" s="99">
        <f>Amnt_Deposited!C37</f>
        <v>6.3118597892399997</v>
      </c>
      <c r="Q42" s="284">
        <f>MCF!R41</f>
        <v>0.8</v>
      </c>
      <c r="R42" s="67">
        <f t="shared" si="4"/>
        <v>0.37871158735440003</v>
      </c>
      <c r="S42" s="67">
        <f t="shared" si="7"/>
        <v>0.37871158735440003</v>
      </c>
      <c r="T42" s="67">
        <f t="shared" si="8"/>
        <v>0</v>
      </c>
      <c r="U42" s="67">
        <f t="shared" si="9"/>
        <v>1.0938332231852235</v>
      </c>
      <c r="V42" s="67">
        <f t="shared" si="10"/>
        <v>0.35171448231922531</v>
      </c>
      <c r="W42" s="100">
        <f t="shared" si="11"/>
        <v>0.2344763215461502</v>
      </c>
    </row>
    <row r="43" spans="2:23">
      <c r="B43" s="96">
        <f>Amnt_Deposited!B38</f>
        <v>2024</v>
      </c>
      <c r="C43" s="99">
        <f>Amnt_Deposited!C38</f>
        <v>6.4606570011000013</v>
      </c>
      <c r="D43" s="418">
        <f>Dry_Matter_Content!C30</f>
        <v>0.59</v>
      </c>
      <c r="E43" s="284">
        <f>MCF!R42</f>
        <v>0.8</v>
      </c>
      <c r="F43" s="67">
        <f t="shared" si="5"/>
        <v>0.57939171985864812</v>
      </c>
      <c r="G43" s="67">
        <f t="shared" si="0"/>
        <v>0.57939171985864812</v>
      </c>
      <c r="H43" s="67">
        <f t="shared" si="1"/>
        <v>0</v>
      </c>
      <c r="I43" s="67">
        <f t="shared" si="2"/>
        <v>1.6753087268451163</v>
      </c>
      <c r="J43" s="67">
        <f t="shared" si="3"/>
        <v>0.53899905060104558</v>
      </c>
      <c r="K43" s="100">
        <f t="shared" si="6"/>
        <v>0.35933270040069704</v>
      </c>
      <c r="O43" s="96">
        <f>Amnt_Deposited!B38</f>
        <v>2024</v>
      </c>
      <c r="P43" s="99">
        <f>Amnt_Deposited!C38</f>
        <v>6.4606570011000013</v>
      </c>
      <c r="Q43" s="284">
        <f>MCF!R42</f>
        <v>0.8</v>
      </c>
      <c r="R43" s="67">
        <f t="shared" si="4"/>
        <v>0.38763942006600005</v>
      </c>
      <c r="S43" s="67">
        <f t="shared" si="7"/>
        <v>0.38763942006600005</v>
      </c>
      <c r="T43" s="67">
        <f t="shared" si="8"/>
        <v>0</v>
      </c>
      <c r="U43" s="67">
        <f t="shared" si="9"/>
        <v>1.120857756586831</v>
      </c>
      <c r="V43" s="67">
        <f t="shared" si="10"/>
        <v>0.36061488666439273</v>
      </c>
      <c r="W43" s="100">
        <f t="shared" si="11"/>
        <v>0.24040992444292847</v>
      </c>
    </row>
    <row r="44" spans="2:23">
      <c r="B44" s="96">
        <f>Amnt_Deposited!B39</f>
        <v>2025</v>
      </c>
      <c r="C44" s="99">
        <f>Amnt_Deposited!C39</f>
        <v>6.609454212960002</v>
      </c>
      <c r="D44" s="418">
        <f>Dry_Matter_Content!C31</f>
        <v>0.59</v>
      </c>
      <c r="E44" s="284">
        <f>MCF!R43</f>
        <v>0.8</v>
      </c>
      <c r="F44" s="67">
        <f t="shared" si="5"/>
        <v>0.592735853818253</v>
      </c>
      <c r="G44" s="67">
        <f t="shared" si="0"/>
        <v>0.592735853818253</v>
      </c>
      <c r="H44" s="67">
        <f t="shared" si="1"/>
        <v>0</v>
      </c>
      <c r="I44" s="67">
        <f t="shared" si="2"/>
        <v>1.7157288767209797</v>
      </c>
      <c r="J44" s="67">
        <f t="shared" si="3"/>
        <v>0.5523157039423896</v>
      </c>
      <c r="K44" s="100">
        <f t="shared" si="6"/>
        <v>0.3682104692949264</v>
      </c>
      <c r="O44" s="96">
        <f>Amnt_Deposited!B39</f>
        <v>2025</v>
      </c>
      <c r="P44" s="99">
        <f>Amnt_Deposited!C39</f>
        <v>6.609454212960002</v>
      </c>
      <c r="Q44" s="284">
        <f>MCF!R43</f>
        <v>0.8</v>
      </c>
      <c r="R44" s="67">
        <f t="shared" si="4"/>
        <v>0.39656725277760013</v>
      </c>
      <c r="S44" s="67">
        <f t="shared" si="7"/>
        <v>0.39656725277760013</v>
      </c>
      <c r="T44" s="67">
        <f t="shared" si="8"/>
        <v>0</v>
      </c>
      <c r="U44" s="67">
        <f t="shared" si="9"/>
        <v>1.147900675772288</v>
      </c>
      <c r="V44" s="67">
        <f t="shared" si="10"/>
        <v>0.36952433359214298</v>
      </c>
      <c r="W44" s="100">
        <f t="shared" si="11"/>
        <v>0.2463495557280953</v>
      </c>
    </row>
    <row r="45" spans="2:23">
      <c r="B45" s="96">
        <f>Amnt_Deposited!B40</f>
        <v>2026</v>
      </c>
      <c r="C45" s="99">
        <f>Amnt_Deposited!C40</f>
        <v>6.7582514248200001</v>
      </c>
      <c r="D45" s="418">
        <f>Dry_Matter_Content!C32</f>
        <v>0.59</v>
      </c>
      <c r="E45" s="284">
        <f>MCF!R44</f>
        <v>0.8</v>
      </c>
      <c r="F45" s="67">
        <f t="shared" si="5"/>
        <v>0.60607998777785754</v>
      </c>
      <c r="G45" s="67">
        <f t="shared" si="0"/>
        <v>0.60607998777785754</v>
      </c>
      <c r="H45" s="67">
        <f t="shared" si="1"/>
        <v>0</v>
      </c>
      <c r="I45" s="67">
        <f t="shared" si="2"/>
        <v>1.7561674474061404</v>
      </c>
      <c r="J45" s="67">
        <f t="shared" si="3"/>
        <v>0.56564141709269689</v>
      </c>
      <c r="K45" s="100">
        <f t="shared" si="6"/>
        <v>0.37709427806179791</v>
      </c>
      <c r="O45" s="96">
        <f>Amnt_Deposited!B40</f>
        <v>2026</v>
      </c>
      <c r="P45" s="99">
        <f>Amnt_Deposited!C40</f>
        <v>6.7582514248200001</v>
      </c>
      <c r="Q45" s="284">
        <f>MCF!R44</f>
        <v>0.8</v>
      </c>
      <c r="R45" s="67">
        <f t="shared" si="4"/>
        <v>0.40549508548919999</v>
      </c>
      <c r="S45" s="67">
        <f t="shared" si="7"/>
        <v>0.40549508548919999</v>
      </c>
      <c r="T45" s="67">
        <f t="shared" si="8"/>
        <v>0</v>
      </c>
      <c r="U45" s="67">
        <f t="shared" si="9"/>
        <v>1.1749559193172217</v>
      </c>
      <c r="V45" s="67">
        <f t="shared" si="10"/>
        <v>0.37843984194426644</v>
      </c>
      <c r="W45" s="100">
        <f t="shared" si="11"/>
        <v>0.25229322796284426</v>
      </c>
    </row>
    <row r="46" spans="2:23">
      <c r="B46" s="96">
        <f>Amnt_Deposited!B41</f>
        <v>2027</v>
      </c>
      <c r="C46" s="99">
        <f>Amnt_Deposited!C41</f>
        <v>6.907048636679999</v>
      </c>
      <c r="D46" s="418">
        <f>Dry_Matter_Content!C33</f>
        <v>0.59</v>
      </c>
      <c r="E46" s="284">
        <f>MCF!R45</f>
        <v>0.8</v>
      </c>
      <c r="F46" s="67">
        <f t="shared" si="5"/>
        <v>0.61942412173746231</v>
      </c>
      <c r="G46" s="67">
        <f t="shared" si="0"/>
        <v>0.61942412173746231</v>
      </c>
      <c r="H46" s="67">
        <f t="shared" si="1"/>
        <v>0</v>
      </c>
      <c r="I46" s="67">
        <f t="shared" si="2"/>
        <v>1.7966183659290376</v>
      </c>
      <c r="J46" s="67">
        <f t="shared" si="3"/>
        <v>0.57897320321456514</v>
      </c>
      <c r="K46" s="100">
        <f t="shared" si="6"/>
        <v>0.38598213547637672</v>
      </c>
      <c r="O46" s="96">
        <f>Amnt_Deposited!B41</f>
        <v>2027</v>
      </c>
      <c r="P46" s="99">
        <f>Amnt_Deposited!C41</f>
        <v>6.907048636679999</v>
      </c>
      <c r="Q46" s="284">
        <f>MCF!R45</f>
        <v>0.8</v>
      </c>
      <c r="R46" s="67">
        <f t="shared" si="4"/>
        <v>0.41442291820079991</v>
      </c>
      <c r="S46" s="67">
        <f t="shared" si="7"/>
        <v>0.41442291820079991</v>
      </c>
      <c r="T46" s="67">
        <f t="shared" si="8"/>
        <v>0</v>
      </c>
      <c r="U46" s="67">
        <f t="shared" si="9"/>
        <v>1.202019424127367</v>
      </c>
      <c r="V46" s="67">
        <f t="shared" si="10"/>
        <v>0.38735941339065472</v>
      </c>
      <c r="W46" s="100">
        <f t="shared" si="11"/>
        <v>0.25823960892710313</v>
      </c>
    </row>
    <row r="47" spans="2:23">
      <c r="B47" s="96">
        <f>Amnt_Deposited!B42</f>
        <v>2028</v>
      </c>
      <c r="C47" s="99">
        <f>Amnt_Deposited!C42</f>
        <v>7.0558458485400006</v>
      </c>
      <c r="D47" s="418">
        <f>Dry_Matter_Content!C34</f>
        <v>0.59</v>
      </c>
      <c r="E47" s="284">
        <f>MCF!R46</f>
        <v>0.8</v>
      </c>
      <c r="F47" s="67">
        <f t="shared" si="5"/>
        <v>0.63276825569706729</v>
      </c>
      <c r="G47" s="67">
        <f t="shared" si="0"/>
        <v>0.63276825569706729</v>
      </c>
      <c r="H47" s="67">
        <f t="shared" si="1"/>
        <v>0</v>
      </c>
      <c r="I47" s="67">
        <f t="shared" si="2"/>
        <v>1.8370775614550949</v>
      </c>
      <c r="J47" s="67">
        <f t="shared" si="3"/>
        <v>0.59230906017101004</v>
      </c>
      <c r="K47" s="100">
        <f t="shared" si="6"/>
        <v>0.39487270678067332</v>
      </c>
      <c r="O47" s="96">
        <f>Amnt_Deposited!B42</f>
        <v>2028</v>
      </c>
      <c r="P47" s="99">
        <f>Amnt_Deposited!C42</f>
        <v>7.0558458485400006</v>
      </c>
      <c r="Q47" s="284">
        <f>MCF!R46</f>
        <v>0.8</v>
      </c>
      <c r="R47" s="67">
        <f t="shared" si="4"/>
        <v>0.42335075091240004</v>
      </c>
      <c r="S47" s="67">
        <f t="shared" si="7"/>
        <v>0.42335075091240004</v>
      </c>
      <c r="T47" s="67">
        <f t="shared" si="8"/>
        <v>0</v>
      </c>
      <c r="U47" s="67">
        <f t="shared" si="9"/>
        <v>1.2290884666291895</v>
      </c>
      <c r="V47" s="67">
        <f t="shared" si="10"/>
        <v>0.39628170841057764</v>
      </c>
      <c r="W47" s="100">
        <f t="shared" si="11"/>
        <v>0.26418780560705174</v>
      </c>
    </row>
    <row r="48" spans="2:23">
      <c r="B48" s="96">
        <f>Amnt_Deposited!B43</f>
        <v>2029</v>
      </c>
      <c r="C48" s="99">
        <f>Amnt_Deposited!C43</f>
        <v>7.2046430603999996</v>
      </c>
      <c r="D48" s="418">
        <f>Dry_Matter_Content!C35</f>
        <v>0.59</v>
      </c>
      <c r="E48" s="284">
        <f>MCF!R47</f>
        <v>0.8</v>
      </c>
      <c r="F48" s="67">
        <f t="shared" si="5"/>
        <v>0.64611238965667195</v>
      </c>
      <c r="G48" s="67">
        <f t="shared" si="0"/>
        <v>0.64611238965667195</v>
      </c>
      <c r="H48" s="67">
        <f t="shared" si="1"/>
        <v>0</v>
      </c>
      <c r="I48" s="67">
        <f t="shared" si="2"/>
        <v>1.877542305222291</v>
      </c>
      <c r="J48" s="67">
        <f t="shared" si="3"/>
        <v>0.60564764588947562</v>
      </c>
      <c r="K48" s="100">
        <f t="shared" si="6"/>
        <v>0.40376509725965037</v>
      </c>
      <c r="O48" s="96">
        <f>Amnt_Deposited!B43</f>
        <v>2029</v>
      </c>
      <c r="P48" s="99">
        <f>Amnt_Deposited!C43</f>
        <v>7.2046430603999996</v>
      </c>
      <c r="Q48" s="284">
        <f>MCF!R47</f>
        <v>0.8</v>
      </c>
      <c r="R48" s="67">
        <f t="shared" si="4"/>
        <v>0.43227858362399996</v>
      </c>
      <c r="S48" s="67">
        <f t="shared" si="7"/>
        <v>0.43227858362399996</v>
      </c>
      <c r="T48" s="67">
        <f t="shared" si="8"/>
        <v>0</v>
      </c>
      <c r="U48" s="67">
        <f t="shared" si="9"/>
        <v>1.2561612211567517</v>
      </c>
      <c r="V48" s="67">
        <f t="shared" si="10"/>
        <v>0.40520582909643782</v>
      </c>
      <c r="W48" s="100">
        <f t="shared" si="11"/>
        <v>0.27013721939762519</v>
      </c>
    </row>
    <row r="49" spans="2:23">
      <c r="B49" s="96">
        <f>Amnt_Deposited!B44</f>
        <v>2030</v>
      </c>
      <c r="C49" s="99">
        <f>Amnt_Deposited!C44</f>
        <v>7.3534402722600021</v>
      </c>
      <c r="D49" s="418">
        <f>Dry_Matter_Content!C36</f>
        <v>0.59</v>
      </c>
      <c r="E49" s="284">
        <f>MCF!R48</f>
        <v>0.8</v>
      </c>
      <c r="F49" s="67">
        <f t="shared" si="5"/>
        <v>0.65945652361627705</v>
      </c>
      <c r="G49" s="67">
        <f t="shared" si="0"/>
        <v>0.65945652361627705</v>
      </c>
      <c r="H49" s="67">
        <f t="shared" si="1"/>
        <v>0</v>
      </c>
      <c r="I49" s="67">
        <f t="shared" si="2"/>
        <v>1.9180107680867435</v>
      </c>
      <c r="J49" s="67">
        <f t="shared" si="3"/>
        <v>0.61898806075182455</v>
      </c>
      <c r="K49" s="100">
        <f t="shared" si="6"/>
        <v>0.412658707167883</v>
      </c>
      <c r="O49" s="96">
        <f>Amnt_Deposited!B44</f>
        <v>2030</v>
      </c>
      <c r="P49" s="99">
        <f>Amnt_Deposited!C44</f>
        <v>7.3534402722600021</v>
      </c>
      <c r="Q49" s="284">
        <f>MCF!R48</f>
        <v>0.8</v>
      </c>
      <c r="R49" s="67">
        <f t="shared" si="4"/>
        <v>0.44120641633560009</v>
      </c>
      <c r="S49" s="67">
        <f t="shared" si="7"/>
        <v>0.44120641633560009</v>
      </c>
      <c r="T49" s="67">
        <f t="shared" si="8"/>
        <v>0</v>
      </c>
      <c r="U49" s="67">
        <f t="shared" si="9"/>
        <v>1.2832364639295788</v>
      </c>
      <c r="V49" s="67">
        <f t="shared" si="10"/>
        <v>0.41413117356277296</v>
      </c>
      <c r="W49" s="100">
        <f t="shared" si="11"/>
        <v>0.27608744904184862</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1.2856810663607579</v>
      </c>
      <c r="J50" s="67">
        <f t="shared" si="3"/>
        <v>0.63232970172598568</v>
      </c>
      <c r="K50" s="100">
        <f t="shared" si="6"/>
        <v>0.42155313448399045</v>
      </c>
      <c r="O50" s="96">
        <f>Amnt_Deposited!B45</f>
        <v>2031</v>
      </c>
      <c r="P50" s="99">
        <f>Amnt_Deposited!C45</f>
        <v>0</v>
      </c>
      <c r="Q50" s="284">
        <f>MCF!R49</f>
        <v>0.8</v>
      </c>
      <c r="R50" s="67">
        <f t="shared" si="4"/>
        <v>0</v>
      </c>
      <c r="S50" s="67">
        <f t="shared" si="7"/>
        <v>0</v>
      </c>
      <c r="T50" s="67">
        <f t="shared" si="8"/>
        <v>0</v>
      </c>
      <c r="U50" s="67">
        <f t="shared" si="9"/>
        <v>0.86017912557588627</v>
      </c>
      <c r="V50" s="67">
        <f t="shared" si="10"/>
        <v>0.42305733835369252</v>
      </c>
      <c r="W50" s="100">
        <f t="shared" si="11"/>
        <v>0.28203822556912833</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0.86181779159009309</v>
      </c>
      <c r="J51" s="67">
        <f t="shared" ref="J51:J82" si="16">I50*(1-$K$10)+H51</f>
        <v>0.42386327477066477</v>
      </c>
      <c r="K51" s="100">
        <f t="shared" si="6"/>
        <v>0.28257551651377649</v>
      </c>
      <c r="O51" s="96">
        <f>Amnt_Deposited!B46</f>
        <v>2032</v>
      </c>
      <c r="P51" s="99">
        <f>Amnt_Deposited!C46</f>
        <v>0</v>
      </c>
      <c r="Q51" s="284">
        <f>MCF!R50</f>
        <v>0.8</v>
      </c>
      <c r="R51" s="67">
        <f t="shared" ref="R51:R82" si="17">P51*$W$6*DOCF*Q51</f>
        <v>0</v>
      </c>
      <c r="S51" s="67">
        <f t="shared" si="7"/>
        <v>0</v>
      </c>
      <c r="T51" s="67">
        <f t="shared" si="8"/>
        <v>0</v>
      </c>
      <c r="U51" s="67">
        <f t="shared" si="9"/>
        <v>0.57659531105492412</v>
      </c>
      <c r="V51" s="67">
        <f t="shared" si="10"/>
        <v>0.28358381452096221</v>
      </c>
      <c r="W51" s="100">
        <f t="shared" si="11"/>
        <v>0.18905587634730814</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0.57769374173300425</v>
      </c>
      <c r="J52" s="67">
        <f t="shared" si="16"/>
        <v>0.28412404985708889</v>
      </c>
      <c r="K52" s="100">
        <f t="shared" si="6"/>
        <v>0.18941603323805925</v>
      </c>
      <c r="O52" s="96">
        <f>Amnt_Deposited!B47</f>
        <v>2033</v>
      </c>
      <c r="P52" s="99">
        <f>Amnt_Deposited!C47</f>
        <v>0</v>
      </c>
      <c r="Q52" s="284">
        <f>MCF!R51</f>
        <v>0.8</v>
      </c>
      <c r="R52" s="67">
        <f t="shared" si="17"/>
        <v>0</v>
      </c>
      <c r="S52" s="67">
        <f t="shared" si="7"/>
        <v>0</v>
      </c>
      <c r="T52" s="67">
        <f t="shared" si="8"/>
        <v>0</v>
      </c>
      <c r="U52" s="67">
        <f t="shared" si="9"/>
        <v>0.38650339545027051</v>
      </c>
      <c r="V52" s="67">
        <f t="shared" si="10"/>
        <v>0.19009191560465361</v>
      </c>
      <c r="W52" s="100">
        <f t="shared" si="11"/>
        <v>0.12672794373643573</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0.38723969555296817</v>
      </c>
      <c r="J53" s="67">
        <f t="shared" si="16"/>
        <v>0.19045404618003611</v>
      </c>
      <c r="K53" s="100">
        <f t="shared" si="6"/>
        <v>0.12696936412002408</v>
      </c>
      <c r="O53" s="96">
        <f>Amnt_Deposited!B48</f>
        <v>2034</v>
      </c>
      <c r="P53" s="99">
        <f>Amnt_Deposited!C48</f>
        <v>0</v>
      </c>
      <c r="Q53" s="284">
        <f>MCF!R52</f>
        <v>0.8</v>
      </c>
      <c r="R53" s="67">
        <f t="shared" si="17"/>
        <v>0</v>
      </c>
      <c r="S53" s="67">
        <f t="shared" si="7"/>
        <v>0</v>
      </c>
      <c r="T53" s="67">
        <f t="shared" si="8"/>
        <v>0</v>
      </c>
      <c r="U53" s="67">
        <f t="shared" si="9"/>
        <v>0.25908097383115625</v>
      </c>
      <c r="V53" s="67">
        <f t="shared" si="10"/>
        <v>0.12742242161911427</v>
      </c>
      <c r="W53" s="100">
        <f t="shared" si="11"/>
        <v>8.4948281079409507E-2</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0.2595745305498926</v>
      </c>
      <c r="J54" s="67">
        <f t="shared" si="16"/>
        <v>0.12766516500307559</v>
      </c>
      <c r="K54" s="100">
        <f t="shared" si="6"/>
        <v>8.511011000205039E-2</v>
      </c>
      <c r="O54" s="96">
        <f>Amnt_Deposited!B49</f>
        <v>2035</v>
      </c>
      <c r="P54" s="99">
        <f>Amnt_Deposited!C49</f>
        <v>0</v>
      </c>
      <c r="Q54" s="284">
        <f>MCF!R53</f>
        <v>0.8</v>
      </c>
      <c r="R54" s="67">
        <f t="shared" si="17"/>
        <v>0</v>
      </c>
      <c r="S54" s="67">
        <f t="shared" si="7"/>
        <v>0</v>
      </c>
      <c r="T54" s="67">
        <f t="shared" si="8"/>
        <v>0</v>
      </c>
      <c r="U54" s="67">
        <f t="shared" si="9"/>
        <v>0.17366717030545892</v>
      </c>
      <c r="V54" s="67">
        <f t="shared" si="10"/>
        <v>8.5413803525697329E-2</v>
      </c>
      <c r="W54" s="100">
        <f t="shared" si="11"/>
        <v>5.6942535683798215E-2</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0.17399801126788347</v>
      </c>
      <c r="J55" s="67">
        <f t="shared" si="16"/>
        <v>8.5576519282009128E-2</v>
      </c>
      <c r="K55" s="100">
        <f t="shared" si="6"/>
        <v>5.7051012854672747E-2</v>
      </c>
      <c r="O55" s="96">
        <f>Amnt_Deposited!B50</f>
        <v>2036</v>
      </c>
      <c r="P55" s="99">
        <f>Amnt_Deposited!C50</f>
        <v>0</v>
      </c>
      <c r="Q55" s="284">
        <f>MCF!R54</f>
        <v>0.8</v>
      </c>
      <c r="R55" s="67">
        <f t="shared" si="17"/>
        <v>0</v>
      </c>
      <c r="S55" s="67">
        <f t="shared" si="7"/>
        <v>0</v>
      </c>
      <c r="T55" s="67">
        <f t="shared" si="8"/>
        <v>0</v>
      </c>
      <c r="U55" s="67">
        <f t="shared" si="9"/>
        <v>0.11641258559403443</v>
      </c>
      <c r="V55" s="67">
        <f t="shared" si="10"/>
        <v>5.7254584711424479E-2</v>
      </c>
      <c r="W55" s="100">
        <f t="shared" si="11"/>
        <v>3.816972314094965E-2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0.11663435492319733</v>
      </c>
      <c r="J56" s="67">
        <f t="shared" si="16"/>
        <v>5.7363656344686133E-2</v>
      </c>
      <c r="K56" s="100">
        <f t="shared" si="6"/>
        <v>3.8242437563124086E-2</v>
      </c>
      <c r="O56" s="96">
        <f>Amnt_Deposited!B51</f>
        <v>2037</v>
      </c>
      <c r="P56" s="99">
        <f>Amnt_Deposited!C51</f>
        <v>0</v>
      </c>
      <c r="Q56" s="284">
        <f>MCF!R55</f>
        <v>0.8</v>
      </c>
      <c r="R56" s="67">
        <f t="shared" si="17"/>
        <v>0</v>
      </c>
      <c r="S56" s="67">
        <f t="shared" si="7"/>
        <v>0</v>
      </c>
      <c r="T56" s="67">
        <f t="shared" si="8"/>
        <v>0</v>
      </c>
      <c r="U56" s="67">
        <f t="shared" si="9"/>
        <v>7.8033689734520961E-2</v>
      </c>
      <c r="V56" s="67">
        <f t="shared" si="10"/>
        <v>3.837889585951347E-2</v>
      </c>
      <c r="W56" s="100">
        <f t="shared" si="11"/>
        <v>2.558593057300898E-2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7.8182346161454738E-2</v>
      </c>
      <c r="J57" s="67">
        <f t="shared" si="16"/>
        <v>3.8452008761742602E-2</v>
      </c>
      <c r="K57" s="100">
        <f t="shared" si="6"/>
        <v>2.5634672507828402E-2</v>
      </c>
      <c r="O57" s="96">
        <f>Amnt_Deposited!B52</f>
        <v>2038</v>
      </c>
      <c r="P57" s="99">
        <f>Amnt_Deposited!C52</f>
        <v>0</v>
      </c>
      <c r="Q57" s="284">
        <f>MCF!R56</f>
        <v>0.8</v>
      </c>
      <c r="R57" s="67">
        <f t="shared" si="17"/>
        <v>0</v>
      </c>
      <c r="S57" s="67">
        <f t="shared" si="7"/>
        <v>0</v>
      </c>
      <c r="T57" s="67">
        <f t="shared" si="8"/>
        <v>0</v>
      </c>
      <c r="U57" s="67">
        <f t="shared" si="9"/>
        <v>5.2307546495174884E-2</v>
      </c>
      <c r="V57" s="67">
        <f t="shared" si="10"/>
        <v>2.5726143239346074E-2</v>
      </c>
      <c r="W57" s="100">
        <f t="shared" si="11"/>
        <v>1.7150762159564049E-2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5.240719387812063E-2</v>
      </c>
      <c r="J58" s="67">
        <f t="shared" si="16"/>
        <v>2.5775152283334109E-2</v>
      </c>
      <c r="K58" s="100">
        <f t="shared" si="6"/>
        <v>1.7183434855556071E-2</v>
      </c>
      <c r="O58" s="96">
        <f>Amnt_Deposited!B53</f>
        <v>2039</v>
      </c>
      <c r="P58" s="99">
        <f>Amnt_Deposited!C53</f>
        <v>0</v>
      </c>
      <c r="Q58" s="284">
        <f>MCF!R57</f>
        <v>0.8</v>
      </c>
      <c r="R58" s="67">
        <f t="shared" si="17"/>
        <v>0</v>
      </c>
      <c r="S58" s="67">
        <f t="shared" si="7"/>
        <v>0</v>
      </c>
      <c r="T58" s="67">
        <f t="shared" si="8"/>
        <v>0</v>
      </c>
      <c r="U58" s="67">
        <f t="shared" si="9"/>
        <v>3.5062796974656973E-2</v>
      </c>
      <c r="V58" s="67">
        <f t="shared" si="10"/>
        <v>1.724474952051791E-2</v>
      </c>
      <c r="W58" s="100">
        <f t="shared" si="11"/>
        <v>1.1496499680345273E-2</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3.5129592612980494E-2</v>
      </c>
      <c r="J59" s="67">
        <f t="shared" si="16"/>
        <v>1.7277601265140132E-2</v>
      </c>
      <c r="K59" s="100">
        <f t="shared" si="6"/>
        <v>1.1518400843426754E-2</v>
      </c>
      <c r="O59" s="96">
        <f>Amnt_Deposited!B54</f>
        <v>2040</v>
      </c>
      <c r="P59" s="99">
        <f>Amnt_Deposited!C54</f>
        <v>0</v>
      </c>
      <c r="Q59" s="284">
        <f>MCF!R58</f>
        <v>0.8</v>
      </c>
      <c r="R59" s="67">
        <f t="shared" si="17"/>
        <v>0</v>
      </c>
      <c r="S59" s="67">
        <f t="shared" si="7"/>
        <v>0</v>
      </c>
      <c r="T59" s="67">
        <f t="shared" si="8"/>
        <v>0</v>
      </c>
      <c r="U59" s="67">
        <f t="shared" si="9"/>
        <v>2.3503295682190339E-2</v>
      </c>
      <c r="V59" s="67">
        <f t="shared" si="10"/>
        <v>1.1559501292466636E-2</v>
      </c>
      <c r="W59" s="100">
        <f t="shared" si="11"/>
        <v>7.7063341949777566E-3</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2.354807013754634E-2</v>
      </c>
      <c r="J60" s="67">
        <f t="shared" si="16"/>
        <v>1.1581522475434154E-2</v>
      </c>
      <c r="K60" s="100">
        <f t="shared" si="6"/>
        <v>7.7210149836227692E-3</v>
      </c>
      <c r="O60" s="96">
        <f>Amnt_Deposited!B55</f>
        <v>2041</v>
      </c>
      <c r="P60" s="99">
        <f>Amnt_Deposited!C55</f>
        <v>0</v>
      </c>
      <c r="Q60" s="284">
        <f>MCF!R59</f>
        <v>0.8</v>
      </c>
      <c r="R60" s="67">
        <f t="shared" si="17"/>
        <v>0</v>
      </c>
      <c r="S60" s="67">
        <f t="shared" si="7"/>
        <v>0</v>
      </c>
      <c r="T60" s="67">
        <f t="shared" si="8"/>
        <v>0</v>
      </c>
      <c r="U60" s="67">
        <f t="shared" si="9"/>
        <v>1.5754730243675071E-2</v>
      </c>
      <c r="V60" s="67">
        <f t="shared" si="10"/>
        <v>7.7485654385152682E-3</v>
      </c>
      <c r="W60" s="100">
        <f t="shared" si="11"/>
        <v>5.1657102923435118E-3</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1.5784743458650528E-2</v>
      </c>
      <c r="J61" s="67">
        <f t="shared" si="16"/>
        <v>7.7633266788958138E-3</v>
      </c>
      <c r="K61" s="100">
        <f t="shared" si="6"/>
        <v>5.1755511192638753E-3</v>
      </c>
      <c r="O61" s="96">
        <f>Amnt_Deposited!B56</f>
        <v>2042</v>
      </c>
      <c r="P61" s="99">
        <f>Amnt_Deposited!C56</f>
        <v>0</v>
      </c>
      <c r="Q61" s="284">
        <f>MCF!R60</f>
        <v>0.8</v>
      </c>
      <c r="R61" s="67">
        <f t="shared" si="17"/>
        <v>0</v>
      </c>
      <c r="S61" s="67">
        <f t="shared" si="7"/>
        <v>0</v>
      </c>
      <c r="T61" s="67">
        <f t="shared" si="8"/>
        <v>0</v>
      </c>
      <c r="U61" s="67">
        <f t="shared" si="9"/>
        <v>1.0560711502219353E-2</v>
      </c>
      <c r="V61" s="67">
        <f t="shared" si="10"/>
        <v>5.1940187414557179E-3</v>
      </c>
      <c r="W61" s="100">
        <f t="shared" si="11"/>
        <v>3.4626791609704785E-3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1.0580829961863379E-2</v>
      </c>
      <c r="J62" s="67">
        <f t="shared" si="16"/>
        <v>5.2039134967871489E-3</v>
      </c>
      <c r="K62" s="100">
        <f t="shared" si="6"/>
        <v>3.4692756645247659E-3</v>
      </c>
      <c r="O62" s="96">
        <f>Amnt_Deposited!B57</f>
        <v>2043</v>
      </c>
      <c r="P62" s="99">
        <f>Amnt_Deposited!C57</f>
        <v>0</v>
      </c>
      <c r="Q62" s="284">
        <f>MCF!R61</f>
        <v>0.8</v>
      </c>
      <c r="R62" s="67">
        <f t="shared" si="17"/>
        <v>0</v>
      </c>
      <c r="S62" s="67">
        <f t="shared" si="7"/>
        <v>0</v>
      </c>
      <c r="T62" s="67">
        <f t="shared" si="8"/>
        <v>0</v>
      </c>
      <c r="U62" s="67">
        <f t="shared" si="9"/>
        <v>7.079056620336783E-3</v>
      </c>
      <c r="V62" s="67">
        <f t="shared" si="10"/>
        <v>3.4816548818825707E-3</v>
      </c>
      <c r="W62" s="100">
        <f t="shared" si="11"/>
        <v>2.3211032545883805E-3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7.0925424271315318E-3</v>
      </c>
      <c r="J63" s="67">
        <f t="shared" si="16"/>
        <v>3.488287534731847E-3</v>
      </c>
      <c r="K63" s="100">
        <f t="shared" si="6"/>
        <v>2.3255250231545644E-3</v>
      </c>
      <c r="O63" s="96">
        <f>Amnt_Deposited!B58</f>
        <v>2044</v>
      </c>
      <c r="P63" s="99">
        <f>Amnt_Deposited!C58</f>
        <v>0</v>
      </c>
      <c r="Q63" s="284">
        <f>MCF!R62</f>
        <v>0.8</v>
      </c>
      <c r="R63" s="67">
        <f t="shared" si="17"/>
        <v>0</v>
      </c>
      <c r="S63" s="67">
        <f t="shared" si="7"/>
        <v>0</v>
      </c>
      <c r="T63" s="67">
        <f t="shared" si="8"/>
        <v>0</v>
      </c>
      <c r="U63" s="67">
        <f t="shared" si="9"/>
        <v>4.7452335596330497E-3</v>
      </c>
      <c r="V63" s="67">
        <f t="shared" si="10"/>
        <v>2.3338230607037333E-3</v>
      </c>
      <c r="W63" s="100">
        <f t="shared" si="11"/>
        <v>1.5558820404691556E-3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4.7542733662645333E-3</v>
      </c>
      <c r="J64" s="67">
        <f t="shared" si="16"/>
        <v>2.3382690608669985E-3</v>
      </c>
      <c r="K64" s="100">
        <f t="shared" si="6"/>
        <v>1.5588460405779989E-3</v>
      </c>
      <c r="O64" s="96">
        <f>Amnt_Deposited!B59</f>
        <v>2045</v>
      </c>
      <c r="P64" s="99">
        <f>Amnt_Deposited!C59</f>
        <v>0</v>
      </c>
      <c r="Q64" s="284">
        <f>MCF!R63</f>
        <v>0.8</v>
      </c>
      <c r="R64" s="67">
        <f t="shared" si="17"/>
        <v>0</v>
      </c>
      <c r="S64" s="67">
        <f t="shared" si="7"/>
        <v>0</v>
      </c>
      <c r="T64" s="67">
        <f t="shared" si="8"/>
        <v>0</v>
      </c>
      <c r="U64" s="67">
        <f t="shared" si="9"/>
        <v>3.1808251781430866E-3</v>
      </c>
      <c r="V64" s="67">
        <f t="shared" si="10"/>
        <v>1.5644083814899631E-3</v>
      </c>
      <c r="W64" s="100">
        <f t="shared" si="11"/>
        <v>1.0429389209933087E-3</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3.186884741740456E-3</v>
      </c>
      <c r="J65" s="67">
        <f t="shared" si="16"/>
        <v>1.5673886245240775E-3</v>
      </c>
      <c r="K65" s="100">
        <f t="shared" si="6"/>
        <v>1.0449257496827182E-3</v>
      </c>
      <c r="O65" s="96">
        <f>Amnt_Deposited!B60</f>
        <v>2046</v>
      </c>
      <c r="P65" s="99">
        <f>Amnt_Deposited!C60</f>
        <v>0</v>
      </c>
      <c r="Q65" s="284">
        <f>MCF!R64</f>
        <v>0.8</v>
      </c>
      <c r="R65" s="67">
        <f t="shared" si="17"/>
        <v>0</v>
      </c>
      <c r="S65" s="67">
        <f t="shared" si="7"/>
        <v>0</v>
      </c>
      <c r="T65" s="67">
        <f t="shared" si="8"/>
        <v>0</v>
      </c>
      <c r="U65" s="67">
        <f t="shared" si="9"/>
        <v>2.1321708798441945E-3</v>
      </c>
      <c r="V65" s="67">
        <f t="shared" si="10"/>
        <v>1.0486542982988921E-3</v>
      </c>
      <c r="W65" s="100">
        <f t="shared" si="11"/>
        <v>6.9910286553259465E-4</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2.136232726793739E-3</v>
      </c>
      <c r="J66" s="67">
        <f t="shared" si="16"/>
        <v>1.0506520149467171E-3</v>
      </c>
      <c r="K66" s="100">
        <f t="shared" si="6"/>
        <v>7.0043467663114466E-4</v>
      </c>
      <c r="O66" s="96">
        <f>Amnt_Deposited!B61</f>
        <v>2047</v>
      </c>
      <c r="P66" s="99">
        <f>Amnt_Deposited!C61</f>
        <v>0</v>
      </c>
      <c r="Q66" s="284">
        <f>MCF!R65</f>
        <v>0.8</v>
      </c>
      <c r="R66" s="67">
        <f t="shared" si="17"/>
        <v>0</v>
      </c>
      <c r="S66" s="67">
        <f t="shared" si="7"/>
        <v>0</v>
      </c>
      <c r="T66" s="67">
        <f t="shared" si="8"/>
        <v>0</v>
      </c>
      <c r="U66" s="67">
        <f t="shared" si="9"/>
        <v>1.42923688233301E-3</v>
      </c>
      <c r="V66" s="67">
        <f t="shared" si="10"/>
        <v>7.0293399751118443E-4</v>
      </c>
      <c r="W66" s="100">
        <f t="shared" si="11"/>
        <v>4.6862266500745625E-4</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1.4319596197672185E-3</v>
      </c>
      <c r="J67" s="67">
        <f t="shared" si="16"/>
        <v>7.0427310702652051E-4</v>
      </c>
      <c r="K67" s="100">
        <f t="shared" si="6"/>
        <v>4.6951540468434701E-4</v>
      </c>
      <c r="O67" s="96">
        <f>Amnt_Deposited!B62</f>
        <v>2048</v>
      </c>
      <c r="P67" s="99">
        <f>Amnt_Deposited!C62</f>
        <v>0</v>
      </c>
      <c r="Q67" s="284">
        <f>MCF!R66</f>
        <v>0.8</v>
      </c>
      <c r="R67" s="67">
        <f t="shared" si="17"/>
        <v>0</v>
      </c>
      <c r="S67" s="67">
        <f t="shared" si="7"/>
        <v>0</v>
      </c>
      <c r="T67" s="67">
        <f t="shared" si="8"/>
        <v>0</v>
      </c>
      <c r="U67" s="67">
        <f t="shared" si="9"/>
        <v>9.5804613276129691E-4</v>
      </c>
      <c r="V67" s="67">
        <f t="shared" si="10"/>
        <v>4.711907495717131E-4</v>
      </c>
      <c r="W67" s="100">
        <f t="shared" si="11"/>
        <v>3.1412716638114203E-4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9.5987123824353845E-4</v>
      </c>
      <c r="J68" s="67">
        <f t="shared" si="16"/>
        <v>4.7208838152368001E-4</v>
      </c>
      <c r="K68" s="100">
        <f t="shared" si="6"/>
        <v>3.1472558768245334E-4</v>
      </c>
      <c r="O68" s="96">
        <f>Amnt_Deposited!B63</f>
        <v>2049</v>
      </c>
      <c r="P68" s="99">
        <f>Amnt_Deposited!C63</f>
        <v>0</v>
      </c>
      <c r="Q68" s="284">
        <f>MCF!R67</f>
        <v>0.8</v>
      </c>
      <c r="R68" s="67">
        <f t="shared" si="17"/>
        <v>0</v>
      </c>
      <c r="S68" s="67">
        <f t="shared" si="7"/>
        <v>0</v>
      </c>
      <c r="T68" s="67">
        <f t="shared" si="8"/>
        <v>0</v>
      </c>
      <c r="U68" s="67">
        <f t="shared" si="9"/>
        <v>6.4219752781681874E-4</v>
      </c>
      <c r="V68" s="67">
        <f t="shared" si="10"/>
        <v>3.1584860494447811E-4</v>
      </c>
      <c r="W68" s="100">
        <f t="shared" si="11"/>
        <v>2.1056573662965207E-4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6.4342093260769486E-4</v>
      </c>
      <c r="J69" s="67">
        <f t="shared" si="16"/>
        <v>3.1645030563584364E-4</v>
      </c>
      <c r="K69" s="100">
        <f t="shared" si="6"/>
        <v>2.1096687042389576E-4</v>
      </c>
      <c r="O69" s="96">
        <f>Amnt_Deposited!B64</f>
        <v>2050</v>
      </c>
      <c r="P69" s="99">
        <f>Amnt_Deposited!C64</f>
        <v>0</v>
      </c>
      <c r="Q69" s="284">
        <f>MCF!R68</f>
        <v>0.8</v>
      </c>
      <c r="R69" s="67">
        <f t="shared" si="17"/>
        <v>0</v>
      </c>
      <c r="S69" s="67">
        <f t="shared" si="7"/>
        <v>0</v>
      </c>
      <c r="T69" s="67">
        <f t="shared" si="8"/>
        <v>0</v>
      </c>
      <c r="U69" s="67">
        <f t="shared" si="9"/>
        <v>4.304778764101437E-4</v>
      </c>
      <c r="V69" s="67">
        <f t="shared" si="10"/>
        <v>2.1171965140667504E-4</v>
      </c>
      <c r="W69" s="100">
        <f t="shared" si="11"/>
        <v>1.4114643427111669E-4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4.3129794916588399E-4</v>
      </c>
      <c r="J70" s="67">
        <f t="shared" si="16"/>
        <v>2.1212298344181084E-4</v>
      </c>
      <c r="K70" s="100">
        <f t="shared" si="6"/>
        <v>1.4141532229454054E-4</v>
      </c>
      <c r="O70" s="96">
        <f>Amnt_Deposited!B65</f>
        <v>2051</v>
      </c>
      <c r="P70" s="99">
        <f>Amnt_Deposited!C65</f>
        <v>0</v>
      </c>
      <c r="Q70" s="284">
        <f>MCF!R69</f>
        <v>0.8</v>
      </c>
      <c r="R70" s="67">
        <f t="shared" si="17"/>
        <v>0</v>
      </c>
      <c r="S70" s="67">
        <f t="shared" si="7"/>
        <v>0</v>
      </c>
      <c r="T70" s="67">
        <f t="shared" si="8"/>
        <v>0</v>
      </c>
      <c r="U70" s="67">
        <f t="shared" si="9"/>
        <v>2.8855794993257178E-4</v>
      </c>
      <c r="V70" s="67">
        <f t="shared" si="10"/>
        <v>1.4191992647757191E-4</v>
      </c>
      <c r="W70" s="100">
        <f t="shared" si="11"/>
        <v>9.4613284318381268E-5</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2.8910766113995217E-4</v>
      </c>
      <c r="J71" s="67">
        <f t="shared" si="16"/>
        <v>1.4219028802593179E-4</v>
      </c>
      <c r="K71" s="100">
        <f t="shared" si="6"/>
        <v>9.4793525350621186E-5</v>
      </c>
      <c r="O71" s="96">
        <f>Amnt_Deposited!B66</f>
        <v>2052</v>
      </c>
      <c r="P71" s="99">
        <f>Amnt_Deposited!C66</f>
        <v>0</v>
      </c>
      <c r="Q71" s="284">
        <f>MCF!R70</f>
        <v>0.8</v>
      </c>
      <c r="R71" s="67">
        <f t="shared" si="17"/>
        <v>0</v>
      </c>
      <c r="S71" s="67">
        <f t="shared" si="7"/>
        <v>0</v>
      </c>
      <c r="T71" s="67">
        <f t="shared" si="8"/>
        <v>0</v>
      </c>
      <c r="U71" s="67">
        <f t="shared" si="9"/>
        <v>1.9342617828275123E-4</v>
      </c>
      <c r="V71" s="67">
        <f t="shared" si="10"/>
        <v>9.513177164982056E-5</v>
      </c>
      <c r="W71" s="100">
        <f t="shared" si="11"/>
        <v>6.3421181099880373E-5</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1.9379466072458876E-4</v>
      </c>
      <c r="J72" s="67">
        <f t="shared" si="16"/>
        <v>9.5313000415363423E-5</v>
      </c>
      <c r="K72" s="100">
        <f t="shared" si="6"/>
        <v>6.3542000276908944E-5</v>
      </c>
      <c r="O72" s="96">
        <f>Amnt_Deposited!B67</f>
        <v>2053</v>
      </c>
      <c r="P72" s="99">
        <f>Amnt_Deposited!C67</f>
        <v>0</v>
      </c>
      <c r="Q72" s="284">
        <f>MCF!R71</f>
        <v>0.8</v>
      </c>
      <c r="R72" s="67">
        <f t="shared" si="17"/>
        <v>0</v>
      </c>
      <c r="S72" s="67">
        <f t="shared" si="7"/>
        <v>0</v>
      </c>
      <c r="T72" s="67">
        <f t="shared" si="8"/>
        <v>0</v>
      </c>
      <c r="U72" s="67">
        <f t="shared" si="9"/>
        <v>1.296574447309916E-4</v>
      </c>
      <c r="V72" s="67">
        <f t="shared" si="10"/>
        <v>6.3768733551759649E-5</v>
      </c>
      <c r="W72" s="100">
        <f t="shared" si="11"/>
        <v>4.2512489034506428E-5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1.2990444589836743E-4</v>
      </c>
      <c r="J73" s="67">
        <f t="shared" si="16"/>
        <v>6.3890214826221319E-5</v>
      </c>
      <c r="K73" s="100">
        <f t="shared" si="6"/>
        <v>4.2593476550814208E-5</v>
      </c>
      <c r="O73" s="96">
        <f>Amnt_Deposited!B68</f>
        <v>2054</v>
      </c>
      <c r="P73" s="99">
        <f>Amnt_Deposited!C68</f>
        <v>0</v>
      </c>
      <c r="Q73" s="284">
        <f>MCF!R72</f>
        <v>0.8</v>
      </c>
      <c r="R73" s="67">
        <f t="shared" si="17"/>
        <v>0</v>
      </c>
      <c r="S73" s="67">
        <f t="shared" si="7"/>
        <v>0</v>
      </c>
      <c r="T73" s="67">
        <f t="shared" si="8"/>
        <v>0</v>
      </c>
      <c r="U73" s="67">
        <f t="shared" si="9"/>
        <v>8.6911984320941645E-5</v>
      </c>
      <c r="V73" s="67">
        <f t="shared" si="10"/>
        <v>4.2745460410049947E-5</v>
      </c>
      <c r="W73" s="100">
        <f t="shared" si="11"/>
        <v>2.8496973606699964E-5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8.7077554154827881E-5</v>
      </c>
      <c r="J74" s="67">
        <f t="shared" si="16"/>
        <v>4.2826891743539558E-5</v>
      </c>
      <c r="K74" s="100">
        <f t="shared" si="6"/>
        <v>2.8551261162359704E-5</v>
      </c>
      <c r="O74" s="96">
        <f>Amnt_Deposited!B69</f>
        <v>2055</v>
      </c>
      <c r="P74" s="99">
        <f>Amnt_Deposited!C69</f>
        <v>0</v>
      </c>
      <c r="Q74" s="284">
        <f>MCF!R73</f>
        <v>0.8</v>
      </c>
      <c r="R74" s="67">
        <f t="shared" si="17"/>
        <v>0</v>
      </c>
      <c r="S74" s="67">
        <f t="shared" si="7"/>
        <v>0</v>
      </c>
      <c r="T74" s="67">
        <f t="shared" si="8"/>
        <v>0</v>
      </c>
      <c r="U74" s="67">
        <f t="shared" si="9"/>
        <v>5.8258845331062368E-5</v>
      </c>
      <c r="V74" s="67">
        <f t="shared" si="10"/>
        <v>2.865313898987928E-5</v>
      </c>
      <c r="W74" s="100">
        <f t="shared" si="11"/>
        <v>1.910209265991952E-5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5.8369830109735104E-5</v>
      </c>
      <c r="J75" s="67">
        <f t="shared" si="16"/>
        <v>2.870772404509278E-5</v>
      </c>
      <c r="K75" s="100">
        <f t="shared" si="6"/>
        <v>1.913848269672852E-5</v>
      </c>
      <c r="O75" s="96">
        <f>Amnt_Deposited!B70</f>
        <v>2056</v>
      </c>
      <c r="P75" s="99">
        <f>Amnt_Deposited!C70</f>
        <v>0</v>
      </c>
      <c r="Q75" s="284">
        <f>MCF!R74</f>
        <v>0.8</v>
      </c>
      <c r="R75" s="67">
        <f t="shared" si="17"/>
        <v>0</v>
      </c>
      <c r="S75" s="67">
        <f t="shared" si="7"/>
        <v>0</v>
      </c>
      <c r="T75" s="67">
        <f t="shared" si="8"/>
        <v>0</v>
      </c>
      <c r="U75" s="67">
        <f t="shared" si="9"/>
        <v>3.9052071884300919E-5</v>
      </c>
      <c r="V75" s="67">
        <f t="shared" si="10"/>
        <v>1.920677344676145E-5</v>
      </c>
      <c r="W75" s="100">
        <f t="shared" si="11"/>
        <v>1.2804515631174299E-5</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3.9126467206250078E-5</v>
      </c>
      <c r="J76" s="67">
        <f t="shared" si="16"/>
        <v>1.9243362903485022E-5</v>
      </c>
      <c r="K76" s="100">
        <f t="shared" si="6"/>
        <v>1.2828908602323347E-5</v>
      </c>
      <c r="O76" s="96">
        <f>Amnt_Deposited!B71</f>
        <v>2057</v>
      </c>
      <c r="P76" s="99">
        <f>Amnt_Deposited!C71</f>
        <v>0</v>
      </c>
      <c r="Q76" s="284">
        <f>MCF!R75</f>
        <v>0.8</v>
      </c>
      <c r="R76" s="67">
        <f t="shared" si="17"/>
        <v>0</v>
      </c>
      <c r="S76" s="67">
        <f t="shared" si="7"/>
        <v>0</v>
      </c>
      <c r="T76" s="67">
        <f t="shared" si="8"/>
        <v>0</v>
      </c>
      <c r="U76" s="67">
        <f t="shared" si="9"/>
        <v>2.6177386623271687E-5</v>
      </c>
      <c r="V76" s="67">
        <f t="shared" si="10"/>
        <v>1.287468526102923E-5</v>
      </c>
      <c r="W76" s="100">
        <f t="shared" si="11"/>
        <v>8.5831235073528187E-6</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2.6227255298905485E-5</v>
      </c>
      <c r="J77" s="67">
        <f t="shared" si="16"/>
        <v>1.2899211907344594E-5</v>
      </c>
      <c r="K77" s="100">
        <f t="shared" si="6"/>
        <v>8.5994746048963957E-6</v>
      </c>
      <c r="O77" s="96">
        <f>Amnt_Deposited!B72</f>
        <v>2058</v>
      </c>
      <c r="P77" s="99">
        <f>Amnt_Deposited!C72</f>
        <v>0</v>
      </c>
      <c r="Q77" s="284">
        <f>MCF!R76</f>
        <v>0.8</v>
      </c>
      <c r="R77" s="67">
        <f t="shared" si="17"/>
        <v>0</v>
      </c>
      <c r="S77" s="67">
        <f t="shared" si="7"/>
        <v>0</v>
      </c>
      <c r="T77" s="67">
        <f t="shared" si="8"/>
        <v>0</v>
      </c>
      <c r="U77" s="67">
        <f t="shared" si="9"/>
        <v>1.7547227006404207E-5</v>
      </c>
      <c r="V77" s="67">
        <f t="shared" si="10"/>
        <v>8.6301596168674803E-6</v>
      </c>
      <c r="W77" s="100">
        <f t="shared" si="11"/>
        <v>5.7534397445783202E-6</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1.758065497935079E-5</v>
      </c>
      <c r="J78" s="67">
        <f t="shared" si="16"/>
        <v>8.6466003195546951E-6</v>
      </c>
      <c r="K78" s="100">
        <f t="shared" si="6"/>
        <v>5.7644002130364631E-6</v>
      </c>
      <c r="O78" s="96">
        <f>Amnt_Deposited!B73</f>
        <v>2059</v>
      </c>
      <c r="P78" s="99">
        <f>Amnt_Deposited!C73</f>
        <v>0</v>
      </c>
      <c r="Q78" s="284">
        <f>MCF!R77</f>
        <v>0.8</v>
      </c>
      <c r="R78" s="67">
        <f t="shared" si="17"/>
        <v>0</v>
      </c>
      <c r="S78" s="67">
        <f t="shared" si="7"/>
        <v>0</v>
      </c>
      <c r="T78" s="67">
        <f t="shared" si="8"/>
        <v>0</v>
      </c>
      <c r="U78" s="67">
        <f t="shared" si="9"/>
        <v>1.1762258014730682E-5</v>
      </c>
      <c r="V78" s="67">
        <f t="shared" si="10"/>
        <v>5.7849689916735254E-6</v>
      </c>
      <c r="W78" s="100">
        <f t="shared" si="11"/>
        <v>3.8566459944490166E-6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1.1784665455095114E-5</v>
      </c>
      <c r="J79" s="67">
        <f t="shared" si="16"/>
        <v>5.7959895242556767E-6</v>
      </c>
      <c r="K79" s="100">
        <f t="shared" si="6"/>
        <v>3.8639930161704508E-6</v>
      </c>
      <c r="O79" s="96">
        <f>Amnt_Deposited!B74</f>
        <v>2060</v>
      </c>
      <c r="P79" s="99">
        <f>Amnt_Deposited!C74</f>
        <v>0</v>
      </c>
      <c r="Q79" s="284">
        <f>MCF!R78</f>
        <v>0.8</v>
      </c>
      <c r="R79" s="67">
        <f t="shared" si="17"/>
        <v>0</v>
      </c>
      <c r="S79" s="67">
        <f t="shared" si="7"/>
        <v>0</v>
      </c>
      <c r="T79" s="67">
        <f t="shared" si="8"/>
        <v>0</v>
      </c>
      <c r="U79" s="67">
        <f t="shared" si="9"/>
        <v>7.8844773339173379E-6</v>
      </c>
      <c r="V79" s="67">
        <f t="shared" si="10"/>
        <v>3.8777806808133437E-6</v>
      </c>
      <c r="W79" s="100">
        <f t="shared" si="11"/>
        <v>2.5851871205422291E-6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7.8994974903739645E-6</v>
      </c>
      <c r="J80" s="67">
        <f t="shared" si="16"/>
        <v>3.8851679647211485E-6</v>
      </c>
      <c r="K80" s="100">
        <f t="shared" si="6"/>
        <v>2.5901119764807655E-6</v>
      </c>
      <c r="O80" s="96">
        <f>Amnt_Deposited!B75</f>
        <v>2061</v>
      </c>
      <c r="P80" s="99">
        <f>Amnt_Deposited!C75</f>
        <v>0</v>
      </c>
      <c r="Q80" s="284">
        <f>MCF!R79</f>
        <v>0.8</v>
      </c>
      <c r="R80" s="67">
        <f t="shared" si="17"/>
        <v>0</v>
      </c>
      <c r="S80" s="67">
        <f t="shared" si="7"/>
        <v>0</v>
      </c>
      <c r="T80" s="67">
        <f t="shared" si="8"/>
        <v>0</v>
      </c>
      <c r="U80" s="67">
        <f t="shared" si="9"/>
        <v>5.2851232094384245E-6</v>
      </c>
      <c r="V80" s="67">
        <f t="shared" si="10"/>
        <v>2.5993541244789129E-6</v>
      </c>
      <c r="W80" s="100">
        <f t="shared" si="11"/>
        <v>1.7329027496526085E-6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5.2951915214058929E-6</v>
      </c>
      <c r="J81" s="67">
        <f t="shared" si="16"/>
        <v>2.6043059689680712E-6</v>
      </c>
      <c r="K81" s="100">
        <f t="shared" si="6"/>
        <v>1.7362039793120475E-6</v>
      </c>
      <c r="O81" s="96">
        <f>Amnt_Deposited!B76</f>
        <v>2062</v>
      </c>
      <c r="P81" s="99">
        <f>Amnt_Deposited!C76</f>
        <v>0</v>
      </c>
      <c r="Q81" s="284">
        <f>MCF!R80</f>
        <v>0.8</v>
      </c>
      <c r="R81" s="67">
        <f t="shared" si="17"/>
        <v>0</v>
      </c>
      <c r="S81" s="67">
        <f t="shared" si="7"/>
        <v>0</v>
      </c>
      <c r="T81" s="67">
        <f t="shared" si="8"/>
        <v>0</v>
      </c>
      <c r="U81" s="67">
        <f t="shared" si="9"/>
        <v>3.5427240330547906E-6</v>
      </c>
      <c r="V81" s="67">
        <f t="shared" si="10"/>
        <v>1.7423991763836339E-6</v>
      </c>
      <c r="W81" s="100">
        <f t="shared" si="11"/>
        <v>1.1615994509224226E-6</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3.5494730243963251E-6</v>
      </c>
      <c r="J82" s="67">
        <f t="shared" si="16"/>
        <v>1.7457184970095678E-6</v>
      </c>
      <c r="K82" s="100">
        <f t="shared" si="6"/>
        <v>1.1638123313397118E-6</v>
      </c>
      <c r="O82" s="96">
        <f>Amnt_Deposited!B77</f>
        <v>2063</v>
      </c>
      <c r="P82" s="99">
        <f>Amnt_Deposited!C77</f>
        <v>0</v>
      </c>
      <c r="Q82" s="284">
        <f>MCF!R81</f>
        <v>0.8</v>
      </c>
      <c r="R82" s="67">
        <f t="shared" si="17"/>
        <v>0</v>
      </c>
      <c r="S82" s="67">
        <f t="shared" si="7"/>
        <v>0</v>
      </c>
      <c r="T82" s="67">
        <f t="shared" si="8"/>
        <v>0</v>
      </c>
      <c r="U82" s="67">
        <f t="shared" si="9"/>
        <v>2.3747589369288532E-6</v>
      </c>
      <c r="V82" s="67">
        <f t="shared" si="10"/>
        <v>1.1679650961259376E-6</v>
      </c>
      <c r="W82" s="100">
        <f t="shared" si="11"/>
        <v>7.7864339741729166E-7</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2.3792829211156048E-6</v>
      </c>
      <c r="J83" s="67">
        <f t="shared" ref="J83:J99" si="22">I82*(1-$K$10)+H83</f>
        <v>1.1701901032807205E-6</v>
      </c>
      <c r="K83" s="100">
        <f t="shared" si="6"/>
        <v>7.8012673552048031E-7</v>
      </c>
      <c r="O83" s="96">
        <f>Amnt_Deposited!B78</f>
        <v>2064</v>
      </c>
      <c r="P83" s="99">
        <f>Amnt_Deposited!C78</f>
        <v>0</v>
      </c>
      <c r="Q83" s="284">
        <f>MCF!R82</f>
        <v>0.8</v>
      </c>
      <c r="R83" s="67">
        <f t="shared" ref="R83:R99" si="23">P83*$W$6*DOCF*Q83</f>
        <v>0</v>
      </c>
      <c r="S83" s="67">
        <f t="shared" si="7"/>
        <v>0</v>
      </c>
      <c r="T83" s="67">
        <f t="shared" si="8"/>
        <v>0</v>
      </c>
      <c r="U83" s="67">
        <f t="shared" si="9"/>
        <v>1.5918485199256949E-6</v>
      </c>
      <c r="V83" s="67">
        <f t="shared" si="10"/>
        <v>7.8291041700315842E-7</v>
      </c>
      <c r="W83" s="100">
        <f t="shared" si="11"/>
        <v>5.2194027800210554E-7</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1.5948810372140227E-6</v>
      </c>
      <c r="J84" s="67">
        <f t="shared" si="22"/>
        <v>7.844018839015822E-7</v>
      </c>
      <c r="K84" s="100">
        <f t="shared" si="6"/>
        <v>5.2293458926772139E-7</v>
      </c>
      <c r="O84" s="96">
        <f>Amnt_Deposited!B79</f>
        <v>2065</v>
      </c>
      <c r="P84" s="99">
        <f>Amnt_Deposited!C79</f>
        <v>0</v>
      </c>
      <c r="Q84" s="284">
        <f>MCF!R83</f>
        <v>0.8</v>
      </c>
      <c r="R84" s="67">
        <f t="shared" si="23"/>
        <v>0</v>
      </c>
      <c r="S84" s="67">
        <f t="shared" si="7"/>
        <v>0</v>
      </c>
      <c r="T84" s="67">
        <f t="shared" si="8"/>
        <v>0</v>
      </c>
      <c r="U84" s="67">
        <f t="shared" si="9"/>
        <v>1.0670479731583562E-6</v>
      </c>
      <c r="V84" s="67">
        <f t="shared" si="10"/>
        <v>5.248005467673388E-7</v>
      </c>
      <c r="W84" s="100">
        <f t="shared" si="11"/>
        <v>3.4986703117822587E-7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1.0690807302866718E-6</v>
      </c>
      <c r="J85" s="67">
        <f t="shared" si="22"/>
        <v>5.2580030692735079E-7</v>
      </c>
      <c r="K85" s="100">
        <f t="shared" ref="K85:K99" si="24">J85*CH4_fraction*conv</f>
        <v>3.5053353795156716E-7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7.1526364648974493E-7</v>
      </c>
      <c r="V85" s="67">
        <f t="shared" ref="V85:V98" si="28">U84*(1-$W$10)+T85</f>
        <v>3.5178432666861124E-7</v>
      </c>
      <c r="W85" s="100">
        <f t="shared" ref="W85:W99" si="29">V85*CH4_fraction*conv</f>
        <v>2.3452288444574081E-7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7.1662624434157669E-7</v>
      </c>
      <c r="J86" s="67">
        <f t="shared" si="22"/>
        <v>3.5245448594509504E-7</v>
      </c>
      <c r="K86" s="100">
        <f t="shared" si="24"/>
        <v>2.3496965729673001E-7</v>
      </c>
      <c r="O86" s="96">
        <f>Amnt_Deposited!B81</f>
        <v>2067</v>
      </c>
      <c r="P86" s="99">
        <f>Amnt_Deposited!C81</f>
        <v>0</v>
      </c>
      <c r="Q86" s="284">
        <f>MCF!R85</f>
        <v>0.8</v>
      </c>
      <c r="R86" s="67">
        <f t="shared" si="23"/>
        <v>0</v>
      </c>
      <c r="S86" s="67">
        <f t="shared" si="25"/>
        <v>0</v>
      </c>
      <c r="T86" s="67">
        <f t="shared" si="26"/>
        <v>0</v>
      </c>
      <c r="U86" s="67">
        <f t="shared" si="27"/>
        <v>4.7945556044262508E-7</v>
      </c>
      <c r="V86" s="67">
        <f t="shared" si="28"/>
        <v>2.3580808604711984E-7</v>
      </c>
      <c r="W86" s="100">
        <f t="shared" si="29"/>
        <v>1.572053906980799E-7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4.8036893709739297E-7</v>
      </c>
      <c r="J87" s="67">
        <f t="shared" si="22"/>
        <v>2.3625730724418369E-7</v>
      </c>
      <c r="K87" s="100">
        <f t="shared" si="24"/>
        <v>1.5750487149612246E-7</v>
      </c>
      <c r="O87" s="96">
        <f>Amnt_Deposited!B82</f>
        <v>2068</v>
      </c>
      <c r="P87" s="99">
        <f>Amnt_Deposited!C82</f>
        <v>0</v>
      </c>
      <c r="Q87" s="284">
        <f>MCF!R86</f>
        <v>0.8</v>
      </c>
      <c r="R87" s="67">
        <f t="shared" si="23"/>
        <v>0</v>
      </c>
      <c r="S87" s="67">
        <f t="shared" si="25"/>
        <v>0</v>
      </c>
      <c r="T87" s="67">
        <f t="shared" si="26"/>
        <v>0</v>
      </c>
      <c r="U87" s="67">
        <f t="shared" si="27"/>
        <v>3.2138867334794372E-7</v>
      </c>
      <c r="V87" s="67">
        <f t="shared" si="28"/>
        <v>1.5806688709468139E-7</v>
      </c>
      <c r="W87" s="100">
        <f t="shared" si="29"/>
        <v>1.0537792472978759E-7</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3.2200092802921557E-7</v>
      </c>
      <c r="J88" s="67">
        <f t="shared" si="22"/>
        <v>1.5836800906817738E-7</v>
      </c>
      <c r="K88" s="100">
        <f t="shared" si="24"/>
        <v>1.0557867271211825E-7</v>
      </c>
      <c r="O88" s="96">
        <f>Amnt_Deposited!B83</f>
        <v>2069</v>
      </c>
      <c r="P88" s="99">
        <f>Amnt_Deposited!C83</f>
        <v>0</v>
      </c>
      <c r="Q88" s="284">
        <f>MCF!R87</f>
        <v>0.8</v>
      </c>
      <c r="R88" s="67">
        <f t="shared" si="23"/>
        <v>0</v>
      </c>
      <c r="S88" s="67">
        <f t="shared" si="25"/>
        <v>0</v>
      </c>
      <c r="T88" s="67">
        <f t="shared" si="26"/>
        <v>0</v>
      </c>
      <c r="U88" s="67">
        <f t="shared" si="27"/>
        <v>2.1543327031392668E-7</v>
      </c>
      <c r="V88" s="67">
        <f t="shared" si="28"/>
        <v>1.0595540303401703E-7</v>
      </c>
      <c r="W88" s="100">
        <f t="shared" si="29"/>
        <v>7.0636935356011351E-8</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2.1584367690006237E-7</v>
      </c>
      <c r="J89" s="67">
        <f t="shared" si="22"/>
        <v>1.061572511291532E-7</v>
      </c>
      <c r="K89" s="100">
        <f t="shared" si="24"/>
        <v>7.0771500752768801E-8</v>
      </c>
      <c r="O89" s="96">
        <f>Amnt_Deposited!B84</f>
        <v>2070</v>
      </c>
      <c r="P89" s="99">
        <f>Amnt_Deposited!C84</f>
        <v>0</v>
      </c>
      <c r="Q89" s="284">
        <f>MCF!R88</f>
        <v>0.8</v>
      </c>
      <c r="R89" s="67">
        <f t="shared" si="23"/>
        <v>0</v>
      </c>
      <c r="S89" s="67">
        <f t="shared" si="25"/>
        <v>0</v>
      </c>
      <c r="T89" s="67">
        <f t="shared" si="26"/>
        <v>0</v>
      </c>
      <c r="U89" s="67">
        <f t="shared" si="27"/>
        <v>1.4440923967443966E-7</v>
      </c>
      <c r="V89" s="67">
        <f t="shared" si="28"/>
        <v>7.1024030639487023E-8</v>
      </c>
      <c r="W89" s="100">
        <f t="shared" si="29"/>
        <v>4.7349353759658011E-8</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1.4468434343615148E-7</v>
      </c>
      <c r="J90" s="67">
        <f t="shared" si="22"/>
        <v>7.1159333463910905E-8</v>
      </c>
      <c r="K90" s="100">
        <f t="shared" si="24"/>
        <v>4.743955564260727E-8</v>
      </c>
      <c r="O90" s="96">
        <f>Amnt_Deposited!B85</f>
        <v>2071</v>
      </c>
      <c r="P90" s="99">
        <f>Amnt_Deposited!C85</f>
        <v>0</v>
      </c>
      <c r="Q90" s="284">
        <f>MCF!R89</f>
        <v>0.8</v>
      </c>
      <c r="R90" s="67">
        <f t="shared" si="23"/>
        <v>0</v>
      </c>
      <c r="S90" s="67">
        <f t="shared" si="25"/>
        <v>0</v>
      </c>
      <c r="T90" s="67">
        <f t="shared" si="26"/>
        <v>0</v>
      </c>
      <c r="U90" s="67">
        <f t="shared" si="27"/>
        <v>9.680040818654207E-8</v>
      </c>
      <c r="V90" s="67">
        <f t="shared" si="28"/>
        <v>4.7608831487897597E-8</v>
      </c>
      <c r="W90" s="100">
        <f t="shared" si="29"/>
        <v>3.1739220991931731E-8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9.6984815752757315E-8</v>
      </c>
      <c r="J91" s="67">
        <f t="shared" si="22"/>
        <v>4.7699527683394171E-8</v>
      </c>
      <c r="K91" s="100">
        <f t="shared" si="24"/>
        <v>3.1799685122262776E-8</v>
      </c>
      <c r="O91" s="96">
        <f>Amnt_Deposited!B86</f>
        <v>2072</v>
      </c>
      <c r="P91" s="99">
        <f>Amnt_Deposited!C86</f>
        <v>0</v>
      </c>
      <c r="Q91" s="284">
        <f>MCF!R90</f>
        <v>0.8</v>
      </c>
      <c r="R91" s="67">
        <f t="shared" si="23"/>
        <v>0</v>
      </c>
      <c r="S91" s="67">
        <f t="shared" si="25"/>
        <v>0</v>
      </c>
      <c r="T91" s="67">
        <f t="shared" si="26"/>
        <v>0</v>
      </c>
      <c r="U91" s="67">
        <f t="shared" si="27"/>
        <v>6.4887254071871565E-8</v>
      </c>
      <c r="V91" s="67">
        <f t="shared" si="28"/>
        <v>3.1913154114670512E-8</v>
      </c>
      <c r="W91" s="100">
        <f t="shared" si="29"/>
        <v>2.1275436076447007E-8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6.5010866160146285E-8</v>
      </c>
      <c r="J92" s="67">
        <f t="shared" si="22"/>
        <v>3.1973949592611037E-8</v>
      </c>
      <c r="K92" s="100">
        <f t="shared" si="24"/>
        <v>2.1315966395074023E-8</v>
      </c>
      <c r="O92" s="96">
        <f>Amnt_Deposited!B87</f>
        <v>2073</v>
      </c>
      <c r="P92" s="99">
        <f>Amnt_Deposited!C87</f>
        <v>0</v>
      </c>
      <c r="Q92" s="284">
        <f>MCF!R91</f>
        <v>0.8</v>
      </c>
      <c r="R92" s="67">
        <f t="shared" si="23"/>
        <v>0</v>
      </c>
      <c r="S92" s="67">
        <f t="shared" si="25"/>
        <v>0</v>
      </c>
      <c r="T92" s="67">
        <f t="shared" si="26"/>
        <v>0</v>
      </c>
      <c r="U92" s="67">
        <f t="shared" si="27"/>
        <v>4.3495227136583172E-8</v>
      </c>
      <c r="V92" s="67">
        <f t="shared" si="28"/>
        <v>2.1392026935288393E-8</v>
      </c>
      <c r="W92" s="100">
        <f t="shared" si="29"/>
        <v>1.4261351290192261E-8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4.3578086797286043E-8</v>
      </c>
      <c r="J93" s="67">
        <f t="shared" si="22"/>
        <v>2.1432779362860239E-8</v>
      </c>
      <c r="K93" s="100">
        <f t="shared" si="24"/>
        <v>1.4288519575240159E-8</v>
      </c>
      <c r="O93" s="96">
        <f>Amnt_Deposited!B88</f>
        <v>2074</v>
      </c>
      <c r="P93" s="99">
        <f>Amnt_Deposited!C88</f>
        <v>0</v>
      </c>
      <c r="Q93" s="284">
        <f>MCF!R92</f>
        <v>0.8</v>
      </c>
      <c r="R93" s="67">
        <f t="shared" si="23"/>
        <v>0</v>
      </c>
      <c r="S93" s="67">
        <f t="shared" si="25"/>
        <v>0</v>
      </c>
      <c r="T93" s="67">
        <f t="shared" si="26"/>
        <v>0</v>
      </c>
      <c r="U93" s="67">
        <f t="shared" si="27"/>
        <v>2.9155722656525021E-8</v>
      </c>
      <c r="V93" s="67">
        <f t="shared" si="28"/>
        <v>1.4339504480058152E-8</v>
      </c>
      <c r="W93" s="100">
        <f t="shared" si="29"/>
        <v>9.5596696533721E-9</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2.9211265148101866E-8</v>
      </c>
      <c r="J94" s="67">
        <f t="shared" si="22"/>
        <v>1.4366821649184176E-8</v>
      </c>
      <c r="K94" s="100">
        <f t="shared" si="24"/>
        <v>9.5778810994561171E-9</v>
      </c>
      <c r="O94" s="96">
        <f>Amnt_Deposited!B89</f>
        <v>2075</v>
      </c>
      <c r="P94" s="99">
        <f>Amnt_Deposited!C89</f>
        <v>0</v>
      </c>
      <c r="Q94" s="284">
        <f>MCF!R93</f>
        <v>0.8</v>
      </c>
      <c r="R94" s="67">
        <f t="shared" si="23"/>
        <v>0</v>
      </c>
      <c r="S94" s="67">
        <f t="shared" si="25"/>
        <v>0</v>
      </c>
      <c r="T94" s="67">
        <f t="shared" si="26"/>
        <v>0</v>
      </c>
      <c r="U94" s="67">
        <f t="shared" si="27"/>
        <v>1.9543665353324185E-8</v>
      </c>
      <c r="V94" s="67">
        <f t="shared" si="28"/>
        <v>9.612057303200837E-9</v>
      </c>
      <c r="W94" s="100">
        <f t="shared" si="29"/>
        <v>6.408038202133891E-9</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1.9580896598834908E-8</v>
      </c>
      <c r="J95" s="67">
        <f t="shared" si="22"/>
        <v>9.6303685492669559E-9</v>
      </c>
      <c r="K95" s="100">
        <f t="shared" si="24"/>
        <v>6.4202456995113037E-9</v>
      </c>
      <c r="O95" s="96">
        <f>Amnt_Deposited!B90</f>
        <v>2076</v>
      </c>
      <c r="P95" s="99">
        <f>Amnt_Deposited!C90</f>
        <v>0</v>
      </c>
      <c r="Q95" s="284">
        <f>MCF!R94</f>
        <v>0.8</v>
      </c>
      <c r="R95" s="67">
        <f t="shared" si="23"/>
        <v>0</v>
      </c>
      <c r="S95" s="67">
        <f t="shared" si="25"/>
        <v>0</v>
      </c>
      <c r="T95" s="67">
        <f t="shared" si="26"/>
        <v>0</v>
      </c>
      <c r="U95" s="67">
        <f t="shared" si="27"/>
        <v>1.3100510659345397E-8</v>
      </c>
      <c r="V95" s="67">
        <f t="shared" si="28"/>
        <v>6.4431546939787884E-9</v>
      </c>
      <c r="W95" s="100">
        <f t="shared" si="29"/>
        <v>4.2954364626525256E-9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1.312546750955011E-8</v>
      </c>
      <c r="J96" s="67">
        <f t="shared" si="22"/>
        <v>6.4554290892847992E-9</v>
      </c>
      <c r="K96" s="100">
        <f t="shared" si="24"/>
        <v>4.3036193928565322E-9</v>
      </c>
      <c r="O96" s="96">
        <f>Amnt_Deposited!B91</f>
        <v>2077</v>
      </c>
      <c r="P96" s="99">
        <f>Amnt_Deposited!C91</f>
        <v>0</v>
      </c>
      <c r="Q96" s="284">
        <f>MCF!R95</f>
        <v>0.8</v>
      </c>
      <c r="R96" s="67">
        <f t="shared" si="23"/>
        <v>0</v>
      </c>
      <c r="S96" s="67">
        <f t="shared" si="25"/>
        <v>0</v>
      </c>
      <c r="T96" s="67">
        <f t="shared" si="26"/>
        <v>0</v>
      </c>
      <c r="U96" s="67">
        <f t="shared" si="27"/>
        <v>8.781534908262791E-9</v>
      </c>
      <c r="V96" s="67">
        <f t="shared" si="28"/>
        <v>4.3189757510826067E-9</v>
      </c>
      <c r="W96" s="100">
        <f t="shared" si="29"/>
        <v>2.8793171673884042E-9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8.7982639852409176E-9</v>
      </c>
      <c r="J97" s="67">
        <f t="shared" si="22"/>
        <v>4.3272035243091921E-9</v>
      </c>
      <c r="K97" s="100">
        <f t="shared" si="24"/>
        <v>2.8848023495394611E-9</v>
      </c>
      <c r="O97" s="96">
        <f>Amnt_Deposited!B92</f>
        <v>2078</v>
      </c>
      <c r="P97" s="99">
        <f>Amnt_Deposited!C92</f>
        <v>0</v>
      </c>
      <c r="Q97" s="284">
        <f>MCF!R96</f>
        <v>0.8</v>
      </c>
      <c r="R97" s="67">
        <f t="shared" si="23"/>
        <v>0</v>
      </c>
      <c r="S97" s="67">
        <f t="shared" si="25"/>
        <v>0</v>
      </c>
      <c r="T97" s="67">
        <f t="shared" si="26"/>
        <v>0</v>
      </c>
      <c r="U97" s="67">
        <f t="shared" si="27"/>
        <v>5.8864388839702876E-9</v>
      </c>
      <c r="V97" s="67">
        <f t="shared" si="28"/>
        <v>2.8950960242925029E-9</v>
      </c>
      <c r="W97" s="100">
        <f t="shared" si="29"/>
        <v>1.9300640161950018E-9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5.8976527196203993E-9</v>
      </c>
      <c r="J98" s="67">
        <f t="shared" si="22"/>
        <v>2.9006112656205184E-9</v>
      </c>
      <c r="K98" s="100">
        <f t="shared" si="24"/>
        <v>1.933740843747012E-9</v>
      </c>
      <c r="O98" s="96">
        <f>Amnt_Deposited!B93</f>
        <v>2079</v>
      </c>
      <c r="P98" s="99">
        <f>Amnt_Deposited!C93</f>
        <v>0</v>
      </c>
      <c r="Q98" s="284">
        <f>MCF!R97</f>
        <v>0.8</v>
      </c>
      <c r="R98" s="67">
        <f t="shared" si="23"/>
        <v>0</v>
      </c>
      <c r="S98" s="67">
        <f t="shared" si="25"/>
        <v>0</v>
      </c>
      <c r="T98" s="67">
        <f t="shared" si="26"/>
        <v>0</v>
      </c>
      <c r="U98" s="67">
        <f t="shared" si="27"/>
        <v>3.9457979836889408E-9</v>
      </c>
      <c r="V98" s="67">
        <f t="shared" si="28"/>
        <v>1.9406409002813472E-9</v>
      </c>
      <c r="W98" s="100">
        <f t="shared" si="29"/>
        <v>1.2937606001875647E-9</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3.9533148425181598E-9</v>
      </c>
      <c r="J99" s="68">
        <f t="shared" si="22"/>
        <v>1.9443378771022399E-9</v>
      </c>
      <c r="K99" s="102">
        <f t="shared" si="24"/>
        <v>1.2962252514014933E-9</v>
      </c>
      <c r="O99" s="97">
        <f>Amnt_Deposited!B94</f>
        <v>2080</v>
      </c>
      <c r="P99" s="101">
        <f>Amnt_Deposited!C94</f>
        <v>0</v>
      </c>
      <c r="Q99" s="285">
        <f>MCF!R98</f>
        <v>0.8</v>
      </c>
      <c r="R99" s="68">
        <f t="shared" si="23"/>
        <v>0</v>
      </c>
      <c r="S99" s="68">
        <f>R99*$W$12</f>
        <v>0</v>
      </c>
      <c r="T99" s="68">
        <f>R99*(1-$W$12)</f>
        <v>0</v>
      </c>
      <c r="U99" s="68">
        <f>S99+U98*$W$10</f>
        <v>2.6449474860737035E-9</v>
      </c>
      <c r="V99" s="68">
        <f>U98*(1-$W$10)+T99</f>
        <v>1.3008504976152371E-9</v>
      </c>
      <c r="W99" s="102">
        <f t="shared" si="29"/>
        <v>8.6723366507682471E-10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0.93403494280800003</v>
      </c>
      <c r="D19" s="416">
        <f>Dry_Matter_Content!D6</f>
        <v>0.44</v>
      </c>
      <c r="E19" s="283">
        <f>MCF!R18</f>
        <v>0.8</v>
      </c>
      <c r="F19" s="130">
        <f t="shared" ref="F19:F50" si="0">C19*D19*$K$6*DOCF*E19</f>
        <v>7.233166597105152E-2</v>
      </c>
      <c r="G19" s="65">
        <f t="shared" ref="G19:G82" si="1">F19*$K$12</f>
        <v>7.233166597105152E-2</v>
      </c>
      <c r="H19" s="65">
        <f t="shared" ref="H19:H82" si="2">F19*(1-$K$12)</f>
        <v>0</v>
      </c>
      <c r="I19" s="65">
        <f t="shared" ref="I19:I82" si="3">G19+I18*$K$10</f>
        <v>7.233166597105152E-2</v>
      </c>
      <c r="J19" s="65">
        <f t="shared" ref="J19:J82" si="4">I18*(1-$K$10)+H19</f>
        <v>0</v>
      </c>
      <c r="K19" s="66">
        <f>J19*CH4_fraction*conv</f>
        <v>0</v>
      </c>
      <c r="O19" s="95">
        <f>Amnt_Deposited!B14</f>
        <v>2000</v>
      </c>
      <c r="P19" s="98">
        <f>Amnt_Deposited!D14</f>
        <v>0.93403494280800003</v>
      </c>
      <c r="Q19" s="283">
        <f>MCF!R18</f>
        <v>0.8</v>
      </c>
      <c r="R19" s="130">
        <f t="shared" ref="R19:R50" si="5">P19*$W$6*DOCF*Q19</f>
        <v>0.14944559084928002</v>
      </c>
      <c r="S19" s="65">
        <f>R19*$W$12</f>
        <v>0.14944559084928002</v>
      </c>
      <c r="T19" s="65">
        <f>R19*(1-$W$12)</f>
        <v>0</v>
      </c>
      <c r="U19" s="65">
        <f>S19+U18*$W$10</f>
        <v>0.14944559084928002</v>
      </c>
      <c r="V19" s="65">
        <f>U18*(1-$W$10)+T19</f>
        <v>0</v>
      </c>
      <c r="W19" s="66">
        <f>V19*CH4_fraction*conv</f>
        <v>0</v>
      </c>
    </row>
    <row r="20" spans="2:23">
      <c r="B20" s="96">
        <f>Amnt_Deposited!B15</f>
        <v>2001</v>
      </c>
      <c r="C20" s="99">
        <f>Amnt_Deposited!D15</f>
        <v>0.98585067002399995</v>
      </c>
      <c r="D20" s="418">
        <f>Dry_Matter_Content!D7</f>
        <v>0.44</v>
      </c>
      <c r="E20" s="284">
        <f>MCF!R19</f>
        <v>0.8</v>
      </c>
      <c r="F20" s="67">
        <f t="shared" si="0"/>
        <v>7.6344275886658555E-2</v>
      </c>
      <c r="G20" s="67">
        <f t="shared" si="1"/>
        <v>7.6344275886658555E-2</v>
      </c>
      <c r="H20" s="67">
        <f t="shared" si="2"/>
        <v>0</v>
      </c>
      <c r="I20" s="67">
        <f t="shared" si="3"/>
        <v>0.14378587422156835</v>
      </c>
      <c r="J20" s="67">
        <f t="shared" si="4"/>
        <v>4.8900676361417024E-3</v>
      </c>
      <c r="K20" s="100">
        <f>J20*CH4_fraction*conv</f>
        <v>3.2600450907611348E-3</v>
      </c>
      <c r="M20" s="393"/>
      <c r="O20" s="96">
        <f>Amnt_Deposited!B15</f>
        <v>2001</v>
      </c>
      <c r="P20" s="99">
        <f>Amnt_Deposited!D15</f>
        <v>0.98585067002399995</v>
      </c>
      <c r="Q20" s="284">
        <f>MCF!R19</f>
        <v>0.8</v>
      </c>
      <c r="R20" s="67">
        <f t="shared" si="5"/>
        <v>0.15773610720384001</v>
      </c>
      <c r="S20" s="67">
        <f>R20*$W$12</f>
        <v>0.15773610720384001</v>
      </c>
      <c r="T20" s="67">
        <f>R20*(1-$W$12)</f>
        <v>0</v>
      </c>
      <c r="U20" s="67">
        <f>S20+U19*$W$10</f>
        <v>0.29707825252390163</v>
      </c>
      <c r="V20" s="67">
        <f>U19*(1-$W$10)+T20</f>
        <v>1.0103445529218394E-2</v>
      </c>
      <c r="W20" s="100">
        <f>V20*CH4_fraction*conv</f>
        <v>6.7356303528122623E-3</v>
      </c>
    </row>
    <row r="21" spans="2:23">
      <c r="B21" s="96">
        <f>Amnt_Deposited!B16</f>
        <v>2002</v>
      </c>
      <c r="C21" s="99">
        <f>Amnt_Deposited!D16</f>
        <v>1.0416265310880002</v>
      </c>
      <c r="D21" s="418">
        <f>Dry_Matter_Content!D8</f>
        <v>0.44</v>
      </c>
      <c r="E21" s="284">
        <f>MCF!R20</f>
        <v>0.8</v>
      </c>
      <c r="F21" s="67">
        <f t="shared" si="0"/>
        <v>8.0663558567454732E-2</v>
      </c>
      <c r="G21" s="67">
        <f t="shared" si="1"/>
        <v>8.0663558567454732E-2</v>
      </c>
      <c r="H21" s="67">
        <f t="shared" si="2"/>
        <v>0</v>
      </c>
      <c r="I21" s="67">
        <f t="shared" si="3"/>
        <v>0.21472861908141905</v>
      </c>
      <c r="J21" s="67">
        <f t="shared" si="4"/>
        <v>9.7208137076040205E-3</v>
      </c>
      <c r="K21" s="100">
        <f t="shared" ref="K21:K84" si="6">J21*CH4_fraction*conv</f>
        <v>6.4805424717360137E-3</v>
      </c>
      <c r="O21" s="96">
        <f>Amnt_Deposited!B16</f>
        <v>2002</v>
      </c>
      <c r="P21" s="99">
        <f>Amnt_Deposited!D16</f>
        <v>1.0416265310880002</v>
      </c>
      <c r="Q21" s="284">
        <f>MCF!R20</f>
        <v>0.8</v>
      </c>
      <c r="R21" s="67">
        <f t="shared" si="5"/>
        <v>0.16666024497408005</v>
      </c>
      <c r="S21" s="67">
        <f t="shared" ref="S21:S84" si="7">R21*$W$12</f>
        <v>0.16666024497408005</v>
      </c>
      <c r="T21" s="67">
        <f t="shared" ref="T21:T84" si="8">R21*(1-$W$12)</f>
        <v>0</v>
      </c>
      <c r="U21" s="67">
        <f t="shared" ref="U21:U84" si="9">S21+U20*$W$10</f>
        <v>0.4436541716558246</v>
      </c>
      <c r="V21" s="67">
        <f t="shared" ref="V21:V84" si="10">U20*(1-$W$10)+T21</f>
        <v>2.008432584215707E-2</v>
      </c>
      <c r="W21" s="100">
        <f t="shared" ref="W21:W84" si="11">V21*CH4_fraction*conv</f>
        <v>1.3389550561438045E-2</v>
      </c>
    </row>
    <row r="22" spans="2:23">
      <c r="B22" s="96">
        <f>Amnt_Deposited!B17</f>
        <v>2003</v>
      </c>
      <c r="C22" s="99">
        <f>Amnt_Deposited!D17</f>
        <v>1.060695609336</v>
      </c>
      <c r="D22" s="418">
        <f>Dry_Matter_Content!D9</f>
        <v>0.44</v>
      </c>
      <c r="E22" s="284">
        <f>MCF!R21</f>
        <v>0.8</v>
      </c>
      <c r="F22" s="67">
        <f t="shared" si="0"/>
        <v>8.2140267986979862E-2</v>
      </c>
      <c r="G22" s="67">
        <f t="shared" si="1"/>
        <v>8.2140267986979862E-2</v>
      </c>
      <c r="H22" s="67">
        <f t="shared" si="2"/>
        <v>0</v>
      </c>
      <c r="I22" s="67">
        <f t="shared" si="3"/>
        <v>0.28235190537543348</v>
      </c>
      <c r="J22" s="67">
        <f t="shared" si="4"/>
        <v>1.4516981692965449E-2</v>
      </c>
      <c r="K22" s="100">
        <f t="shared" si="6"/>
        <v>9.6779877953102993E-3</v>
      </c>
      <c r="N22" s="258"/>
      <c r="O22" s="96">
        <f>Amnt_Deposited!B17</f>
        <v>2003</v>
      </c>
      <c r="P22" s="99">
        <f>Amnt_Deposited!D17</f>
        <v>1.060695609336</v>
      </c>
      <c r="Q22" s="284">
        <f>MCF!R21</f>
        <v>0.8</v>
      </c>
      <c r="R22" s="67">
        <f t="shared" si="5"/>
        <v>0.16971129749376002</v>
      </c>
      <c r="S22" s="67">
        <f t="shared" si="7"/>
        <v>0.16971129749376002</v>
      </c>
      <c r="T22" s="67">
        <f t="shared" si="8"/>
        <v>0</v>
      </c>
      <c r="U22" s="67">
        <f t="shared" si="9"/>
        <v>0.58337170532114357</v>
      </c>
      <c r="V22" s="67">
        <f t="shared" si="10"/>
        <v>2.9993763828441017E-2</v>
      </c>
      <c r="W22" s="100">
        <f t="shared" si="11"/>
        <v>1.9995842552294009E-2</v>
      </c>
    </row>
    <row r="23" spans="2:23">
      <c r="B23" s="96">
        <f>Amnt_Deposited!B18</f>
        <v>2004</v>
      </c>
      <c r="C23" s="99">
        <f>Amnt_Deposited!D18</f>
        <v>1.1191036075559999</v>
      </c>
      <c r="D23" s="418">
        <f>Dry_Matter_Content!D10</f>
        <v>0.44</v>
      </c>
      <c r="E23" s="284">
        <f>MCF!R22</f>
        <v>0.8</v>
      </c>
      <c r="F23" s="67">
        <f t="shared" si="0"/>
        <v>8.6663383369136648E-2</v>
      </c>
      <c r="G23" s="67">
        <f t="shared" si="1"/>
        <v>8.6663383369136648E-2</v>
      </c>
      <c r="H23" s="67">
        <f t="shared" si="2"/>
        <v>0</v>
      </c>
      <c r="I23" s="67">
        <f t="shared" si="3"/>
        <v>0.34992655497985992</v>
      </c>
      <c r="J23" s="67">
        <f t="shared" si="4"/>
        <v>1.9088733764710208E-2</v>
      </c>
      <c r="K23" s="100">
        <f t="shared" si="6"/>
        <v>1.2725822509806806E-2</v>
      </c>
      <c r="N23" s="258"/>
      <c r="O23" s="96">
        <f>Amnt_Deposited!B18</f>
        <v>2004</v>
      </c>
      <c r="P23" s="99">
        <f>Amnt_Deposited!D18</f>
        <v>1.1191036075559999</v>
      </c>
      <c r="Q23" s="284">
        <f>MCF!R22</f>
        <v>0.8</v>
      </c>
      <c r="R23" s="67">
        <f t="shared" si="5"/>
        <v>0.17905657720896001</v>
      </c>
      <c r="S23" s="67">
        <f t="shared" si="7"/>
        <v>0.17905657720896001</v>
      </c>
      <c r="T23" s="67">
        <f t="shared" si="8"/>
        <v>0</v>
      </c>
      <c r="U23" s="67">
        <f t="shared" si="9"/>
        <v>0.72298874995838824</v>
      </c>
      <c r="V23" s="67">
        <f t="shared" si="10"/>
        <v>3.9439532571715306E-2</v>
      </c>
      <c r="W23" s="100">
        <f t="shared" si="11"/>
        <v>2.629302171447687E-2</v>
      </c>
    </row>
    <row r="24" spans="2:23">
      <c r="B24" s="96">
        <f>Amnt_Deposited!B19</f>
        <v>2005</v>
      </c>
      <c r="C24" s="99">
        <f>Amnt_Deposited!D19</f>
        <v>1.199586568752</v>
      </c>
      <c r="D24" s="418">
        <f>Dry_Matter_Content!D11</f>
        <v>0.44</v>
      </c>
      <c r="E24" s="284">
        <f>MCF!R23</f>
        <v>0.8</v>
      </c>
      <c r="F24" s="67">
        <f t="shared" si="0"/>
        <v>9.2895983884154876E-2</v>
      </c>
      <c r="G24" s="67">
        <f t="shared" si="1"/>
        <v>9.2895983884154876E-2</v>
      </c>
      <c r="H24" s="67">
        <f t="shared" si="2"/>
        <v>0</v>
      </c>
      <c r="I24" s="67">
        <f t="shared" si="3"/>
        <v>0.4191653411683553</v>
      </c>
      <c r="J24" s="67">
        <f t="shared" si="4"/>
        <v>2.3657197695659504E-2</v>
      </c>
      <c r="K24" s="100">
        <f t="shared" si="6"/>
        <v>1.5771465130439668E-2</v>
      </c>
      <c r="N24" s="258"/>
      <c r="O24" s="96">
        <f>Amnt_Deposited!B19</f>
        <v>2005</v>
      </c>
      <c r="P24" s="99">
        <f>Amnt_Deposited!D19</f>
        <v>1.199586568752</v>
      </c>
      <c r="Q24" s="284">
        <f>MCF!R23</f>
        <v>0.8</v>
      </c>
      <c r="R24" s="67">
        <f t="shared" si="5"/>
        <v>0.19193385100032001</v>
      </c>
      <c r="S24" s="67">
        <f t="shared" si="7"/>
        <v>0.19193385100032001</v>
      </c>
      <c r="T24" s="67">
        <f t="shared" si="8"/>
        <v>0</v>
      </c>
      <c r="U24" s="67">
        <f t="shared" si="9"/>
        <v>0.8660440933230481</v>
      </c>
      <c r="V24" s="67">
        <f t="shared" si="10"/>
        <v>4.887850763566013E-2</v>
      </c>
      <c r="W24" s="100">
        <f t="shared" si="11"/>
        <v>3.2585671757106749E-2</v>
      </c>
    </row>
    <row r="25" spans="2:23">
      <c r="B25" s="96">
        <f>Amnt_Deposited!B20</f>
        <v>2006</v>
      </c>
      <c r="C25" s="99">
        <f>Amnt_Deposited!D20</f>
        <v>1.2484043633159998</v>
      </c>
      <c r="D25" s="418">
        <f>Dry_Matter_Content!D12</f>
        <v>0.44</v>
      </c>
      <c r="E25" s="284">
        <f>MCF!R24</f>
        <v>0.8</v>
      </c>
      <c r="F25" s="67">
        <f t="shared" si="0"/>
        <v>9.6676433895191025E-2</v>
      </c>
      <c r="G25" s="67">
        <f t="shared" si="1"/>
        <v>9.6676433895191025E-2</v>
      </c>
      <c r="H25" s="67">
        <f t="shared" si="2"/>
        <v>0</v>
      </c>
      <c r="I25" s="67">
        <f t="shared" si="3"/>
        <v>0.48750360751933386</v>
      </c>
      <c r="J25" s="67">
        <f t="shared" si="4"/>
        <v>2.8338167544212464E-2</v>
      </c>
      <c r="K25" s="100">
        <f t="shared" si="6"/>
        <v>1.889211169614164E-2</v>
      </c>
      <c r="N25" s="258"/>
      <c r="O25" s="96">
        <f>Amnt_Deposited!B20</f>
        <v>2006</v>
      </c>
      <c r="P25" s="99">
        <f>Amnt_Deposited!D20</f>
        <v>1.2484043633159998</v>
      </c>
      <c r="Q25" s="284">
        <f>MCF!R24</f>
        <v>0.8</v>
      </c>
      <c r="R25" s="67">
        <f t="shared" si="5"/>
        <v>0.19974469813055998</v>
      </c>
      <c r="S25" s="67">
        <f t="shared" si="7"/>
        <v>0.19974469813055998</v>
      </c>
      <c r="T25" s="67">
        <f t="shared" si="8"/>
        <v>0</v>
      </c>
      <c r="U25" s="67">
        <f t="shared" si="9"/>
        <v>1.0072388585110204</v>
      </c>
      <c r="V25" s="67">
        <f t="shared" si="10"/>
        <v>5.8549932942587729E-2</v>
      </c>
      <c r="W25" s="100">
        <f t="shared" si="11"/>
        <v>3.9033288628391817E-2</v>
      </c>
    </row>
    <row r="26" spans="2:23">
      <c r="B26" s="96">
        <f>Amnt_Deposited!B21</f>
        <v>2007</v>
      </c>
      <c r="C26" s="99">
        <f>Amnt_Deposited!D21</f>
        <v>1.2986455794840002</v>
      </c>
      <c r="D26" s="418">
        <f>Dry_Matter_Content!D13</f>
        <v>0.44</v>
      </c>
      <c r="E26" s="284">
        <f>MCF!R25</f>
        <v>0.8</v>
      </c>
      <c r="F26" s="67">
        <f t="shared" si="0"/>
        <v>0.10056711367524099</v>
      </c>
      <c r="G26" s="67">
        <f t="shared" si="1"/>
        <v>0.10056711367524099</v>
      </c>
      <c r="H26" s="67">
        <f t="shared" si="2"/>
        <v>0</v>
      </c>
      <c r="I26" s="67">
        <f t="shared" si="3"/>
        <v>0.5551124645081229</v>
      </c>
      <c r="J26" s="67">
        <f t="shared" si="4"/>
        <v>3.2958256686451998E-2</v>
      </c>
      <c r="K26" s="100">
        <f t="shared" si="6"/>
        <v>2.1972171124301332E-2</v>
      </c>
      <c r="N26" s="258"/>
      <c r="O26" s="96">
        <f>Amnt_Deposited!B21</f>
        <v>2007</v>
      </c>
      <c r="P26" s="99">
        <f>Amnt_Deposited!D21</f>
        <v>1.2986455794840002</v>
      </c>
      <c r="Q26" s="284">
        <f>MCF!R25</f>
        <v>0.8</v>
      </c>
      <c r="R26" s="67">
        <f t="shared" si="5"/>
        <v>0.20778329271744003</v>
      </c>
      <c r="S26" s="67">
        <f t="shared" si="7"/>
        <v>0.20778329271744003</v>
      </c>
      <c r="T26" s="67">
        <f t="shared" si="8"/>
        <v>0</v>
      </c>
      <c r="U26" s="67">
        <f t="shared" si="9"/>
        <v>1.1469265795622372</v>
      </c>
      <c r="V26" s="67">
        <f t="shared" si="10"/>
        <v>6.8095571666223126E-2</v>
      </c>
      <c r="W26" s="100">
        <f t="shared" si="11"/>
        <v>4.5397047777482082E-2</v>
      </c>
    </row>
    <row r="27" spans="2:23">
      <c r="B27" s="96">
        <f>Amnt_Deposited!B22</f>
        <v>2008</v>
      </c>
      <c r="C27" s="99">
        <f>Amnt_Deposited!D22</f>
        <v>1.3502068402680001</v>
      </c>
      <c r="D27" s="418">
        <f>Dry_Matter_Content!D14</f>
        <v>0.44</v>
      </c>
      <c r="E27" s="284">
        <f>MCF!R26</f>
        <v>0.8</v>
      </c>
      <c r="F27" s="67">
        <f t="shared" si="0"/>
        <v>0.10456001771035393</v>
      </c>
      <c r="G27" s="67">
        <f t="shared" si="1"/>
        <v>0.10456001771035393</v>
      </c>
      <c r="H27" s="67">
        <f t="shared" si="2"/>
        <v>0</v>
      </c>
      <c r="I27" s="67">
        <f t="shared" si="3"/>
        <v>0.62214344897048779</v>
      </c>
      <c r="J27" s="67">
        <f t="shared" si="4"/>
        <v>3.7529033247989056E-2</v>
      </c>
      <c r="K27" s="100">
        <f t="shared" si="6"/>
        <v>2.5019355498659371E-2</v>
      </c>
      <c r="N27" s="258"/>
      <c r="O27" s="96">
        <f>Amnt_Deposited!B22</f>
        <v>2008</v>
      </c>
      <c r="P27" s="99">
        <f>Amnt_Deposited!D22</f>
        <v>1.3502068402680001</v>
      </c>
      <c r="Q27" s="284">
        <f>MCF!R26</f>
        <v>0.8</v>
      </c>
      <c r="R27" s="67">
        <f t="shared" si="5"/>
        <v>0.21603309444288002</v>
      </c>
      <c r="S27" s="67">
        <f t="shared" si="7"/>
        <v>0.21603309444288002</v>
      </c>
      <c r="T27" s="67">
        <f t="shared" si="8"/>
        <v>0</v>
      </c>
      <c r="U27" s="67">
        <f t="shared" si="9"/>
        <v>1.285420349112578</v>
      </c>
      <c r="V27" s="67">
        <f t="shared" si="10"/>
        <v>7.7539324892539355E-2</v>
      </c>
      <c r="W27" s="100">
        <f t="shared" si="11"/>
        <v>5.1692883261692898E-2</v>
      </c>
    </row>
    <row r="28" spans="2:23">
      <c r="B28" s="96">
        <f>Amnt_Deposited!B23</f>
        <v>2009</v>
      </c>
      <c r="C28" s="99">
        <f>Amnt_Deposited!D23</f>
        <v>1.4029211520720002</v>
      </c>
      <c r="D28" s="418">
        <f>Dry_Matter_Content!D15</f>
        <v>0.44</v>
      </c>
      <c r="E28" s="284">
        <f>MCF!R27</f>
        <v>0.8</v>
      </c>
      <c r="F28" s="67">
        <f t="shared" si="0"/>
        <v>0.10864221401645568</v>
      </c>
      <c r="G28" s="67">
        <f t="shared" si="1"/>
        <v>0.10864221401645568</v>
      </c>
      <c r="H28" s="67">
        <f t="shared" si="2"/>
        <v>0</v>
      </c>
      <c r="I28" s="67">
        <f t="shared" si="3"/>
        <v>0.68872492093151017</v>
      </c>
      <c r="J28" s="67">
        <f t="shared" si="4"/>
        <v>4.2060742055433281E-2</v>
      </c>
      <c r="K28" s="100">
        <f t="shared" si="6"/>
        <v>2.8040494703622187E-2</v>
      </c>
      <c r="N28" s="258"/>
      <c r="O28" s="96">
        <f>Amnt_Deposited!B23</f>
        <v>2009</v>
      </c>
      <c r="P28" s="99">
        <f>Amnt_Deposited!D23</f>
        <v>1.4029211520720002</v>
      </c>
      <c r="Q28" s="284">
        <f>MCF!R27</f>
        <v>0.8</v>
      </c>
      <c r="R28" s="67">
        <f t="shared" si="5"/>
        <v>0.22446738433152005</v>
      </c>
      <c r="S28" s="67">
        <f t="shared" si="7"/>
        <v>0.22446738433152005</v>
      </c>
      <c r="T28" s="67">
        <f t="shared" si="8"/>
        <v>0</v>
      </c>
      <c r="U28" s="67">
        <f t="shared" si="9"/>
        <v>1.4229853738254343</v>
      </c>
      <c r="V28" s="67">
        <f t="shared" si="10"/>
        <v>8.6902359618663785E-2</v>
      </c>
      <c r="W28" s="100">
        <f t="shared" si="11"/>
        <v>5.7934906412442519E-2</v>
      </c>
    </row>
    <row r="29" spans="2:23">
      <c r="B29" s="96">
        <f>Amnt_Deposited!B24</f>
        <v>2010</v>
      </c>
      <c r="C29" s="99">
        <f>Amnt_Deposited!D24</f>
        <v>1.424049818004</v>
      </c>
      <c r="D29" s="418">
        <f>Dry_Matter_Content!D16</f>
        <v>0.44</v>
      </c>
      <c r="E29" s="284">
        <f>MCF!R28</f>
        <v>0.8</v>
      </c>
      <c r="F29" s="67">
        <f t="shared" si="0"/>
        <v>0.11027841790622978</v>
      </c>
      <c r="G29" s="67">
        <f t="shared" si="1"/>
        <v>0.11027841790622978</v>
      </c>
      <c r="H29" s="67">
        <f t="shared" si="2"/>
        <v>0</v>
      </c>
      <c r="I29" s="67">
        <f t="shared" si="3"/>
        <v>0.75244127779798275</v>
      </c>
      <c r="J29" s="67">
        <f t="shared" si="4"/>
        <v>4.6562061039757213E-2</v>
      </c>
      <c r="K29" s="100">
        <f t="shared" si="6"/>
        <v>3.1041374026504809E-2</v>
      </c>
      <c r="O29" s="96">
        <f>Amnt_Deposited!B24</f>
        <v>2010</v>
      </c>
      <c r="P29" s="99">
        <f>Amnt_Deposited!D24</f>
        <v>1.424049818004</v>
      </c>
      <c r="Q29" s="284">
        <f>MCF!R28</f>
        <v>0.8</v>
      </c>
      <c r="R29" s="67">
        <f t="shared" si="5"/>
        <v>0.22784797088064002</v>
      </c>
      <c r="S29" s="67">
        <f t="shared" si="7"/>
        <v>0.22784797088064002</v>
      </c>
      <c r="T29" s="67">
        <f t="shared" si="8"/>
        <v>0</v>
      </c>
      <c r="U29" s="67">
        <f t="shared" si="9"/>
        <v>1.5546307392520304</v>
      </c>
      <c r="V29" s="67">
        <f t="shared" si="10"/>
        <v>9.6202605454043827E-2</v>
      </c>
      <c r="W29" s="100">
        <f t="shared" si="11"/>
        <v>6.4135070302695885E-2</v>
      </c>
    </row>
    <row r="30" spans="2:23">
      <c r="B30" s="96">
        <f>Amnt_Deposited!B25</f>
        <v>2011</v>
      </c>
      <c r="C30" s="99">
        <f>Amnt_Deposited!D25</f>
        <v>1.3445225517600001</v>
      </c>
      <c r="D30" s="418">
        <f>Dry_Matter_Content!D17</f>
        <v>0.44</v>
      </c>
      <c r="E30" s="284">
        <f>MCF!R29</f>
        <v>0.8</v>
      </c>
      <c r="F30" s="67">
        <f t="shared" si="0"/>
        <v>0.10411982640829441</v>
      </c>
      <c r="G30" s="67">
        <f t="shared" si="1"/>
        <v>0.10411982640829441</v>
      </c>
      <c r="H30" s="67">
        <f t="shared" si="2"/>
        <v>0</v>
      </c>
      <c r="I30" s="67">
        <f t="shared" si="3"/>
        <v>0.80569142366926838</v>
      </c>
      <c r="J30" s="67">
        <f t="shared" si="4"/>
        <v>5.0869680537008827E-2</v>
      </c>
      <c r="K30" s="100">
        <f t="shared" si="6"/>
        <v>3.391312035800588E-2</v>
      </c>
      <c r="O30" s="96">
        <f>Amnt_Deposited!B25</f>
        <v>2011</v>
      </c>
      <c r="P30" s="99">
        <f>Amnt_Deposited!D25</f>
        <v>1.3445225517600001</v>
      </c>
      <c r="Q30" s="284">
        <f>MCF!R29</f>
        <v>0.8</v>
      </c>
      <c r="R30" s="67">
        <f t="shared" si="5"/>
        <v>0.21512360828160004</v>
      </c>
      <c r="S30" s="67">
        <f t="shared" si="7"/>
        <v>0.21512360828160004</v>
      </c>
      <c r="T30" s="67">
        <f t="shared" si="8"/>
        <v>0</v>
      </c>
      <c r="U30" s="67">
        <f t="shared" si="9"/>
        <v>1.664651701796009</v>
      </c>
      <c r="V30" s="67">
        <f t="shared" si="10"/>
        <v>0.10510264573762154</v>
      </c>
      <c r="W30" s="100">
        <f t="shared" si="11"/>
        <v>7.0068430491747685E-2</v>
      </c>
    </row>
    <row r="31" spans="2:23">
      <c r="B31" s="96">
        <f>Amnt_Deposited!B26</f>
        <v>2012</v>
      </c>
      <c r="C31" s="99">
        <f>Amnt_Deposited!D26</f>
        <v>1.38493355616</v>
      </c>
      <c r="D31" s="418">
        <f>Dry_Matter_Content!D18</f>
        <v>0.44</v>
      </c>
      <c r="E31" s="284">
        <f>MCF!R30</f>
        <v>0.8</v>
      </c>
      <c r="F31" s="67">
        <f t="shared" si="0"/>
        <v>0.1072492545890304</v>
      </c>
      <c r="G31" s="67">
        <f t="shared" si="1"/>
        <v>0.1072492545890304</v>
      </c>
      <c r="H31" s="67">
        <f t="shared" si="2"/>
        <v>0</v>
      </c>
      <c r="I31" s="67">
        <f t="shared" si="3"/>
        <v>0.85847095876948121</v>
      </c>
      <c r="J31" s="67">
        <f t="shared" si="4"/>
        <v>5.4469719488817486E-2</v>
      </c>
      <c r="K31" s="100">
        <f t="shared" si="6"/>
        <v>3.6313146325878322E-2</v>
      </c>
      <c r="O31" s="96">
        <f>Amnt_Deposited!B26</f>
        <v>2012</v>
      </c>
      <c r="P31" s="99">
        <f>Amnt_Deposited!D26</f>
        <v>1.38493355616</v>
      </c>
      <c r="Q31" s="284">
        <f>MCF!R30</f>
        <v>0.8</v>
      </c>
      <c r="R31" s="67">
        <f t="shared" si="5"/>
        <v>0.22158936898560003</v>
      </c>
      <c r="S31" s="67">
        <f t="shared" si="7"/>
        <v>0.22158936898560003</v>
      </c>
      <c r="T31" s="67">
        <f t="shared" si="8"/>
        <v>0</v>
      </c>
      <c r="U31" s="67">
        <f t="shared" si="9"/>
        <v>1.7737003280361183</v>
      </c>
      <c r="V31" s="67">
        <f t="shared" si="10"/>
        <v>0.11254074274549067</v>
      </c>
      <c r="W31" s="100">
        <f t="shared" si="11"/>
        <v>7.5027161830327108E-2</v>
      </c>
    </row>
    <row r="32" spans="2:23">
      <c r="B32" s="96">
        <f>Amnt_Deposited!B27</f>
        <v>2013</v>
      </c>
      <c r="C32" s="99">
        <f>Amnt_Deposited!D27</f>
        <v>1.4269494340800002</v>
      </c>
      <c r="D32" s="418">
        <f>Dry_Matter_Content!D19</f>
        <v>0.44</v>
      </c>
      <c r="E32" s="284">
        <f>MCF!R31</f>
        <v>0.8</v>
      </c>
      <c r="F32" s="67">
        <f t="shared" si="0"/>
        <v>0.11050296417515522</v>
      </c>
      <c r="G32" s="67">
        <f t="shared" si="1"/>
        <v>0.11050296417515522</v>
      </c>
      <c r="H32" s="67">
        <f t="shared" si="2"/>
        <v>0</v>
      </c>
      <c r="I32" s="67">
        <f t="shared" si="3"/>
        <v>0.9109359807005537</v>
      </c>
      <c r="J32" s="67">
        <f t="shared" si="4"/>
        <v>5.8037942244082798E-2</v>
      </c>
      <c r="K32" s="100">
        <f t="shared" si="6"/>
        <v>3.8691961496055194E-2</v>
      </c>
      <c r="O32" s="96">
        <f>Amnt_Deposited!B27</f>
        <v>2013</v>
      </c>
      <c r="P32" s="99">
        <f>Amnt_Deposited!D27</f>
        <v>1.4269494340800002</v>
      </c>
      <c r="Q32" s="284">
        <f>MCF!R31</f>
        <v>0.8</v>
      </c>
      <c r="R32" s="67">
        <f t="shared" si="5"/>
        <v>0.22831190945280003</v>
      </c>
      <c r="S32" s="67">
        <f t="shared" si="7"/>
        <v>0.22831190945280003</v>
      </c>
      <c r="T32" s="67">
        <f t="shared" si="8"/>
        <v>0</v>
      </c>
      <c r="U32" s="67">
        <f t="shared" si="9"/>
        <v>1.88209913367883</v>
      </c>
      <c r="V32" s="67">
        <f t="shared" si="10"/>
        <v>0.11991310381008843</v>
      </c>
      <c r="W32" s="100">
        <f t="shared" si="11"/>
        <v>7.9942069206725613E-2</v>
      </c>
    </row>
    <row r="33" spans="2:23">
      <c r="B33" s="96">
        <f>Amnt_Deposited!B28</f>
        <v>2014</v>
      </c>
      <c r="C33" s="99">
        <f>Amnt_Deposited!D28</f>
        <v>1.46913158268</v>
      </c>
      <c r="D33" s="418">
        <f>Dry_Matter_Content!D20</f>
        <v>0.44</v>
      </c>
      <c r="E33" s="284">
        <f>MCF!R32</f>
        <v>0.8</v>
      </c>
      <c r="F33" s="67">
        <f t="shared" si="0"/>
        <v>0.11376954976273922</v>
      </c>
      <c r="G33" s="67">
        <f t="shared" si="1"/>
        <v>0.11376954976273922</v>
      </c>
      <c r="H33" s="67">
        <f t="shared" si="2"/>
        <v>0</v>
      </c>
      <c r="I33" s="67">
        <f t="shared" si="3"/>
        <v>0.9631206284978997</v>
      </c>
      <c r="J33" s="67">
        <f t="shared" si="4"/>
        <v>6.1584901965393263E-2</v>
      </c>
      <c r="K33" s="100">
        <f t="shared" si="6"/>
        <v>4.1056601310262175E-2</v>
      </c>
      <c r="O33" s="96">
        <f>Amnt_Deposited!B28</f>
        <v>2014</v>
      </c>
      <c r="P33" s="99">
        <f>Amnt_Deposited!D28</f>
        <v>1.46913158268</v>
      </c>
      <c r="Q33" s="284">
        <f>MCF!R32</f>
        <v>0.8</v>
      </c>
      <c r="R33" s="67">
        <f t="shared" si="5"/>
        <v>0.2350610532288</v>
      </c>
      <c r="S33" s="67">
        <f t="shared" si="7"/>
        <v>0.2350610532288</v>
      </c>
      <c r="T33" s="67">
        <f t="shared" si="8"/>
        <v>0</v>
      </c>
      <c r="U33" s="67">
        <f t="shared" si="9"/>
        <v>1.9899186539212803</v>
      </c>
      <c r="V33" s="67">
        <f t="shared" si="10"/>
        <v>0.12724153298634971</v>
      </c>
      <c r="W33" s="100">
        <f t="shared" si="11"/>
        <v>8.4827688657566472E-2</v>
      </c>
    </row>
    <row r="34" spans="2:23">
      <c r="B34" s="96">
        <f>Amnt_Deposited!B29</f>
        <v>2015</v>
      </c>
      <c r="C34" s="99">
        <f>Amnt_Deposited!D29</f>
        <v>1.5101209198800001</v>
      </c>
      <c r="D34" s="418">
        <f>Dry_Matter_Content!D21</f>
        <v>0.44</v>
      </c>
      <c r="E34" s="284">
        <f>MCF!R33</f>
        <v>0.8</v>
      </c>
      <c r="F34" s="67">
        <f t="shared" si="0"/>
        <v>0.11694376403550721</v>
      </c>
      <c r="G34" s="67">
        <f t="shared" si="1"/>
        <v>0.11694376403550721</v>
      </c>
      <c r="H34" s="67">
        <f t="shared" si="2"/>
        <v>0</v>
      </c>
      <c r="I34" s="67">
        <f t="shared" si="3"/>
        <v>1.0149514858708817</v>
      </c>
      <c r="J34" s="67">
        <f t="shared" si="4"/>
        <v>6.5112906662525297E-2</v>
      </c>
      <c r="K34" s="100">
        <f t="shared" si="6"/>
        <v>4.3408604441683526E-2</v>
      </c>
      <c r="O34" s="96">
        <f>Amnt_Deposited!B29</f>
        <v>2015</v>
      </c>
      <c r="P34" s="99">
        <f>Amnt_Deposited!D29</f>
        <v>1.5101209198800001</v>
      </c>
      <c r="Q34" s="284">
        <f>MCF!R33</f>
        <v>0.8</v>
      </c>
      <c r="R34" s="67">
        <f t="shared" si="5"/>
        <v>0.24161934718080005</v>
      </c>
      <c r="S34" s="67">
        <f t="shared" si="7"/>
        <v>0.24161934718080005</v>
      </c>
      <c r="T34" s="67">
        <f t="shared" si="8"/>
        <v>0</v>
      </c>
      <c r="U34" s="67">
        <f t="shared" si="9"/>
        <v>2.0970072022125654</v>
      </c>
      <c r="V34" s="67">
        <f t="shared" si="10"/>
        <v>0.13453079888951508</v>
      </c>
      <c r="W34" s="100">
        <f t="shared" si="11"/>
        <v>8.968719925967672E-2</v>
      </c>
    </row>
    <row r="35" spans="2:23">
      <c r="B35" s="96">
        <f>Amnt_Deposited!B30</f>
        <v>2016</v>
      </c>
      <c r="C35" s="99">
        <f>Amnt_Deposited!D30</f>
        <v>1.5530259844800005</v>
      </c>
      <c r="D35" s="418">
        <f>Dry_Matter_Content!D22</f>
        <v>0.44</v>
      </c>
      <c r="E35" s="284">
        <f>MCF!R34</f>
        <v>0.8</v>
      </c>
      <c r="F35" s="67">
        <f t="shared" si="0"/>
        <v>0.12026633223813127</v>
      </c>
      <c r="G35" s="67">
        <f t="shared" si="1"/>
        <v>0.12026633223813127</v>
      </c>
      <c r="H35" s="67">
        <f t="shared" si="2"/>
        <v>0</v>
      </c>
      <c r="I35" s="67">
        <f t="shared" si="3"/>
        <v>1.0666008251685006</v>
      </c>
      <c r="J35" s="67">
        <f t="shared" si="4"/>
        <v>6.8616992940512225E-2</v>
      </c>
      <c r="K35" s="100">
        <f t="shared" si="6"/>
        <v>4.5744661960341479E-2</v>
      </c>
      <c r="O35" s="96">
        <f>Amnt_Deposited!B30</f>
        <v>2016</v>
      </c>
      <c r="P35" s="99">
        <f>Amnt_Deposited!D30</f>
        <v>1.5530259844800005</v>
      </c>
      <c r="Q35" s="284">
        <f>MCF!R34</f>
        <v>0.8</v>
      </c>
      <c r="R35" s="67">
        <f t="shared" si="5"/>
        <v>0.24848415751680011</v>
      </c>
      <c r="S35" s="67">
        <f t="shared" si="7"/>
        <v>0.24848415751680011</v>
      </c>
      <c r="T35" s="67">
        <f t="shared" si="8"/>
        <v>0</v>
      </c>
      <c r="U35" s="67">
        <f t="shared" si="9"/>
        <v>2.2037207131580594</v>
      </c>
      <c r="V35" s="67">
        <f t="shared" si="10"/>
        <v>0.14177064657130625</v>
      </c>
      <c r="W35" s="100">
        <f t="shared" si="11"/>
        <v>9.4513764380870835E-2</v>
      </c>
    </row>
    <row r="36" spans="2:23">
      <c r="B36" s="96">
        <f>Amnt_Deposited!B31</f>
        <v>2017</v>
      </c>
      <c r="C36" s="99">
        <f>Amnt_Deposited!D31</f>
        <v>1.6070364846720004</v>
      </c>
      <c r="D36" s="418">
        <f>Dry_Matter_Content!D23</f>
        <v>0.44</v>
      </c>
      <c r="E36" s="284">
        <f>MCF!R35</f>
        <v>0.8</v>
      </c>
      <c r="F36" s="67">
        <f t="shared" si="0"/>
        <v>0.12444890537299971</v>
      </c>
      <c r="G36" s="67">
        <f t="shared" si="1"/>
        <v>0.12444890537299971</v>
      </c>
      <c r="H36" s="67">
        <f t="shared" si="2"/>
        <v>0</v>
      </c>
      <c r="I36" s="67">
        <f t="shared" si="3"/>
        <v>1.1189409230666945</v>
      </c>
      <c r="J36" s="67">
        <f t="shared" si="4"/>
        <v>7.2108807474805831E-2</v>
      </c>
      <c r="K36" s="100">
        <f t="shared" si="6"/>
        <v>4.8072538316537218E-2</v>
      </c>
      <c r="O36" s="96">
        <f>Amnt_Deposited!B31</f>
        <v>2017</v>
      </c>
      <c r="P36" s="99">
        <f>Amnt_Deposited!D31</f>
        <v>1.6070364846720004</v>
      </c>
      <c r="Q36" s="284">
        <f>MCF!R35</f>
        <v>0.8</v>
      </c>
      <c r="R36" s="67">
        <f t="shared" si="5"/>
        <v>0.25712583754752011</v>
      </c>
      <c r="S36" s="67">
        <f t="shared" si="7"/>
        <v>0.25712583754752011</v>
      </c>
      <c r="T36" s="67">
        <f t="shared" si="8"/>
        <v>0</v>
      </c>
      <c r="U36" s="67">
        <f t="shared" si="9"/>
        <v>2.3118614112948235</v>
      </c>
      <c r="V36" s="67">
        <f t="shared" si="10"/>
        <v>0.14898513941075586</v>
      </c>
      <c r="W36" s="100">
        <f t="shared" si="11"/>
        <v>9.9323426273837237E-2</v>
      </c>
    </row>
    <row r="37" spans="2:23">
      <c r="B37" s="96">
        <f>Amnt_Deposited!B32</f>
        <v>2018</v>
      </c>
      <c r="C37" s="99">
        <f>Amnt_Deposited!D32</f>
        <v>1.651162554396</v>
      </c>
      <c r="D37" s="418">
        <f>Dry_Matter_Content!D24</f>
        <v>0.44</v>
      </c>
      <c r="E37" s="284">
        <f>MCF!R36</f>
        <v>0.8</v>
      </c>
      <c r="F37" s="67">
        <f t="shared" si="0"/>
        <v>0.12786602821242626</v>
      </c>
      <c r="G37" s="67">
        <f t="shared" si="1"/>
        <v>0.12786602821242626</v>
      </c>
      <c r="H37" s="67">
        <f t="shared" si="2"/>
        <v>0</v>
      </c>
      <c r="I37" s="67">
        <f t="shared" si="3"/>
        <v>1.1711596297196691</v>
      </c>
      <c r="J37" s="67">
        <f t="shared" si="4"/>
        <v>7.5647321559451419E-2</v>
      </c>
      <c r="K37" s="100">
        <f t="shared" si="6"/>
        <v>5.0431547706300942E-2</v>
      </c>
      <c r="O37" s="96">
        <f>Amnt_Deposited!B32</f>
        <v>2018</v>
      </c>
      <c r="P37" s="99">
        <f>Amnt_Deposited!D32</f>
        <v>1.651162554396</v>
      </c>
      <c r="Q37" s="284">
        <f>MCF!R36</f>
        <v>0.8</v>
      </c>
      <c r="R37" s="67">
        <f t="shared" si="5"/>
        <v>0.26418600870336001</v>
      </c>
      <c r="S37" s="67">
        <f t="shared" si="7"/>
        <v>0.26418600870336001</v>
      </c>
      <c r="T37" s="67">
        <f t="shared" si="8"/>
        <v>0</v>
      </c>
      <c r="U37" s="67">
        <f t="shared" si="9"/>
        <v>2.4197513010736968</v>
      </c>
      <c r="V37" s="67">
        <f t="shared" si="10"/>
        <v>0.15629611892448642</v>
      </c>
      <c r="W37" s="100">
        <f t="shared" si="11"/>
        <v>0.10419741261632427</v>
      </c>
    </row>
    <row r="38" spans="2:23">
      <c r="B38" s="96">
        <f>Amnt_Deposited!B33</f>
        <v>2019</v>
      </c>
      <c r="C38" s="99">
        <f>Amnt_Deposited!D33</f>
        <v>1.6952886241200003</v>
      </c>
      <c r="D38" s="418">
        <f>Dry_Matter_Content!D25</f>
        <v>0.44</v>
      </c>
      <c r="E38" s="284">
        <f>MCF!R37</f>
        <v>0.8</v>
      </c>
      <c r="F38" s="67">
        <f t="shared" si="0"/>
        <v>0.13128315105185281</v>
      </c>
      <c r="G38" s="67">
        <f t="shared" si="1"/>
        <v>0.13128315105185281</v>
      </c>
      <c r="H38" s="67">
        <f t="shared" si="2"/>
        <v>0</v>
      </c>
      <c r="I38" s="67">
        <f t="shared" si="3"/>
        <v>1.2232651519258111</v>
      </c>
      <c r="J38" s="67">
        <f t="shared" si="4"/>
        <v>7.917762884571089E-2</v>
      </c>
      <c r="K38" s="100">
        <f t="shared" si="6"/>
        <v>5.2785085897140593E-2</v>
      </c>
      <c r="O38" s="96">
        <f>Amnt_Deposited!B33</f>
        <v>2019</v>
      </c>
      <c r="P38" s="99">
        <f>Amnt_Deposited!D33</f>
        <v>1.6952886241200003</v>
      </c>
      <c r="Q38" s="284">
        <f>MCF!R37</f>
        <v>0.8</v>
      </c>
      <c r="R38" s="67">
        <f t="shared" si="5"/>
        <v>0.27124617985920008</v>
      </c>
      <c r="S38" s="67">
        <f t="shared" si="7"/>
        <v>0.27124617985920008</v>
      </c>
      <c r="T38" s="67">
        <f t="shared" si="8"/>
        <v>0</v>
      </c>
      <c r="U38" s="67">
        <f t="shared" si="9"/>
        <v>2.5274073386896925</v>
      </c>
      <c r="V38" s="67">
        <f t="shared" si="10"/>
        <v>0.16359014224320434</v>
      </c>
      <c r="W38" s="100">
        <f t="shared" si="11"/>
        <v>0.10906009482880288</v>
      </c>
    </row>
    <row r="39" spans="2:23">
      <c r="B39" s="96">
        <f>Amnt_Deposited!B34</f>
        <v>2020</v>
      </c>
      <c r="C39" s="99">
        <f>Amnt_Deposited!D34</f>
        <v>1.739414693844</v>
      </c>
      <c r="D39" s="418">
        <f>Dry_Matter_Content!D26</f>
        <v>0.44</v>
      </c>
      <c r="E39" s="284">
        <f>MCF!R38</f>
        <v>0.8</v>
      </c>
      <c r="F39" s="67">
        <f t="shared" si="0"/>
        <v>0.13470027389127937</v>
      </c>
      <c r="G39" s="67">
        <f t="shared" si="1"/>
        <v>0.13470027389127937</v>
      </c>
      <c r="H39" s="67">
        <f t="shared" si="2"/>
        <v>0</v>
      </c>
      <c r="I39" s="67">
        <f t="shared" si="3"/>
        <v>1.2752651416532164</v>
      </c>
      <c r="J39" s="67">
        <f t="shared" si="4"/>
        <v>8.2700284163873927E-2</v>
      </c>
      <c r="K39" s="100">
        <f t="shared" si="6"/>
        <v>5.5133522775915947E-2</v>
      </c>
      <c r="O39" s="96">
        <f>Amnt_Deposited!B34</f>
        <v>2020</v>
      </c>
      <c r="P39" s="99">
        <f>Amnt_Deposited!D34</f>
        <v>1.739414693844</v>
      </c>
      <c r="Q39" s="284">
        <f>MCF!R38</f>
        <v>0.8</v>
      </c>
      <c r="R39" s="67">
        <f t="shared" si="5"/>
        <v>0.27830635101504003</v>
      </c>
      <c r="S39" s="67">
        <f t="shared" si="7"/>
        <v>0.27830635101504003</v>
      </c>
      <c r="T39" s="67">
        <f t="shared" si="8"/>
        <v>0</v>
      </c>
      <c r="U39" s="67">
        <f t="shared" si="9"/>
        <v>2.634845333994249</v>
      </c>
      <c r="V39" s="67">
        <f t="shared" si="10"/>
        <v>0.17086835571048334</v>
      </c>
      <c r="W39" s="100">
        <f t="shared" si="11"/>
        <v>0.11391223714032223</v>
      </c>
    </row>
    <row r="40" spans="2:23">
      <c r="B40" s="96">
        <f>Amnt_Deposited!B35</f>
        <v>2021</v>
      </c>
      <c r="C40" s="99">
        <f>Amnt_Deposited!D35</f>
        <v>1.7835407635680001</v>
      </c>
      <c r="D40" s="418">
        <f>Dry_Matter_Content!D27</f>
        <v>0.44</v>
      </c>
      <c r="E40" s="284">
        <f>MCF!R39</f>
        <v>0.8</v>
      </c>
      <c r="F40" s="67">
        <f t="shared" si="0"/>
        <v>0.13811739673070594</v>
      </c>
      <c r="G40" s="67">
        <f t="shared" si="1"/>
        <v>0.13811739673070594</v>
      </c>
      <c r="H40" s="67">
        <f t="shared" si="2"/>
        <v>0</v>
      </c>
      <c r="I40" s="67">
        <f t="shared" si="3"/>
        <v>1.3271667335496484</v>
      </c>
      <c r="J40" s="67">
        <f t="shared" si="4"/>
        <v>8.6215804834273727E-2</v>
      </c>
      <c r="K40" s="100">
        <f t="shared" si="6"/>
        <v>5.7477203222849146E-2</v>
      </c>
      <c r="O40" s="96">
        <f>Amnt_Deposited!B35</f>
        <v>2021</v>
      </c>
      <c r="P40" s="99">
        <f>Amnt_Deposited!D35</f>
        <v>1.7835407635680001</v>
      </c>
      <c r="Q40" s="284">
        <f>MCF!R39</f>
        <v>0.8</v>
      </c>
      <c r="R40" s="67">
        <f t="shared" si="5"/>
        <v>0.28536652217088004</v>
      </c>
      <c r="S40" s="67">
        <f t="shared" si="7"/>
        <v>0.28536652217088004</v>
      </c>
      <c r="T40" s="67">
        <f t="shared" si="8"/>
        <v>0</v>
      </c>
      <c r="U40" s="67">
        <f t="shared" si="9"/>
        <v>2.7420800279951423</v>
      </c>
      <c r="V40" s="67">
        <f t="shared" si="10"/>
        <v>0.17813182816998707</v>
      </c>
      <c r="W40" s="100">
        <f t="shared" si="11"/>
        <v>0.11875455211332471</v>
      </c>
    </row>
    <row r="41" spans="2:23">
      <c r="B41" s="96">
        <f>Amnt_Deposited!B36</f>
        <v>2022</v>
      </c>
      <c r="C41" s="99">
        <f>Amnt_Deposited!D36</f>
        <v>1.8276668332919999</v>
      </c>
      <c r="D41" s="418">
        <f>Dry_Matter_Content!D28</f>
        <v>0.44</v>
      </c>
      <c r="E41" s="284">
        <f>MCF!R40</f>
        <v>0.8</v>
      </c>
      <c r="F41" s="67">
        <f t="shared" si="0"/>
        <v>0.14153451957013247</v>
      </c>
      <c r="G41" s="67">
        <f t="shared" si="1"/>
        <v>0.14153451957013247</v>
      </c>
      <c r="H41" s="67">
        <f t="shared" si="2"/>
        <v>0</v>
      </c>
      <c r="I41" s="67">
        <f t="shared" si="3"/>
        <v>1.378976579916589</v>
      </c>
      <c r="J41" s="67">
        <f t="shared" si="4"/>
        <v>8.9724673203191899E-2</v>
      </c>
      <c r="K41" s="100">
        <f t="shared" si="6"/>
        <v>5.9816448802127928E-2</v>
      </c>
      <c r="O41" s="96">
        <f>Amnt_Deposited!B36</f>
        <v>2022</v>
      </c>
      <c r="P41" s="99">
        <f>Amnt_Deposited!D36</f>
        <v>1.8276668332919999</v>
      </c>
      <c r="Q41" s="284">
        <f>MCF!R40</f>
        <v>0.8</v>
      </c>
      <c r="R41" s="67">
        <f t="shared" si="5"/>
        <v>0.29242669332672</v>
      </c>
      <c r="S41" s="67">
        <f t="shared" si="7"/>
        <v>0.29242669332672</v>
      </c>
      <c r="T41" s="67">
        <f t="shared" si="8"/>
        <v>0</v>
      </c>
      <c r="U41" s="67">
        <f t="shared" si="9"/>
        <v>2.84912516511692</v>
      </c>
      <c r="V41" s="67">
        <f t="shared" si="10"/>
        <v>0.18538155620494198</v>
      </c>
      <c r="W41" s="100">
        <f t="shared" si="11"/>
        <v>0.12358770413662798</v>
      </c>
    </row>
    <row r="42" spans="2:23">
      <c r="B42" s="96">
        <f>Amnt_Deposited!B37</f>
        <v>2023</v>
      </c>
      <c r="C42" s="99">
        <f>Amnt_Deposited!D37</f>
        <v>1.8717929030159999</v>
      </c>
      <c r="D42" s="418">
        <f>Dry_Matter_Content!D29</f>
        <v>0.44</v>
      </c>
      <c r="E42" s="284">
        <f>MCF!R41</f>
        <v>0.8</v>
      </c>
      <c r="F42" s="67">
        <f t="shared" si="0"/>
        <v>0.14495164240955904</v>
      </c>
      <c r="G42" s="67">
        <f t="shared" si="1"/>
        <v>0.14495164240955904</v>
      </c>
      <c r="H42" s="67">
        <f t="shared" si="2"/>
        <v>0</v>
      </c>
      <c r="I42" s="67">
        <f t="shared" si="3"/>
        <v>1.4307008833188277</v>
      </c>
      <c r="J42" s="67">
        <f t="shared" si="4"/>
        <v>9.3227339007320428E-2</v>
      </c>
      <c r="K42" s="100">
        <f t="shared" si="6"/>
        <v>6.2151559338213619E-2</v>
      </c>
      <c r="O42" s="96">
        <f>Amnt_Deposited!B37</f>
        <v>2023</v>
      </c>
      <c r="P42" s="99">
        <f>Amnt_Deposited!D37</f>
        <v>1.8717929030159999</v>
      </c>
      <c r="Q42" s="284">
        <f>MCF!R41</f>
        <v>0.8</v>
      </c>
      <c r="R42" s="67">
        <f t="shared" si="5"/>
        <v>0.29948686448256001</v>
      </c>
      <c r="S42" s="67">
        <f t="shared" si="7"/>
        <v>0.29948686448256001</v>
      </c>
      <c r="T42" s="67">
        <f t="shared" si="8"/>
        <v>0</v>
      </c>
      <c r="U42" s="67">
        <f t="shared" si="9"/>
        <v>2.9559935605760908</v>
      </c>
      <c r="V42" s="67">
        <f t="shared" si="10"/>
        <v>0.19261846902338936</v>
      </c>
      <c r="W42" s="100">
        <f t="shared" si="11"/>
        <v>0.12841231268225956</v>
      </c>
    </row>
    <row r="43" spans="2:23">
      <c r="B43" s="96">
        <f>Amnt_Deposited!B38</f>
        <v>2024</v>
      </c>
      <c r="C43" s="99">
        <f>Amnt_Deposited!D38</f>
        <v>1.9159189727400003</v>
      </c>
      <c r="D43" s="418">
        <f>Dry_Matter_Content!D30</f>
        <v>0.44</v>
      </c>
      <c r="E43" s="284">
        <f>MCF!R42</f>
        <v>0.8</v>
      </c>
      <c r="F43" s="67">
        <f t="shared" si="0"/>
        <v>0.14836876524898565</v>
      </c>
      <c r="G43" s="67">
        <f t="shared" si="1"/>
        <v>0.14836876524898565</v>
      </c>
      <c r="H43" s="67">
        <f t="shared" si="2"/>
        <v>0</v>
      </c>
      <c r="I43" s="67">
        <f t="shared" si="3"/>
        <v>1.4823454269894418</v>
      </c>
      <c r="J43" s="67">
        <f t="shared" si="4"/>
        <v>9.6724221578371558E-2</v>
      </c>
      <c r="K43" s="100">
        <f t="shared" si="6"/>
        <v>6.4482814385581039E-2</v>
      </c>
      <c r="O43" s="96">
        <f>Amnt_Deposited!B38</f>
        <v>2024</v>
      </c>
      <c r="P43" s="99">
        <f>Amnt_Deposited!D38</f>
        <v>1.9159189727400003</v>
      </c>
      <c r="Q43" s="284">
        <f>MCF!R42</f>
        <v>0.8</v>
      </c>
      <c r="R43" s="67">
        <f t="shared" si="5"/>
        <v>0.30654703563840013</v>
      </c>
      <c r="S43" s="67">
        <f t="shared" si="7"/>
        <v>0.30654703563840013</v>
      </c>
      <c r="T43" s="67">
        <f t="shared" si="8"/>
        <v>0</v>
      </c>
      <c r="U43" s="67">
        <f t="shared" si="9"/>
        <v>3.0626971632013262</v>
      </c>
      <c r="V43" s="67">
        <f t="shared" si="10"/>
        <v>0.1998434330131644</v>
      </c>
      <c r="W43" s="100">
        <f t="shared" si="11"/>
        <v>0.1332289553421096</v>
      </c>
    </row>
    <row r="44" spans="2:23">
      <c r="B44" s="96">
        <f>Amnt_Deposited!B39</f>
        <v>2025</v>
      </c>
      <c r="C44" s="99">
        <f>Amnt_Deposited!D39</f>
        <v>1.9600450424640006</v>
      </c>
      <c r="D44" s="418">
        <f>Dry_Matter_Content!D31</f>
        <v>0.44</v>
      </c>
      <c r="E44" s="284">
        <f>MCF!R43</f>
        <v>0.8</v>
      </c>
      <c r="F44" s="67">
        <f t="shared" si="0"/>
        <v>0.1517858880884122</v>
      </c>
      <c r="G44" s="67">
        <f t="shared" si="1"/>
        <v>0.1517858880884122</v>
      </c>
      <c r="H44" s="67">
        <f t="shared" si="2"/>
        <v>0</v>
      </c>
      <c r="I44" s="67">
        <f t="shared" si="3"/>
        <v>1.5339156031792118</v>
      </c>
      <c r="J44" s="67">
        <f t="shared" si="4"/>
        <v>0.10021571189864222</v>
      </c>
      <c r="K44" s="100">
        <f t="shared" si="6"/>
        <v>6.681047459909481E-2</v>
      </c>
      <c r="O44" s="96">
        <f>Amnt_Deposited!B39</f>
        <v>2025</v>
      </c>
      <c r="P44" s="99">
        <f>Amnt_Deposited!D39</f>
        <v>1.9600450424640006</v>
      </c>
      <c r="Q44" s="284">
        <f>MCF!R43</f>
        <v>0.8</v>
      </c>
      <c r="R44" s="67">
        <f t="shared" si="5"/>
        <v>0.31360720679424015</v>
      </c>
      <c r="S44" s="67">
        <f t="shared" si="7"/>
        <v>0.31360720679424015</v>
      </c>
      <c r="T44" s="67">
        <f t="shared" si="8"/>
        <v>0</v>
      </c>
      <c r="U44" s="67">
        <f t="shared" si="9"/>
        <v>3.1692471140066361</v>
      </c>
      <c r="V44" s="67">
        <f t="shared" si="10"/>
        <v>0.20705725598893018</v>
      </c>
      <c r="W44" s="100">
        <f t="shared" si="11"/>
        <v>0.13803817065928678</v>
      </c>
    </row>
    <row r="45" spans="2:23">
      <c r="B45" s="96">
        <f>Amnt_Deposited!B40</f>
        <v>2026</v>
      </c>
      <c r="C45" s="99">
        <f>Amnt_Deposited!D40</f>
        <v>2.0041711121880001</v>
      </c>
      <c r="D45" s="418">
        <f>Dry_Matter_Content!D32</f>
        <v>0.44</v>
      </c>
      <c r="E45" s="284">
        <f>MCF!R44</f>
        <v>0.8</v>
      </c>
      <c r="F45" s="67">
        <f t="shared" si="0"/>
        <v>0.15520301092783872</v>
      </c>
      <c r="G45" s="67">
        <f t="shared" si="1"/>
        <v>0.15520301092783872</v>
      </c>
      <c r="H45" s="67">
        <f t="shared" si="2"/>
        <v>0</v>
      </c>
      <c r="I45" s="67">
        <f t="shared" si="3"/>
        <v>1.5854164395894408</v>
      </c>
      <c r="J45" s="67">
        <f t="shared" si="4"/>
        <v>0.10370217451760978</v>
      </c>
      <c r="K45" s="100">
        <f t="shared" si="6"/>
        <v>6.913478301173985E-2</v>
      </c>
      <c r="O45" s="96">
        <f>Amnt_Deposited!B40</f>
        <v>2026</v>
      </c>
      <c r="P45" s="99">
        <f>Amnt_Deposited!D40</f>
        <v>2.0041711121880001</v>
      </c>
      <c r="Q45" s="284">
        <f>MCF!R44</f>
        <v>0.8</v>
      </c>
      <c r="R45" s="67">
        <f t="shared" si="5"/>
        <v>0.32066737795008005</v>
      </c>
      <c r="S45" s="67">
        <f t="shared" si="7"/>
        <v>0.32066737795008005</v>
      </c>
      <c r="T45" s="67">
        <f t="shared" si="8"/>
        <v>0</v>
      </c>
      <c r="U45" s="67">
        <f t="shared" si="9"/>
        <v>3.2756538008046299</v>
      </c>
      <c r="V45" s="67">
        <f t="shared" si="10"/>
        <v>0.21426069115208632</v>
      </c>
      <c r="W45" s="100">
        <f t="shared" si="11"/>
        <v>0.14284046076805754</v>
      </c>
    </row>
    <row r="46" spans="2:23">
      <c r="B46" s="96">
        <f>Amnt_Deposited!B41</f>
        <v>2027</v>
      </c>
      <c r="C46" s="99">
        <f>Amnt_Deposited!D41</f>
        <v>2.0482971819119995</v>
      </c>
      <c r="D46" s="418">
        <f>Dry_Matter_Content!D33</f>
        <v>0.44</v>
      </c>
      <c r="E46" s="284">
        <f>MCF!R45</f>
        <v>0.8</v>
      </c>
      <c r="F46" s="67">
        <f t="shared" si="0"/>
        <v>0.15862013376726525</v>
      </c>
      <c r="G46" s="67">
        <f t="shared" si="1"/>
        <v>0.15862013376726525</v>
      </c>
      <c r="H46" s="67">
        <f t="shared" si="2"/>
        <v>0</v>
      </c>
      <c r="I46" s="67">
        <f t="shared" si="3"/>
        <v>1.6368526240177521</v>
      </c>
      <c r="J46" s="67">
        <f t="shared" si="4"/>
        <v>0.10718394933895402</v>
      </c>
      <c r="K46" s="100">
        <f t="shared" si="6"/>
        <v>7.1455966225969336E-2</v>
      </c>
      <c r="O46" s="96">
        <f>Amnt_Deposited!B41</f>
        <v>2027</v>
      </c>
      <c r="P46" s="99">
        <f>Amnt_Deposited!D41</f>
        <v>2.0482971819119995</v>
      </c>
      <c r="Q46" s="284">
        <f>MCF!R45</f>
        <v>0.8</v>
      </c>
      <c r="R46" s="67">
        <f t="shared" si="5"/>
        <v>0.32772754910591995</v>
      </c>
      <c r="S46" s="67">
        <f t="shared" si="7"/>
        <v>0.32772754910591995</v>
      </c>
      <c r="T46" s="67">
        <f t="shared" si="8"/>
        <v>0</v>
      </c>
      <c r="U46" s="67">
        <f t="shared" si="9"/>
        <v>3.3819269091275865</v>
      </c>
      <c r="V46" s="67">
        <f t="shared" si="10"/>
        <v>0.22145444078296284</v>
      </c>
      <c r="W46" s="100">
        <f t="shared" si="11"/>
        <v>0.14763629385530855</v>
      </c>
    </row>
    <row r="47" spans="2:23">
      <c r="B47" s="96">
        <f>Amnt_Deposited!B42</f>
        <v>2028</v>
      </c>
      <c r="C47" s="99">
        <f>Amnt_Deposited!D42</f>
        <v>2.0924232516360002</v>
      </c>
      <c r="D47" s="418">
        <f>Dry_Matter_Content!D34</f>
        <v>0.44</v>
      </c>
      <c r="E47" s="284">
        <f>MCF!R46</f>
        <v>0.8</v>
      </c>
      <c r="F47" s="67">
        <f t="shared" si="0"/>
        <v>0.16203725660669188</v>
      </c>
      <c r="G47" s="67">
        <f t="shared" si="1"/>
        <v>0.16203725660669188</v>
      </c>
      <c r="H47" s="67">
        <f t="shared" si="2"/>
        <v>0</v>
      </c>
      <c r="I47" s="67">
        <f t="shared" si="3"/>
        <v>1.6882285273376787</v>
      </c>
      <c r="J47" s="67">
        <f t="shared" si="4"/>
        <v>0.11066135328676528</v>
      </c>
      <c r="K47" s="100">
        <f t="shared" si="6"/>
        <v>7.3774235524510179E-2</v>
      </c>
      <c r="O47" s="96">
        <f>Amnt_Deposited!B42</f>
        <v>2028</v>
      </c>
      <c r="P47" s="99">
        <f>Amnt_Deposited!D42</f>
        <v>2.0924232516360002</v>
      </c>
      <c r="Q47" s="284">
        <f>MCF!R46</f>
        <v>0.8</v>
      </c>
      <c r="R47" s="67">
        <f t="shared" si="5"/>
        <v>0.33478772026176007</v>
      </c>
      <c r="S47" s="67">
        <f t="shared" si="7"/>
        <v>0.33478772026176007</v>
      </c>
      <c r="T47" s="67">
        <f t="shared" si="8"/>
        <v>0</v>
      </c>
      <c r="U47" s="67">
        <f t="shared" si="9"/>
        <v>3.4880754697059473</v>
      </c>
      <c r="V47" s="67">
        <f t="shared" si="10"/>
        <v>0.22863915968339932</v>
      </c>
      <c r="W47" s="100">
        <f t="shared" si="11"/>
        <v>0.15242610645559954</v>
      </c>
    </row>
    <row r="48" spans="2:23">
      <c r="B48" s="96">
        <f>Amnt_Deposited!B43</f>
        <v>2029</v>
      </c>
      <c r="C48" s="99">
        <f>Amnt_Deposited!D43</f>
        <v>2.13654932136</v>
      </c>
      <c r="D48" s="418">
        <f>Dry_Matter_Content!D35</f>
        <v>0.44</v>
      </c>
      <c r="E48" s="284">
        <f>MCF!R47</f>
        <v>0.8</v>
      </c>
      <c r="F48" s="67">
        <f t="shared" si="0"/>
        <v>0.1654543794461184</v>
      </c>
      <c r="G48" s="67">
        <f t="shared" si="1"/>
        <v>0.1654543794461184</v>
      </c>
      <c r="H48" s="67">
        <f t="shared" si="2"/>
        <v>0</v>
      </c>
      <c r="I48" s="67">
        <f t="shared" si="3"/>
        <v>1.7395482249246901</v>
      </c>
      <c r="J48" s="67">
        <f t="shared" si="4"/>
        <v>0.11413468185910683</v>
      </c>
      <c r="K48" s="100">
        <f t="shared" si="6"/>
        <v>7.608978790607121E-2</v>
      </c>
      <c r="O48" s="96">
        <f>Amnt_Deposited!B43</f>
        <v>2029</v>
      </c>
      <c r="P48" s="99">
        <f>Amnt_Deposited!D43</f>
        <v>2.13654932136</v>
      </c>
      <c r="Q48" s="284">
        <f>MCF!R47</f>
        <v>0.8</v>
      </c>
      <c r="R48" s="67">
        <f t="shared" si="5"/>
        <v>0.34184789141760002</v>
      </c>
      <c r="S48" s="67">
        <f t="shared" si="7"/>
        <v>0.34184789141760002</v>
      </c>
      <c r="T48" s="67">
        <f t="shared" si="8"/>
        <v>0</v>
      </c>
      <c r="U48" s="67">
        <f t="shared" si="9"/>
        <v>3.5941079027369631</v>
      </c>
      <c r="V48" s="67">
        <f t="shared" si="10"/>
        <v>0.23581545838658433</v>
      </c>
      <c r="W48" s="100">
        <f t="shared" si="11"/>
        <v>0.1572103055910562</v>
      </c>
    </row>
    <row r="49" spans="2:23">
      <c r="B49" s="96">
        <f>Amnt_Deposited!B44</f>
        <v>2030</v>
      </c>
      <c r="C49" s="99">
        <f>Amnt_Deposited!D44</f>
        <v>2.1806753910840007</v>
      </c>
      <c r="D49" s="418">
        <f>Dry_Matter_Content!D36</f>
        <v>0.44</v>
      </c>
      <c r="E49" s="284">
        <f>MCF!R48</f>
        <v>0.8</v>
      </c>
      <c r="F49" s="67">
        <f t="shared" si="0"/>
        <v>0.16887150228554504</v>
      </c>
      <c r="G49" s="67">
        <f t="shared" si="1"/>
        <v>0.16887150228554504</v>
      </c>
      <c r="H49" s="67">
        <f t="shared" si="2"/>
        <v>0</v>
      </c>
      <c r="I49" s="67">
        <f t="shared" si="3"/>
        <v>1.7908155166336885</v>
      </c>
      <c r="J49" s="67">
        <f t="shared" si="4"/>
        <v>0.1176042105765466</v>
      </c>
      <c r="K49" s="100">
        <f t="shared" si="6"/>
        <v>7.8402807051031059E-2</v>
      </c>
      <c r="O49" s="96">
        <f>Amnt_Deposited!B44</f>
        <v>2030</v>
      </c>
      <c r="P49" s="99">
        <f>Amnt_Deposited!D44</f>
        <v>2.1806753910840007</v>
      </c>
      <c r="Q49" s="284">
        <f>MCF!R48</f>
        <v>0.8</v>
      </c>
      <c r="R49" s="67">
        <f t="shared" si="5"/>
        <v>0.34890806257344015</v>
      </c>
      <c r="S49" s="67">
        <f t="shared" si="7"/>
        <v>0.34890806257344015</v>
      </c>
      <c r="T49" s="67">
        <f t="shared" si="8"/>
        <v>0</v>
      </c>
      <c r="U49" s="67">
        <f t="shared" si="9"/>
        <v>3.7000320591605136</v>
      </c>
      <c r="V49" s="67">
        <f t="shared" si="10"/>
        <v>0.24298390614988968</v>
      </c>
      <c r="W49" s="100">
        <f t="shared" si="11"/>
        <v>0.16198927076659311</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1.6697453203009291</v>
      </c>
      <c r="J50" s="67">
        <f t="shared" si="4"/>
        <v>0.12107019633275944</v>
      </c>
      <c r="K50" s="100">
        <f t="shared" si="6"/>
        <v>8.0713464221839615E-2</v>
      </c>
      <c r="O50" s="96">
        <f>Amnt_Deposited!B45</f>
        <v>2031</v>
      </c>
      <c r="P50" s="99">
        <f>Amnt_Deposited!D45</f>
        <v>0</v>
      </c>
      <c r="Q50" s="284">
        <f>MCF!R49</f>
        <v>0.8</v>
      </c>
      <c r="R50" s="67">
        <f t="shared" si="5"/>
        <v>0</v>
      </c>
      <c r="S50" s="67">
        <f t="shared" si="7"/>
        <v>0</v>
      </c>
      <c r="T50" s="67">
        <f t="shared" si="8"/>
        <v>0</v>
      </c>
      <c r="U50" s="67">
        <f t="shared" si="9"/>
        <v>3.4498870254151428</v>
      </c>
      <c r="V50" s="67">
        <f t="shared" si="10"/>
        <v>0.25014503374537073</v>
      </c>
      <c r="W50" s="100">
        <f t="shared" si="11"/>
        <v>0.16676335583024715</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1.5568602174654644</v>
      </c>
      <c r="J51" s="67">
        <f t="shared" si="4"/>
        <v>0.1128851028354647</v>
      </c>
      <c r="K51" s="100">
        <f t="shared" si="6"/>
        <v>7.5256735223643123E-2</v>
      </c>
      <c r="O51" s="96">
        <f>Amnt_Deposited!B46</f>
        <v>2032</v>
      </c>
      <c r="P51" s="99">
        <f>Amnt_Deposited!D46</f>
        <v>0</v>
      </c>
      <c r="Q51" s="284">
        <f>MCF!R50</f>
        <v>0.8</v>
      </c>
      <c r="R51" s="67">
        <f t="shared" ref="R51:R82" si="13">P51*$W$6*DOCF*Q51</f>
        <v>0</v>
      </c>
      <c r="S51" s="67">
        <f t="shared" si="7"/>
        <v>0</v>
      </c>
      <c r="T51" s="67">
        <f t="shared" si="8"/>
        <v>0</v>
      </c>
      <c r="U51" s="67">
        <f t="shared" si="9"/>
        <v>3.2166533418707943</v>
      </c>
      <c r="V51" s="67">
        <f t="shared" si="10"/>
        <v>0.23323368354434856</v>
      </c>
      <c r="W51" s="100">
        <f t="shared" si="11"/>
        <v>0.15548912236289902</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1.4516068452222297</v>
      </c>
      <c r="J52" s="67">
        <f t="shared" si="4"/>
        <v>0.10525337224323472</v>
      </c>
      <c r="K52" s="100">
        <f t="shared" si="6"/>
        <v>7.0168914828823148E-2</v>
      </c>
      <c r="O52" s="96">
        <f>Amnt_Deposited!B47</f>
        <v>2033</v>
      </c>
      <c r="P52" s="99">
        <f>Amnt_Deposited!D47</f>
        <v>0</v>
      </c>
      <c r="Q52" s="284">
        <f>MCF!R51</f>
        <v>0.8</v>
      </c>
      <c r="R52" s="67">
        <f t="shared" si="13"/>
        <v>0</v>
      </c>
      <c r="S52" s="67">
        <f t="shared" si="7"/>
        <v>0</v>
      </c>
      <c r="T52" s="67">
        <f t="shared" si="8"/>
        <v>0</v>
      </c>
      <c r="U52" s="67">
        <f t="shared" si="9"/>
        <v>2.9991876967401438</v>
      </c>
      <c r="V52" s="67">
        <f t="shared" si="10"/>
        <v>0.21746564513065025</v>
      </c>
      <c r="W52" s="100">
        <f t="shared" si="11"/>
        <v>0.14497709675376683</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1.3534692514183775</v>
      </c>
      <c r="J53" s="67">
        <f t="shared" si="4"/>
        <v>9.8137593803852327E-2</v>
      </c>
      <c r="K53" s="100">
        <f t="shared" si="6"/>
        <v>6.5425062535901551E-2</v>
      </c>
      <c r="O53" s="96">
        <f>Amnt_Deposited!B48</f>
        <v>2034</v>
      </c>
      <c r="P53" s="99">
        <f>Amnt_Deposited!D48</f>
        <v>0</v>
      </c>
      <c r="Q53" s="284">
        <f>MCF!R52</f>
        <v>0.8</v>
      </c>
      <c r="R53" s="67">
        <f t="shared" si="13"/>
        <v>0</v>
      </c>
      <c r="S53" s="67">
        <f t="shared" si="7"/>
        <v>0</v>
      </c>
      <c r="T53" s="67">
        <f t="shared" si="8"/>
        <v>0</v>
      </c>
      <c r="U53" s="67">
        <f t="shared" si="9"/>
        <v>2.7964240731784655</v>
      </c>
      <c r="V53" s="67">
        <f t="shared" si="10"/>
        <v>0.20276362356167835</v>
      </c>
      <c r="W53" s="100">
        <f t="shared" si="11"/>
        <v>0.1351757490411189</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1.2619663654552253</v>
      </c>
      <c r="J54" s="67">
        <f t="shared" si="4"/>
        <v>9.1502885963152203E-2</v>
      </c>
      <c r="K54" s="100">
        <f t="shared" si="6"/>
        <v>6.1001923975434802E-2</v>
      </c>
      <c r="O54" s="96">
        <f>Amnt_Deposited!B49</f>
        <v>2035</v>
      </c>
      <c r="P54" s="99">
        <f>Amnt_Deposited!D49</f>
        <v>0</v>
      </c>
      <c r="Q54" s="284">
        <f>MCF!R53</f>
        <v>0.8</v>
      </c>
      <c r="R54" s="67">
        <f t="shared" si="13"/>
        <v>0</v>
      </c>
      <c r="S54" s="67">
        <f t="shared" si="7"/>
        <v>0</v>
      </c>
      <c r="T54" s="67">
        <f t="shared" si="8"/>
        <v>0</v>
      </c>
      <c r="U54" s="67">
        <f t="shared" si="9"/>
        <v>2.6073685236678203</v>
      </c>
      <c r="V54" s="67">
        <f t="shared" si="10"/>
        <v>0.18905554951064502</v>
      </c>
      <c r="W54" s="100">
        <f t="shared" si="11"/>
        <v>0.12603703300709668</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1.1766496400796236</v>
      </c>
      <c r="J55" s="67">
        <f t="shared" si="4"/>
        <v>8.5316725375601865E-2</v>
      </c>
      <c r="K55" s="100">
        <f t="shared" si="6"/>
        <v>5.6877816917067905E-2</v>
      </c>
      <c r="O55" s="96">
        <f>Amnt_Deposited!B50</f>
        <v>2036</v>
      </c>
      <c r="P55" s="99">
        <f>Amnt_Deposited!D50</f>
        <v>0</v>
      </c>
      <c r="Q55" s="284">
        <f>MCF!R54</f>
        <v>0.8</v>
      </c>
      <c r="R55" s="67">
        <f t="shared" si="13"/>
        <v>0</v>
      </c>
      <c r="S55" s="67">
        <f t="shared" si="7"/>
        <v>0</v>
      </c>
      <c r="T55" s="67">
        <f t="shared" si="8"/>
        <v>0</v>
      </c>
      <c r="U55" s="67">
        <f t="shared" si="9"/>
        <v>2.4310942976851719</v>
      </c>
      <c r="V55" s="67">
        <f t="shared" si="10"/>
        <v>0.17627422598264844</v>
      </c>
      <c r="W55" s="100">
        <f t="shared" si="11"/>
        <v>0.11751615065509896</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1.0971008526047994</v>
      </c>
      <c r="J56" s="67">
        <f t="shared" si="4"/>
        <v>7.9548787474824176E-2</v>
      </c>
      <c r="K56" s="100">
        <f t="shared" si="6"/>
        <v>5.3032524983216117E-2</v>
      </c>
      <c r="O56" s="96">
        <f>Amnt_Deposited!B51</f>
        <v>2037</v>
      </c>
      <c r="P56" s="99">
        <f>Amnt_Deposited!D51</f>
        <v>0</v>
      </c>
      <c r="Q56" s="284">
        <f>MCF!R55</f>
        <v>0.8</v>
      </c>
      <c r="R56" s="67">
        <f t="shared" si="13"/>
        <v>0</v>
      </c>
      <c r="S56" s="67">
        <f t="shared" si="7"/>
        <v>0</v>
      </c>
      <c r="T56" s="67">
        <f t="shared" si="8"/>
        <v>0</v>
      </c>
      <c r="U56" s="67">
        <f t="shared" si="9"/>
        <v>2.2667372987702459</v>
      </c>
      <c r="V56" s="67">
        <f t="shared" si="10"/>
        <v>0.16435699891492594</v>
      </c>
      <c r="W56" s="100">
        <f t="shared" si="11"/>
        <v>0.10957133260995063</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1.0229300547822617</v>
      </c>
      <c r="J57" s="67">
        <f t="shared" si="4"/>
        <v>7.4170797822537771E-2</v>
      </c>
      <c r="K57" s="100">
        <f t="shared" si="6"/>
        <v>4.9447198548358509E-2</v>
      </c>
      <c r="O57" s="96">
        <f>Amnt_Deposited!B52</f>
        <v>2038</v>
      </c>
      <c r="P57" s="99">
        <f>Amnt_Deposited!D52</f>
        <v>0</v>
      </c>
      <c r="Q57" s="284">
        <f>MCF!R56</f>
        <v>0.8</v>
      </c>
      <c r="R57" s="67">
        <f t="shared" si="13"/>
        <v>0</v>
      </c>
      <c r="S57" s="67">
        <f t="shared" si="7"/>
        <v>0</v>
      </c>
      <c r="T57" s="67">
        <f t="shared" si="8"/>
        <v>0</v>
      </c>
      <c r="U57" s="67">
        <f t="shared" si="9"/>
        <v>2.1134918487236805</v>
      </c>
      <c r="V57" s="67">
        <f t="shared" si="10"/>
        <v>0.15324545004656559</v>
      </c>
      <c r="W57" s="100">
        <f t="shared" si="11"/>
        <v>0.10216363336437706</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0.95377366127503393</v>
      </c>
      <c r="J58" s="67">
        <f t="shared" si="4"/>
        <v>6.9156393507227784E-2</v>
      </c>
      <c r="K58" s="100">
        <f t="shared" si="6"/>
        <v>4.6104262338151854E-2</v>
      </c>
      <c r="O58" s="96">
        <f>Amnt_Deposited!B53</f>
        <v>2039</v>
      </c>
      <c r="P58" s="99">
        <f>Amnt_Deposited!D53</f>
        <v>0</v>
      </c>
      <c r="Q58" s="284">
        <f>MCF!R57</f>
        <v>0.8</v>
      </c>
      <c r="R58" s="67">
        <f t="shared" si="13"/>
        <v>0</v>
      </c>
      <c r="S58" s="67">
        <f t="shared" si="7"/>
        <v>0</v>
      </c>
      <c r="T58" s="67">
        <f t="shared" si="8"/>
        <v>0</v>
      </c>
      <c r="U58" s="67">
        <f t="shared" si="9"/>
        <v>1.9706067381715571</v>
      </c>
      <c r="V58" s="67">
        <f t="shared" si="10"/>
        <v>0.14288511055212347</v>
      </c>
      <c r="W58" s="100">
        <f t="shared" si="11"/>
        <v>9.5256740368082307E-2</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0.88929266736191093</v>
      </c>
      <c r="J59" s="67">
        <f t="shared" si="4"/>
        <v>6.4480993913123036E-2</v>
      </c>
      <c r="K59" s="100">
        <f t="shared" si="6"/>
        <v>4.2987329275415355E-2</v>
      </c>
      <c r="O59" s="96">
        <f>Amnt_Deposited!B54</f>
        <v>2040</v>
      </c>
      <c r="P59" s="99">
        <f>Amnt_Deposited!D54</f>
        <v>0</v>
      </c>
      <c r="Q59" s="284">
        <f>MCF!R58</f>
        <v>0.8</v>
      </c>
      <c r="R59" s="67">
        <f t="shared" si="13"/>
        <v>0</v>
      </c>
      <c r="S59" s="67">
        <f t="shared" si="7"/>
        <v>0</v>
      </c>
      <c r="T59" s="67">
        <f t="shared" si="8"/>
        <v>0</v>
      </c>
      <c r="U59" s="67">
        <f t="shared" si="9"/>
        <v>1.8373815441361789</v>
      </c>
      <c r="V59" s="67">
        <f t="shared" si="10"/>
        <v>0.13322519403537814</v>
      </c>
      <c r="W59" s="100">
        <f t="shared" si="11"/>
        <v>8.8816796023585415E-2</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0.82917098713592197</v>
      </c>
      <c r="J60" s="67">
        <f t="shared" si="4"/>
        <v>6.0121680225988988E-2</v>
      </c>
      <c r="K60" s="100">
        <f t="shared" si="6"/>
        <v>4.0081120150659323E-2</v>
      </c>
      <c r="O60" s="96">
        <f>Amnt_Deposited!B55</f>
        <v>2041</v>
      </c>
      <c r="P60" s="99">
        <f>Amnt_Deposited!D55</f>
        <v>0</v>
      </c>
      <c r="Q60" s="284">
        <f>MCF!R59</f>
        <v>0.8</v>
      </c>
      <c r="R60" s="67">
        <f t="shared" si="13"/>
        <v>0</v>
      </c>
      <c r="S60" s="67">
        <f t="shared" si="7"/>
        <v>0</v>
      </c>
      <c r="T60" s="67">
        <f t="shared" si="8"/>
        <v>0</v>
      </c>
      <c r="U60" s="67">
        <f t="shared" si="9"/>
        <v>1.7131631965618215</v>
      </c>
      <c r="V60" s="67">
        <f t="shared" si="10"/>
        <v>0.12421834757435736</v>
      </c>
      <c r="W60" s="100">
        <f t="shared" si="11"/>
        <v>8.2812231716238235E-2</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0.77311390405084823</v>
      </c>
      <c r="J61" s="67">
        <f t="shared" si="4"/>
        <v>5.6057083085073789E-2</v>
      </c>
      <c r="K61" s="100">
        <f t="shared" si="6"/>
        <v>3.7371388723382526E-2</v>
      </c>
      <c r="O61" s="96">
        <f>Amnt_Deposited!B56</f>
        <v>2042</v>
      </c>
      <c r="P61" s="99">
        <f>Amnt_Deposited!D56</f>
        <v>0</v>
      </c>
      <c r="Q61" s="284">
        <f>MCF!R60</f>
        <v>0.8</v>
      </c>
      <c r="R61" s="67">
        <f t="shared" si="13"/>
        <v>0</v>
      </c>
      <c r="S61" s="67">
        <f t="shared" si="7"/>
        <v>0</v>
      </c>
      <c r="T61" s="67">
        <f t="shared" si="8"/>
        <v>0</v>
      </c>
      <c r="U61" s="67">
        <f t="shared" si="9"/>
        <v>1.5973427769645616</v>
      </c>
      <c r="V61" s="67">
        <f t="shared" si="10"/>
        <v>0.11582041959725985</v>
      </c>
      <c r="W61" s="100">
        <f t="shared" si="11"/>
        <v>7.7213613064839898E-2</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0.72084662622037121</v>
      </c>
      <c r="J62" s="67">
        <f t="shared" si="4"/>
        <v>5.226727783047707E-2</v>
      </c>
      <c r="K62" s="100">
        <f t="shared" si="6"/>
        <v>3.4844851886984711E-2</v>
      </c>
      <c r="O62" s="96">
        <f>Amnt_Deposited!B57</f>
        <v>2043</v>
      </c>
      <c r="P62" s="99">
        <f>Amnt_Deposited!D57</f>
        <v>0</v>
      </c>
      <c r="Q62" s="284">
        <f>MCF!R61</f>
        <v>0.8</v>
      </c>
      <c r="R62" s="67">
        <f t="shared" si="13"/>
        <v>0</v>
      </c>
      <c r="S62" s="67">
        <f t="shared" si="7"/>
        <v>0</v>
      </c>
      <c r="T62" s="67">
        <f t="shared" si="8"/>
        <v>0</v>
      </c>
      <c r="U62" s="67">
        <f t="shared" si="9"/>
        <v>1.4893525335131628</v>
      </c>
      <c r="V62" s="67">
        <f t="shared" si="10"/>
        <v>0.10799024345139885</v>
      </c>
      <c r="W62" s="100">
        <f t="shared" si="11"/>
        <v>7.1993495634265894E-2</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0.67211293938792716</v>
      </c>
      <c r="J63" s="67">
        <f t="shared" si="4"/>
        <v>4.8733686832444008E-2</v>
      </c>
      <c r="K63" s="100">
        <f t="shared" si="6"/>
        <v>3.2489124554962667E-2</v>
      </c>
      <c r="O63" s="96">
        <f>Amnt_Deposited!B58</f>
        <v>2044</v>
      </c>
      <c r="P63" s="99">
        <f>Amnt_Deposited!D58</f>
        <v>0</v>
      </c>
      <c r="Q63" s="284">
        <f>MCF!R62</f>
        <v>0.8</v>
      </c>
      <c r="R63" s="67">
        <f t="shared" si="13"/>
        <v>0</v>
      </c>
      <c r="S63" s="67">
        <f t="shared" si="7"/>
        <v>0</v>
      </c>
      <c r="T63" s="67">
        <f t="shared" si="8"/>
        <v>0</v>
      </c>
      <c r="U63" s="67">
        <f t="shared" si="9"/>
        <v>1.3886630979089396</v>
      </c>
      <c r="V63" s="67">
        <f t="shared" si="10"/>
        <v>0.1006894356042231</v>
      </c>
      <c r="W63" s="100">
        <f t="shared" si="11"/>
        <v>6.7126290402815397E-2</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0.62667395096412448</v>
      </c>
      <c r="J64" s="67">
        <f t="shared" si="4"/>
        <v>4.5438988423802673E-2</v>
      </c>
      <c r="K64" s="100">
        <f t="shared" si="6"/>
        <v>3.029265894920178E-2</v>
      </c>
      <c r="O64" s="96">
        <f>Amnt_Deposited!B59</f>
        <v>2045</v>
      </c>
      <c r="P64" s="99">
        <f>Amnt_Deposited!D59</f>
        <v>0</v>
      </c>
      <c r="Q64" s="284">
        <f>MCF!R63</f>
        <v>0.8</v>
      </c>
      <c r="R64" s="67">
        <f t="shared" si="13"/>
        <v>0</v>
      </c>
      <c r="S64" s="67">
        <f t="shared" si="7"/>
        <v>0</v>
      </c>
      <c r="T64" s="67">
        <f t="shared" si="8"/>
        <v>0</v>
      </c>
      <c r="U64" s="67">
        <f t="shared" si="9"/>
        <v>1.2947808904217442</v>
      </c>
      <c r="V64" s="67">
        <f t="shared" si="10"/>
        <v>9.3882207487195557E-2</v>
      </c>
      <c r="W64" s="100">
        <f t="shared" si="11"/>
        <v>6.2588138324797038E-2</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0.58430691897499298</v>
      </c>
      <c r="J65" s="67">
        <f t="shared" si="4"/>
        <v>4.236703198913154E-2</v>
      </c>
      <c r="K65" s="100">
        <f t="shared" si="6"/>
        <v>2.8244687992754359E-2</v>
      </c>
      <c r="O65" s="96">
        <f>Amnt_Deposited!B60</f>
        <v>2046</v>
      </c>
      <c r="P65" s="99">
        <f>Amnt_Deposited!D60</f>
        <v>0</v>
      </c>
      <c r="Q65" s="284">
        <f>MCF!R64</f>
        <v>0.8</v>
      </c>
      <c r="R65" s="67">
        <f t="shared" si="13"/>
        <v>0</v>
      </c>
      <c r="S65" s="67">
        <f t="shared" si="7"/>
        <v>0</v>
      </c>
      <c r="T65" s="67">
        <f t="shared" si="8"/>
        <v>0</v>
      </c>
      <c r="U65" s="67">
        <f t="shared" si="9"/>
        <v>1.2072457003615551</v>
      </c>
      <c r="V65" s="67">
        <f t="shared" si="10"/>
        <v>8.7535190060189089E-2</v>
      </c>
      <c r="W65" s="100">
        <f t="shared" si="11"/>
        <v>5.8356793373459392E-2</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0.5448041601805691</v>
      </c>
      <c r="J66" s="67">
        <f t="shared" si="4"/>
        <v>3.9502758794423866E-2</v>
      </c>
      <c r="K66" s="100">
        <f t="shared" si="6"/>
        <v>2.6335172529615911E-2</v>
      </c>
      <c r="O66" s="96">
        <f>Amnt_Deposited!B61</f>
        <v>2047</v>
      </c>
      <c r="P66" s="99">
        <f>Amnt_Deposited!D61</f>
        <v>0</v>
      </c>
      <c r="Q66" s="284">
        <f>MCF!R65</f>
        <v>0.8</v>
      </c>
      <c r="R66" s="67">
        <f t="shared" si="13"/>
        <v>0</v>
      </c>
      <c r="S66" s="67">
        <f t="shared" si="7"/>
        <v>0</v>
      </c>
      <c r="T66" s="67">
        <f t="shared" si="8"/>
        <v>0</v>
      </c>
      <c r="U66" s="67">
        <f t="shared" si="9"/>
        <v>1.1256284301251422</v>
      </c>
      <c r="V66" s="67">
        <f t="shared" si="10"/>
        <v>8.1617270236412895E-2</v>
      </c>
      <c r="W66" s="100">
        <f t="shared" si="11"/>
        <v>5.4411513490941928E-2</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0.50797203201141294</v>
      </c>
      <c r="J67" s="67">
        <f t="shared" si="4"/>
        <v>3.683212816915616E-2</v>
      </c>
      <c r="K67" s="100">
        <f t="shared" si="6"/>
        <v>2.4554752112770771E-2</v>
      </c>
      <c r="O67" s="96">
        <f>Amnt_Deposited!B62</f>
        <v>2048</v>
      </c>
      <c r="P67" s="99">
        <f>Amnt_Deposited!D62</f>
        <v>0</v>
      </c>
      <c r="Q67" s="284">
        <f>MCF!R66</f>
        <v>0.8</v>
      </c>
      <c r="R67" s="67">
        <f t="shared" si="13"/>
        <v>0</v>
      </c>
      <c r="S67" s="67">
        <f t="shared" si="7"/>
        <v>0</v>
      </c>
      <c r="T67" s="67">
        <f t="shared" si="8"/>
        <v>0</v>
      </c>
      <c r="U67" s="67">
        <f t="shared" si="9"/>
        <v>1.0495289917591171</v>
      </c>
      <c r="V67" s="67">
        <f t="shared" si="10"/>
        <v>7.6099438366025091E-2</v>
      </c>
      <c r="W67" s="100">
        <f t="shared" si="11"/>
        <v>5.0732958910683391E-2</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0.47362998333250794</v>
      </c>
      <c r="J68" s="67">
        <f t="shared" si="4"/>
        <v>3.4342048678904995E-2</v>
      </c>
      <c r="K68" s="100">
        <f t="shared" si="6"/>
        <v>2.2894699119269994E-2</v>
      </c>
      <c r="O68" s="96">
        <f>Amnt_Deposited!B63</f>
        <v>2049</v>
      </c>
      <c r="P68" s="99">
        <f>Amnt_Deposited!D63</f>
        <v>0</v>
      </c>
      <c r="Q68" s="284">
        <f>MCF!R67</f>
        <v>0.8</v>
      </c>
      <c r="R68" s="67">
        <f t="shared" si="13"/>
        <v>0</v>
      </c>
      <c r="S68" s="67">
        <f t="shared" si="7"/>
        <v>0</v>
      </c>
      <c r="T68" s="67">
        <f t="shared" si="8"/>
        <v>0</v>
      </c>
      <c r="U68" s="67">
        <f t="shared" si="9"/>
        <v>0.97857434572832169</v>
      </c>
      <c r="V68" s="67">
        <f t="shared" si="10"/>
        <v>7.0954646030795404E-2</v>
      </c>
      <c r="W68" s="100">
        <f t="shared" si="11"/>
        <v>4.73030973538636E-2</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0.44160966938138768</v>
      </c>
      <c r="J69" s="67">
        <f t="shared" si="4"/>
        <v>3.2020313951120247E-2</v>
      </c>
      <c r="K69" s="100">
        <f t="shared" si="6"/>
        <v>2.1346875967413498E-2</v>
      </c>
      <c r="O69" s="96">
        <f>Amnt_Deposited!B64</f>
        <v>2050</v>
      </c>
      <c r="P69" s="99">
        <f>Amnt_Deposited!D64</f>
        <v>0</v>
      </c>
      <c r="Q69" s="284">
        <f>MCF!R68</f>
        <v>0.8</v>
      </c>
      <c r="R69" s="67">
        <f t="shared" si="13"/>
        <v>0</v>
      </c>
      <c r="S69" s="67">
        <f t="shared" si="7"/>
        <v>0</v>
      </c>
      <c r="T69" s="67">
        <f t="shared" si="8"/>
        <v>0</v>
      </c>
      <c r="U69" s="67">
        <f t="shared" si="9"/>
        <v>0.91241667227559398</v>
      </c>
      <c r="V69" s="67">
        <f t="shared" si="10"/>
        <v>6.6157673452727758E-2</v>
      </c>
      <c r="W69" s="100">
        <f t="shared" si="11"/>
        <v>4.4105115635151834E-2</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0.41175412654191496</v>
      </c>
      <c r="J70" s="67">
        <f t="shared" si="4"/>
        <v>2.9855542839472737E-2</v>
      </c>
      <c r="K70" s="100">
        <f t="shared" si="6"/>
        <v>1.9903695226315157E-2</v>
      </c>
      <c r="O70" s="96">
        <f>Amnt_Deposited!B65</f>
        <v>2051</v>
      </c>
      <c r="P70" s="99">
        <f>Amnt_Deposited!D65</f>
        <v>0</v>
      </c>
      <c r="Q70" s="284">
        <f>MCF!R69</f>
        <v>0.8</v>
      </c>
      <c r="R70" s="67">
        <f t="shared" si="13"/>
        <v>0</v>
      </c>
      <c r="S70" s="67">
        <f t="shared" si="7"/>
        <v>0</v>
      </c>
      <c r="T70" s="67">
        <f t="shared" si="8"/>
        <v>0</v>
      </c>
      <c r="U70" s="67">
        <f t="shared" si="9"/>
        <v>0.85073166640891484</v>
      </c>
      <c r="V70" s="67">
        <f t="shared" si="10"/>
        <v>6.1685005866679181E-2</v>
      </c>
      <c r="W70" s="100">
        <f t="shared" si="11"/>
        <v>4.1123337244452787E-2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0.38391700290845326</v>
      </c>
      <c r="J71" s="67">
        <f t="shared" si="4"/>
        <v>2.7837123633461667E-2</v>
      </c>
      <c r="K71" s="100">
        <f t="shared" si="6"/>
        <v>1.8558082422307776E-2</v>
      </c>
      <c r="O71" s="96">
        <f>Amnt_Deposited!B66</f>
        <v>2052</v>
      </c>
      <c r="P71" s="99">
        <f>Amnt_Deposited!D66</f>
        <v>0</v>
      </c>
      <c r="Q71" s="284">
        <f>MCF!R70</f>
        <v>0.8</v>
      </c>
      <c r="R71" s="67">
        <f t="shared" si="13"/>
        <v>0</v>
      </c>
      <c r="S71" s="67">
        <f t="shared" si="7"/>
        <v>0</v>
      </c>
      <c r="T71" s="67">
        <f t="shared" si="8"/>
        <v>0</v>
      </c>
      <c r="U71" s="67">
        <f t="shared" si="9"/>
        <v>0.79321694815796107</v>
      </c>
      <c r="V71" s="67">
        <f t="shared" si="10"/>
        <v>5.7514718250953834E-2</v>
      </c>
      <c r="W71" s="100">
        <f t="shared" si="11"/>
        <v>3.8343145500635889E-2</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0.35796184086865579</v>
      </c>
      <c r="J72" s="67">
        <f t="shared" si="4"/>
        <v>2.5955162039797471E-2</v>
      </c>
      <c r="K72" s="100">
        <f t="shared" si="6"/>
        <v>1.7303441359864981E-2</v>
      </c>
      <c r="O72" s="96">
        <f>Amnt_Deposited!B67</f>
        <v>2053</v>
      </c>
      <c r="P72" s="99">
        <f>Amnt_Deposited!D67</f>
        <v>0</v>
      </c>
      <c r="Q72" s="284">
        <f>MCF!R71</f>
        <v>0.8</v>
      </c>
      <c r="R72" s="67">
        <f t="shared" si="13"/>
        <v>0</v>
      </c>
      <c r="S72" s="67">
        <f t="shared" si="7"/>
        <v>0</v>
      </c>
      <c r="T72" s="67">
        <f t="shared" si="8"/>
        <v>0</v>
      </c>
      <c r="U72" s="67">
        <f t="shared" si="9"/>
        <v>0.73959058030713987</v>
      </c>
      <c r="V72" s="67">
        <f t="shared" si="10"/>
        <v>5.3626367850821206E-2</v>
      </c>
      <c r="W72" s="100">
        <f t="shared" si="11"/>
        <v>3.5750911900547466E-2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0.33376140818809114</v>
      </c>
      <c r="J73" s="67">
        <f t="shared" si="4"/>
        <v>2.420043268056463E-2</v>
      </c>
      <c r="K73" s="100">
        <f t="shared" si="6"/>
        <v>1.6133621787043084E-2</v>
      </c>
      <c r="O73" s="96">
        <f>Amnt_Deposited!B68</f>
        <v>2054</v>
      </c>
      <c r="P73" s="99">
        <f>Amnt_Deposited!D68</f>
        <v>0</v>
      </c>
      <c r="Q73" s="284">
        <f>MCF!R72</f>
        <v>0.8</v>
      </c>
      <c r="R73" s="67">
        <f t="shared" si="13"/>
        <v>0</v>
      </c>
      <c r="S73" s="67">
        <f t="shared" si="7"/>
        <v>0</v>
      </c>
      <c r="T73" s="67">
        <f t="shared" si="8"/>
        <v>0</v>
      </c>
      <c r="U73" s="67">
        <f t="shared" si="9"/>
        <v>0.68958968633903117</v>
      </c>
      <c r="V73" s="67">
        <f t="shared" si="10"/>
        <v>5.0000893968108723E-2</v>
      </c>
      <c r="W73" s="100">
        <f t="shared" si="11"/>
        <v>3.3333929312072477E-2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0.31119707431768273</v>
      </c>
      <c r="J74" s="67">
        <f t="shared" si="4"/>
        <v>2.2564333870408401E-2</v>
      </c>
      <c r="K74" s="100">
        <f t="shared" si="6"/>
        <v>1.5042889246938933E-2</v>
      </c>
      <c r="O74" s="96">
        <f>Amnt_Deposited!B69</f>
        <v>2055</v>
      </c>
      <c r="P74" s="99">
        <f>Amnt_Deposited!D69</f>
        <v>0</v>
      </c>
      <c r="Q74" s="284">
        <f>MCF!R73</f>
        <v>0.8</v>
      </c>
      <c r="R74" s="67">
        <f t="shared" si="13"/>
        <v>0</v>
      </c>
      <c r="S74" s="67">
        <f t="shared" si="7"/>
        <v>0</v>
      </c>
      <c r="T74" s="67">
        <f t="shared" si="8"/>
        <v>0</v>
      </c>
      <c r="U74" s="67">
        <f t="shared" si="9"/>
        <v>0.64296916181339403</v>
      </c>
      <c r="V74" s="67">
        <f t="shared" si="10"/>
        <v>4.6620524525637183E-2</v>
      </c>
      <c r="W74" s="100">
        <f t="shared" si="11"/>
        <v>3.108034968375812E-2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0.29015822886661946</v>
      </c>
      <c r="J75" s="67">
        <f t="shared" si="4"/>
        <v>2.1038845451063257E-2</v>
      </c>
      <c r="K75" s="100">
        <f t="shared" si="6"/>
        <v>1.4025896967375504E-2</v>
      </c>
      <c r="O75" s="96">
        <f>Amnt_Deposited!B70</f>
        <v>2056</v>
      </c>
      <c r="P75" s="99">
        <f>Amnt_Deposited!D70</f>
        <v>0</v>
      </c>
      <c r="Q75" s="284">
        <f>MCF!R74</f>
        <v>0.8</v>
      </c>
      <c r="R75" s="67">
        <f t="shared" si="13"/>
        <v>0</v>
      </c>
      <c r="S75" s="67">
        <f t="shared" si="7"/>
        <v>0</v>
      </c>
      <c r="T75" s="67">
        <f t="shared" si="8"/>
        <v>0</v>
      </c>
      <c r="U75" s="67">
        <f t="shared" si="9"/>
        <v>0.59950047286491626</v>
      </c>
      <c r="V75" s="67">
        <f t="shared" si="10"/>
        <v>4.3468688948477802E-2</v>
      </c>
      <c r="W75" s="100">
        <f t="shared" si="11"/>
        <v>2.8979125965651865E-2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0.27054173939009168</v>
      </c>
      <c r="J76" s="67">
        <f t="shared" si="4"/>
        <v>1.9616489476527752E-2</v>
      </c>
      <c r="K76" s="100">
        <f t="shared" si="6"/>
        <v>1.3077659651018501E-2</v>
      </c>
      <c r="O76" s="96">
        <f>Amnt_Deposited!B71</f>
        <v>2057</v>
      </c>
      <c r="P76" s="99">
        <f>Amnt_Deposited!D71</f>
        <v>0</v>
      </c>
      <c r="Q76" s="284">
        <f>MCF!R75</f>
        <v>0.8</v>
      </c>
      <c r="R76" s="67">
        <f t="shared" si="13"/>
        <v>0</v>
      </c>
      <c r="S76" s="67">
        <f t="shared" si="7"/>
        <v>0</v>
      </c>
      <c r="T76" s="67">
        <f t="shared" si="8"/>
        <v>0</v>
      </c>
      <c r="U76" s="67">
        <f t="shared" si="9"/>
        <v>0.5589705359299415</v>
      </c>
      <c r="V76" s="67">
        <f t="shared" si="10"/>
        <v>4.0529936934974697E-2</v>
      </c>
      <c r="W76" s="100">
        <f t="shared" si="11"/>
        <v>2.7019957956649798E-2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0.25225144583392711</v>
      </c>
      <c r="J77" s="67">
        <f t="shared" si="4"/>
        <v>1.8290293556164548E-2</v>
      </c>
      <c r="K77" s="100">
        <f t="shared" si="6"/>
        <v>1.2193529037443031E-2</v>
      </c>
      <c r="O77" s="96">
        <f>Amnt_Deposited!B72</f>
        <v>2058</v>
      </c>
      <c r="P77" s="99">
        <f>Amnt_Deposited!D72</f>
        <v>0</v>
      </c>
      <c r="Q77" s="284">
        <f>MCF!R76</f>
        <v>0.8</v>
      </c>
      <c r="R77" s="67">
        <f t="shared" si="13"/>
        <v>0</v>
      </c>
      <c r="S77" s="67">
        <f t="shared" si="7"/>
        <v>0</v>
      </c>
      <c r="T77" s="67">
        <f t="shared" si="8"/>
        <v>0</v>
      </c>
      <c r="U77" s="67">
        <f t="shared" si="9"/>
        <v>0.52118067321059325</v>
      </c>
      <c r="V77" s="67">
        <f t="shared" si="10"/>
        <v>3.7789862719348234E-2</v>
      </c>
      <c r="W77" s="100">
        <f t="shared" si="11"/>
        <v>2.5193241812898823E-2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0.23519768915789371</v>
      </c>
      <c r="J78" s="67">
        <f t="shared" si="4"/>
        <v>1.705375667603341E-2</v>
      </c>
      <c r="K78" s="100">
        <f t="shared" si="6"/>
        <v>1.1369171117355605E-2</v>
      </c>
      <c r="O78" s="96">
        <f>Amnt_Deposited!B73</f>
        <v>2059</v>
      </c>
      <c r="P78" s="99">
        <f>Amnt_Deposited!D73</f>
        <v>0</v>
      </c>
      <c r="Q78" s="284">
        <f>MCF!R77</f>
        <v>0.8</v>
      </c>
      <c r="R78" s="67">
        <f t="shared" si="13"/>
        <v>0</v>
      </c>
      <c r="S78" s="67">
        <f t="shared" si="7"/>
        <v>0</v>
      </c>
      <c r="T78" s="67">
        <f t="shared" si="8"/>
        <v>0</v>
      </c>
      <c r="U78" s="67">
        <f t="shared" si="9"/>
        <v>0.48594563875597874</v>
      </c>
      <c r="V78" s="67">
        <f t="shared" si="10"/>
        <v>3.523503445461449E-2</v>
      </c>
      <c r="W78" s="100">
        <f t="shared" si="11"/>
        <v>2.3490022969742994E-2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0.21929687182698035</v>
      </c>
      <c r="J79" s="67">
        <f t="shared" si="4"/>
        <v>1.590081733091336E-2</v>
      </c>
      <c r="K79" s="100">
        <f t="shared" si="6"/>
        <v>1.0600544887275572E-2</v>
      </c>
      <c r="O79" s="96">
        <f>Amnt_Deposited!B74</f>
        <v>2060</v>
      </c>
      <c r="P79" s="99">
        <f>Amnt_Deposited!D74</f>
        <v>0</v>
      </c>
      <c r="Q79" s="284">
        <f>MCF!R78</f>
        <v>0.8</v>
      </c>
      <c r="R79" s="67">
        <f t="shared" si="13"/>
        <v>0</v>
      </c>
      <c r="S79" s="67">
        <f t="shared" si="7"/>
        <v>0</v>
      </c>
      <c r="T79" s="67">
        <f t="shared" si="8"/>
        <v>0</v>
      </c>
      <c r="U79" s="67">
        <f t="shared" si="9"/>
        <v>0.45309271038632304</v>
      </c>
      <c r="V79" s="67">
        <f t="shared" si="10"/>
        <v>3.2852928369655698E-2</v>
      </c>
      <c r="W79" s="100">
        <f t="shared" si="11"/>
        <v>2.190195224643713E-2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0.20447104801618335</v>
      </c>
      <c r="J80" s="67">
        <f t="shared" si="4"/>
        <v>1.4825823810797011E-2</v>
      </c>
      <c r="K80" s="100">
        <f t="shared" si="6"/>
        <v>9.8838825405313403E-3</v>
      </c>
      <c r="O80" s="96">
        <f>Amnt_Deposited!B75</f>
        <v>2061</v>
      </c>
      <c r="P80" s="99">
        <f>Amnt_Deposited!D75</f>
        <v>0</v>
      </c>
      <c r="Q80" s="284">
        <f>MCF!R79</f>
        <v>0.8</v>
      </c>
      <c r="R80" s="67">
        <f t="shared" si="13"/>
        <v>0</v>
      </c>
      <c r="S80" s="67">
        <f t="shared" si="7"/>
        <v>0</v>
      </c>
      <c r="T80" s="67">
        <f t="shared" si="8"/>
        <v>0</v>
      </c>
      <c r="U80" s="67">
        <f t="shared" si="9"/>
        <v>0.42246084300864328</v>
      </c>
      <c r="V80" s="67">
        <f t="shared" si="10"/>
        <v>3.0631867377679776E-2</v>
      </c>
      <c r="W80" s="100">
        <f t="shared" si="11"/>
        <v>2.0421244918453183E-2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0.19064754151998176</v>
      </c>
      <c r="J81" s="67">
        <f t="shared" si="4"/>
        <v>1.382350649620159E-2</v>
      </c>
      <c r="K81" s="100">
        <f t="shared" si="6"/>
        <v>9.2156709974677252E-3</v>
      </c>
      <c r="O81" s="96">
        <f>Amnt_Deposited!B76</f>
        <v>2062</v>
      </c>
      <c r="P81" s="99">
        <f>Amnt_Deposited!D76</f>
        <v>0</v>
      </c>
      <c r="Q81" s="284">
        <f>MCF!R80</f>
        <v>0.8</v>
      </c>
      <c r="R81" s="67">
        <f t="shared" si="13"/>
        <v>0</v>
      </c>
      <c r="S81" s="67">
        <f t="shared" si="7"/>
        <v>0</v>
      </c>
      <c r="T81" s="67">
        <f t="shared" si="8"/>
        <v>0</v>
      </c>
      <c r="U81" s="67">
        <f t="shared" si="9"/>
        <v>0.39389987917351604</v>
      </c>
      <c r="V81" s="67">
        <f t="shared" si="10"/>
        <v>2.856096383512725E-2</v>
      </c>
      <c r="W81" s="100">
        <f t="shared" si="11"/>
        <v>1.9040642556751499E-2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0.17775858949349366</v>
      </c>
      <c r="J82" s="67">
        <f t="shared" si="4"/>
        <v>1.288895202648809E-2</v>
      </c>
      <c r="K82" s="100">
        <f t="shared" si="6"/>
        <v>8.5926346843253933E-3</v>
      </c>
      <c r="O82" s="96">
        <f>Amnt_Deposited!B77</f>
        <v>2063</v>
      </c>
      <c r="P82" s="99">
        <f>Amnt_Deposited!D77</f>
        <v>0</v>
      </c>
      <c r="Q82" s="284">
        <f>MCF!R81</f>
        <v>0.8</v>
      </c>
      <c r="R82" s="67">
        <f t="shared" si="13"/>
        <v>0</v>
      </c>
      <c r="S82" s="67">
        <f t="shared" si="7"/>
        <v>0</v>
      </c>
      <c r="T82" s="67">
        <f t="shared" si="8"/>
        <v>0</v>
      </c>
      <c r="U82" s="67">
        <f t="shared" si="9"/>
        <v>0.36726981300308609</v>
      </c>
      <c r="V82" s="67">
        <f t="shared" si="10"/>
        <v>2.6630066170429942E-2</v>
      </c>
      <c r="W82" s="100">
        <f t="shared" si="11"/>
        <v>1.7753377446953295E-2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0.16574101027893193</v>
      </c>
      <c r="J83" s="67">
        <f t="shared" ref="J83:J99" si="18">I82*(1-$K$10)+H83</f>
        <v>1.2017579214561744E-2</v>
      </c>
      <c r="K83" s="100">
        <f t="shared" si="6"/>
        <v>8.0117194763744959E-3</v>
      </c>
      <c r="O83" s="96">
        <f>Amnt_Deposited!B78</f>
        <v>2064</v>
      </c>
      <c r="P83" s="99">
        <f>Amnt_Deposited!D78</f>
        <v>0</v>
      </c>
      <c r="Q83" s="284">
        <f>MCF!R82</f>
        <v>0.8</v>
      </c>
      <c r="R83" s="67">
        <f t="shared" ref="R83:R99" si="19">P83*$W$6*DOCF*Q83</f>
        <v>0</v>
      </c>
      <c r="S83" s="67">
        <f t="shared" si="7"/>
        <v>0</v>
      </c>
      <c r="T83" s="67">
        <f t="shared" si="8"/>
        <v>0</v>
      </c>
      <c r="U83" s="67">
        <f t="shared" si="9"/>
        <v>0.34244010388209073</v>
      </c>
      <c r="V83" s="67">
        <f t="shared" si="10"/>
        <v>2.4829709120995337E-2</v>
      </c>
      <c r="W83" s="100">
        <f t="shared" si="11"/>
        <v>1.655313941399689E-2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0.15453589368904438</v>
      </c>
      <c r="J84" s="67">
        <f t="shared" si="18"/>
        <v>1.120511658988755E-2</v>
      </c>
      <c r="K84" s="100">
        <f t="shared" si="6"/>
        <v>7.4700777265916994E-3</v>
      </c>
      <c r="O84" s="96">
        <f>Amnt_Deposited!B79</f>
        <v>2065</v>
      </c>
      <c r="P84" s="99">
        <f>Amnt_Deposited!D79</f>
        <v>0</v>
      </c>
      <c r="Q84" s="284">
        <f>MCF!R83</f>
        <v>0.8</v>
      </c>
      <c r="R84" s="67">
        <f t="shared" si="19"/>
        <v>0</v>
      </c>
      <c r="S84" s="67">
        <f t="shared" si="7"/>
        <v>0</v>
      </c>
      <c r="T84" s="67">
        <f t="shared" si="8"/>
        <v>0</v>
      </c>
      <c r="U84" s="67">
        <f t="shared" si="9"/>
        <v>0.31928903654761231</v>
      </c>
      <c r="V84" s="67">
        <f t="shared" si="10"/>
        <v>2.3151067334478408E-2</v>
      </c>
      <c r="W84" s="100">
        <f t="shared" si="11"/>
        <v>1.5434044889652271E-2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0.14408831222930762</v>
      </c>
      <c r="J85" s="67">
        <f t="shared" si="18"/>
        <v>1.0447581459736767E-2</v>
      </c>
      <c r="K85" s="100">
        <f t="shared" ref="K85:K99" si="20">J85*CH4_fraction*conv</f>
        <v>6.965054306491178E-3</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0.29770312444071817</v>
      </c>
      <c r="V85" s="67">
        <f t="shared" ref="V85:V98" si="24">U84*(1-$W$10)+T85</f>
        <v>2.1585912106894142E-2</v>
      </c>
      <c r="W85" s="100">
        <f t="shared" ref="W85:W99" si="25">V85*CH4_fraction*conv</f>
        <v>1.439060807126276E-2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0.1343470518432851</v>
      </c>
      <c r="J86" s="67">
        <f t="shared" si="18"/>
        <v>9.7412603860225263E-3</v>
      </c>
      <c r="K86" s="100">
        <f t="shared" si="20"/>
        <v>6.4941735906816839E-3</v>
      </c>
      <c r="O86" s="96">
        <f>Amnt_Deposited!B81</f>
        <v>2067</v>
      </c>
      <c r="P86" s="99">
        <f>Amnt_Deposited!D81</f>
        <v>0</v>
      </c>
      <c r="Q86" s="284">
        <f>MCF!R85</f>
        <v>0.8</v>
      </c>
      <c r="R86" s="67">
        <f t="shared" si="19"/>
        <v>0</v>
      </c>
      <c r="S86" s="67">
        <f t="shared" si="21"/>
        <v>0</v>
      </c>
      <c r="T86" s="67">
        <f t="shared" si="22"/>
        <v>0</v>
      </c>
      <c r="U86" s="67">
        <f t="shared" si="23"/>
        <v>0.27757655339521708</v>
      </c>
      <c r="V86" s="67">
        <f t="shared" si="24"/>
        <v>2.0126571045501085E-2</v>
      </c>
      <c r="W86" s="100">
        <f t="shared" si="25"/>
        <v>1.3417714030334055E-2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0.12526436086126308</v>
      </c>
      <c r="J87" s="67">
        <f t="shared" si="18"/>
        <v>9.0826909820220375E-3</v>
      </c>
      <c r="K87" s="100">
        <f t="shared" si="20"/>
        <v>6.055127321348025E-3</v>
      </c>
      <c r="O87" s="96">
        <f>Amnt_Deposited!B82</f>
        <v>2068</v>
      </c>
      <c r="P87" s="99">
        <f>Amnt_Deposited!D82</f>
        <v>0</v>
      </c>
      <c r="Q87" s="284">
        <f>MCF!R86</f>
        <v>0.8</v>
      </c>
      <c r="R87" s="67">
        <f t="shared" si="19"/>
        <v>0</v>
      </c>
      <c r="S87" s="67">
        <f t="shared" si="21"/>
        <v>0</v>
      </c>
      <c r="T87" s="67">
        <f t="shared" si="22"/>
        <v>0</v>
      </c>
      <c r="U87" s="67">
        <f t="shared" si="23"/>
        <v>0.25881066293649385</v>
      </c>
      <c r="V87" s="67">
        <f t="shared" si="24"/>
        <v>1.8765890458723213E-2</v>
      </c>
      <c r="W87" s="100">
        <f t="shared" si="25"/>
        <v>1.2510593639148807E-2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0.11679571592151024</v>
      </c>
      <c r="J88" s="67">
        <f t="shared" si="18"/>
        <v>8.4686449397528354E-3</v>
      </c>
      <c r="K88" s="100">
        <f t="shared" si="20"/>
        <v>5.645763293168557E-3</v>
      </c>
      <c r="O88" s="96">
        <f>Amnt_Deposited!B83</f>
        <v>2069</v>
      </c>
      <c r="P88" s="99">
        <f>Amnt_Deposited!D83</f>
        <v>0</v>
      </c>
      <c r="Q88" s="284">
        <f>MCF!R87</f>
        <v>0.8</v>
      </c>
      <c r="R88" s="67">
        <f t="shared" si="19"/>
        <v>0</v>
      </c>
      <c r="S88" s="67">
        <f t="shared" si="21"/>
        <v>0</v>
      </c>
      <c r="T88" s="67">
        <f t="shared" si="22"/>
        <v>0</v>
      </c>
      <c r="U88" s="67">
        <f t="shared" si="23"/>
        <v>0.24131346264774833</v>
      </c>
      <c r="V88" s="67">
        <f t="shared" si="24"/>
        <v>1.7497200288745521E-2</v>
      </c>
      <c r="W88" s="100">
        <f t="shared" si="25"/>
        <v>1.1664800192497014E-2</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0.10889960371670691</v>
      </c>
      <c r="J89" s="67">
        <f t="shared" si="18"/>
        <v>7.8961122048033256E-3</v>
      </c>
      <c r="K89" s="100">
        <f t="shared" si="20"/>
        <v>5.2640748032022171E-3</v>
      </c>
      <c r="O89" s="96">
        <f>Amnt_Deposited!B84</f>
        <v>2070</v>
      </c>
      <c r="P89" s="99">
        <f>Amnt_Deposited!D84</f>
        <v>0</v>
      </c>
      <c r="Q89" s="284">
        <f>MCF!R88</f>
        <v>0.8</v>
      </c>
      <c r="R89" s="67">
        <f t="shared" si="19"/>
        <v>0</v>
      </c>
      <c r="S89" s="67">
        <f t="shared" si="21"/>
        <v>0</v>
      </c>
      <c r="T89" s="67">
        <f t="shared" si="22"/>
        <v>0</v>
      </c>
      <c r="U89" s="67">
        <f t="shared" si="23"/>
        <v>0.22499918123286544</v>
      </c>
      <c r="V89" s="67">
        <f t="shared" si="24"/>
        <v>1.6314281414882899E-2</v>
      </c>
      <c r="W89" s="100">
        <f t="shared" si="25"/>
        <v>1.0876187609921931E-2</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0.10153731749566436</v>
      </c>
      <c r="J90" s="67">
        <f t="shared" si="18"/>
        <v>7.3622862210425523E-3</v>
      </c>
      <c r="K90" s="100">
        <f t="shared" si="20"/>
        <v>4.9081908140283679E-3</v>
      </c>
      <c r="O90" s="96">
        <f>Amnt_Deposited!B85</f>
        <v>2071</v>
      </c>
      <c r="P90" s="99">
        <f>Amnt_Deposited!D85</f>
        <v>0</v>
      </c>
      <c r="Q90" s="284">
        <f>MCF!R89</f>
        <v>0.8</v>
      </c>
      <c r="R90" s="67">
        <f t="shared" si="19"/>
        <v>0</v>
      </c>
      <c r="S90" s="67">
        <f t="shared" si="21"/>
        <v>0</v>
      </c>
      <c r="T90" s="67">
        <f t="shared" si="22"/>
        <v>0</v>
      </c>
      <c r="U90" s="67">
        <f t="shared" si="23"/>
        <v>0.20978784606542217</v>
      </c>
      <c r="V90" s="67">
        <f t="shared" si="24"/>
        <v>1.5211335167443284E-2</v>
      </c>
      <c r="W90" s="100">
        <f t="shared" si="25"/>
        <v>1.0140890111628855E-2</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9.4672767322785567E-2</v>
      </c>
      <c r="J91" s="67">
        <f t="shared" si="18"/>
        <v>6.8645501728787943E-3</v>
      </c>
      <c r="K91" s="100">
        <f t="shared" si="20"/>
        <v>4.5763667819191962E-3</v>
      </c>
      <c r="O91" s="96">
        <f>Amnt_Deposited!B86</f>
        <v>2072</v>
      </c>
      <c r="P91" s="99">
        <f>Amnt_Deposited!D86</f>
        <v>0</v>
      </c>
      <c r="Q91" s="284">
        <f>MCF!R90</f>
        <v>0.8</v>
      </c>
      <c r="R91" s="67">
        <f t="shared" si="19"/>
        <v>0</v>
      </c>
      <c r="S91" s="67">
        <f t="shared" si="21"/>
        <v>0</v>
      </c>
      <c r="T91" s="67">
        <f t="shared" si="22"/>
        <v>0</v>
      </c>
      <c r="U91" s="67">
        <f t="shared" si="23"/>
        <v>0.19560489116278004</v>
      </c>
      <c r="V91" s="67">
        <f t="shared" si="24"/>
        <v>1.4182954902642132E-2</v>
      </c>
      <c r="W91" s="100">
        <f t="shared" si="25"/>
        <v>9.455303268428087E-3</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8.8272303165159077E-2</v>
      </c>
      <c r="J92" s="67">
        <f t="shared" si="18"/>
        <v>6.4004641576264967E-3</v>
      </c>
      <c r="K92" s="100">
        <f t="shared" si="20"/>
        <v>4.2669761050843306E-3</v>
      </c>
      <c r="O92" s="96">
        <f>Amnt_Deposited!B87</f>
        <v>2073</v>
      </c>
      <c r="P92" s="99">
        <f>Amnt_Deposited!D87</f>
        <v>0</v>
      </c>
      <c r="Q92" s="284">
        <f>MCF!R91</f>
        <v>0.8</v>
      </c>
      <c r="R92" s="67">
        <f t="shared" si="19"/>
        <v>0</v>
      </c>
      <c r="S92" s="67">
        <f t="shared" si="21"/>
        <v>0</v>
      </c>
      <c r="T92" s="67">
        <f t="shared" si="22"/>
        <v>0</v>
      </c>
      <c r="U92" s="67">
        <f t="shared" si="23"/>
        <v>0.18238079166355176</v>
      </c>
      <c r="V92" s="67">
        <f t="shared" si="24"/>
        <v>1.3224099499228295E-2</v>
      </c>
      <c r="W92" s="100">
        <f t="shared" si="25"/>
        <v>8.8160663328188636E-3</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8.2304549940058605E-2</v>
      </c>
      <c r="J93" s="67">
        <f t="shared" si="18"/>
        <v>5.9677532251004766E-3</v>
      </c>
      <c r="K93" s="100">
        <f t="shared" si="20"/>
        <v>3.9785021500669841E-3</v>
      </c>
      <c r="O93" s="96">
        <f>Amnt_Deposited!B88</f>
        <v>2074</v>
      </c>
      <c r="P93" s="99">
        <f>Amnt_Deposited!D88</f>
        <v>0</v>
      </c>
      <c r="Q93" s="284">
        <f>MCF!R92</f>
        <v>0.8</v>
      </c>
      <c r="R93" s="67">
        <f t="shared" si="19"/>
        <v>0</v>
      </c>
      <c r="S93" s="67">
        <f t="shared" si="21"/>
        <v>0</v>
      </c>
      <c r="T93" s="67">
        <f t="shared" si="22"/>
        <v>0</v>
      </c>
      <c r="U93" s="67">
        <f t="shared" si="23"/>
        <v>0.17005072301664995</v>
      </c>
      <c r="V93" s="67">
        <f t="shared" si="24"/>
        <v>1.2330068646901808E-2</v>
      </c>
      <c r="W93" s="100">
        <f t="shared" si="25"/>
        <v>8.220045764601204E-3</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7.6740253714251125E-2</v>
      </c>
      <c r="J94" s="67">
        <f t="shared" si="18"/>
        <v>5.5642962258074767E-3</v>
      </c>
      <c r="K94" s="100">
        <f t="shared" si="20"/>
        <v>3.7095308172049842E-3</v>
      </c>
      <c r="O94" s="96">
        <f>Amnt_Deposited!B89</f>
        <v>2075</v>
      </c>
      <c r="P94" s="99">
        <f>Amnt_Deposited!D89</f>
        <v>0</v>
      </c>
      <c r="Q94" s="284">
        <f>MCF!R93</f>
        <v>0.8</v>
      </c>
      <c r="R94" s="67">
        <f t="shared" si="19"/>
        <v>0</v>
      </c>
      <c r="S94" s="67">
        <f t="shared" si="21"/>
        <v>0</v>
      </c>
      <c r="T94" s="67">
        <f t="shared" si="22"/>
        <v>0</v>
      </c>
      <c r="U94" s="67">
        <f t="shared" si="23"/>
        <v>0.1585542432112626</v>
      </c>
      <c r="V94" s="67">
        <f t="shared" si="24"/>
        <v>1.1496479805387344E-2</v>
      </c>
      <c r="W94" s="100">
        <f t="shared" si="25"/>
        <v>7.6643198702582294E-3</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7.1552138301182247E-2</v>
      </c>
      <c r="J95" s="67">
        <f t="shared" si="18"/>
        <v>5.1881154130688839E-3</v>
      </c>
      <c r="K95" s="100">
        <f t="shared" si="20"/>
        <v>3.4587436087125892E-3</v>
      </c>
      <c r="O95" s="96">
        <f>Amnt_Deposited!B90</f>
        <v>2076</v>
      </c>
      <c r="P95" s="99">
        <f>Amnt_Deposited!D90</f>
        <v>0</v>
      </c>
      <c r="Q95" s="284">
        <f>MCF!R94</f>
        <v>0.8</v>
      </c>
      <c r="R95" s="67">
        <f t="shared" si="19"/>
        <v>0</v>
      </c>
      <c r="S95" s="67">
        <f t="shared" si="21"/>
        <v>0</v>
      </c>
      <c r="T95" s="67">
        <f t="shared" si="22"/>
        <v>0</v>
      </c>
      <c r="U95" s="67">
        <f t="shared" si="23"/>
        <v>0.14783499649004592</v>
      </c>
      <c r="V95" s="67">
        <f t="shared" si="24"/>
        <v>1.0719246721216697E-2</v>
      </c>
      <c r="W95" s="100">
        <f t="shared" si="25"/>
        <v>7.1461644808111313E-3</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6.671477155307802E-2</v>
      </c>
      <c r="J96" s="67">
        <f t="shared" si="18"/>
        <v>4.8373667481042236E-3</v>
      </c>
      <c r="K96" s="100">
        <f t="shared" si="20"/>
        <v>3.2249111654028156E-3</v>
      </c>
      <c r="O96" s="96">
        <f>Amnt_Deposited!B91</f>
        <v>2077</v>
      </c>
      <c r="P96" s="99">
        <f>Amnt_Deposited!D91</f>
        <v>0</v>
      </c>
      <c r="Q96" s="284">
        <f>MCF!R95</f>
        <v>0.8</v>
      </c>
      <c r="R96" s="67">
        <f t="shared" si="19"/>
        <v>0</v>
      </c>
      <c r="S96" s="67">
        <f t="shared" si="21"/>
        <v>0</v>
      </c>
      <c r="T96" s="67">
        <f t="shared" si="22"/>
        <v>0</v>
      </c>
      <c r="U96" s="67">
        <f t="shared" si="23"/>
        <v>0.13784043709313637</v>
      </c>
      <c r="V96" s="67">
        <f t="shared" si="24"/>
        <v>9.9945593969095487E-3</v>
      </c>
      <c r="W96" s="100">
        <f t="shared" si="25"/>
        <v>6.6630395979396986E-3</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6.2204440692527112E-2</v>
      </c>
      <c r="J97" s="67">
        <f t="shared" si="18"/>
        <v>4.5103308605509117E-3</v>
      </c>
      <c r="K97" s="100">
        <f t="shared" si="20"/>
        <v>3.0068872403672744E-3</v>
      </c>
      <c r="O97" s="96">
        <f>Amnt_Deposited!B92</f>
        <v>2078</v>
      </c>
      <c r="P97" s="99">
        <f>Amnt_Deposited!D92</f>
        <v>0</v>
      </c>
      <c r="Q97" s="284">
        <f>MCF!R96</f>
        <v>0.8</v>
      </c>
      <c r="R97" s="67">
        <f t="shared" si="19"/>
        <v>0</v>
      </c>
      <c r="S97" s="67">
        <f t="shared" si="21"/>
        <v>0</v>
      </c>
      <c r="T97" s="67">
        <f t="shared" si="22"/>
        <v>0</v>
      </c>
      <c r="U97" s="67">
        <f t="shared" si="23"/>
        <v>0.12852157167877498</v>
      </c>
      <c r="V97" s="67">
        <f t="shared" si="24"/>
        <v>9.3188654143613846E-3</v>
      </c>
      <c r="W97" s="100">
        <f t="shared" si="25"/>
        <v>6.2125769429075897E-3</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5.7999036072418367E-2</v>
      </c>
      <c r="J98" s="67">
        <f t="shared" si="18"/>
        <v>4.2054046201087476E-3</v>
      </c>
      <c r="K98" s="100">
        <f t="shared" si="20"/>
        <v>2.8036030800724981E-3</v>
      </c>
      <c r="O98" s="96">
        <f>Amnt_Deposited!B93</f>
        <v>2079</v>
      </c>
      <c r="P98" s="99">
        <f>Amnt_Deposited!D93</f>
        <v>0</v>
      </c>
      <c r="Q98" s="284">
        <f>MCF!R97</f>
        <v>0.8</v>
      </c>
      <c r="R98" s="67">
        <f t="shared" si="19"/>
        <v>0</v>
      </c>
      <c r="S98" s="67">
        <f t="shared" si="21"/>
        <v>0</v>
      </c>
      <c r="T98" s="67">
        <f t="shared" si="22"/>
        <v>0</v>
      </c>
      <c r="U98" s="67">
        <f t="shared" si="23"/>
        <v>0.11983271915788914</v>
      </c>
      <c r="V98" s="67">
        <f t="shared" si="24"/>
        <v>8.6888525208858401E-3</v>
      </c>
      <c r="W98" s="100">
        <f t="shared" si="25"/>
        <v>5.7925683472572261E-3</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5.407794279442505E-2</v>
      </c>
      <c r="J99" s="68">
        <f t="shared" si="18"/>
        <v>3.921093277993319E-3</v>
      </c>
      <c r="K99" s="102">
        <f t="shared" si="20"/>
        <v>2.6140621853288793E-3</v>
      </c>
      <c r="O99" s="97">
        <f>Amnt_Deposited!B94</f>
        <v>2080</v>
      </c>
      <c r="P99" s="101">
        <f>Amnt_Deposited!D94</f>
        <v>0</v>
      </c>
      <c r="Q99" s="285">
        <f>MCF!R98</f>
        <v>0.8</v>
      </c>
      <c r="R99" s="68">
        <f t="shared" si="19"/>
        <v>0</v>
      </c>
      <c r="S99" s="68">
        <f>R99*$W$12</f>
        <v>0</v>
      </c>
      <c r="T99" s="68">
        <f>R99*(1-$W$12)</f>
        <v>0</v>
      </c>
      <c r="U99" s="68">
        <f>S99+U98*$W$10</f>
        <v>0.11173128676534096</v>
      </c>
      <c r="V99" s="68">
        <f>U98*(1-$W$10)+T99</f>
        <v>8.1014323925481749E-3</v>
      </c>
      <c r="W99" s="102">
        <f t="shared" si="25"/>
        <v>5.40095492836545E-3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0.93403494280800003</v>
      </c>
      <c r="D19" s="416">
        <f>Dry_Matter_Content!E6</f>
        <v>0.44</v>
      </c>
      <c r="E19" s="283">
        <f>MCF!R18</f>
        <v>0.8</v>
      </c>
      <c r="F19" s="130">
        <f t="shared" ref="F19:F82" si="0">C19*D19*$K$6*DOCF*E19</f>
        <v>9.8634089960524807E-2</v>
      </c>
      <c r="G19" s="65">
        <f t="shared" ref="G19:G82" si="1">F19*$K$12</f>
        <v>9.8634089960524807E-2</v>
      </c>
      <c r="H19" s="65">
        <f t="shared" ref="H19:H82" si="2">F19*(1-$K$12)</f>
        <v>0</v>
      </c>
      <c r="I19" s="65">
        <f t="shared" ref="I19:I82" si="3">G19+I18*$K$10</f>
        <v>9.8634089960524807E-2</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0.98585067002399995</v>
      </c>
      <c r="D20" s="418">
        <f>Dry_Matter_Content!E7</f>
        <v>0.44</v>
      </c>
      <c r="E20" s="284">
        <f>MCF!R19</f>
        <v>0.8</v>
      </c>
      <c r="F20" s="67">
        <f t="shared" si="0"/>
        <v>0.10410583075453439</v>
      </c>
      <c r="G20" s="67">
        <f t="shared" si="1"/>
        <v>0.10410583075453439</v>
      </c>
      <c r="H20" s="67">
        <f t="shared" si="2"/>
        <v>0</v>
      </c>
      <c r="I20" s="67">
        <f t="shared" si="3"/>
        <v>0.18731994217123177</v>
      </c>
      <c r="J20" s="67">
        <f t="shared" si="4"/>
        <v>1.5419978543827434E-2</v>
      </c>
      <c r="K20" s="100">
        <f>J20*CH4_fraction*conv</f>
        <v>1.0279985695884956E-2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1.0416265310880002</v>
      </c>
      <c r="D21" s="418">
        <f>Dry_Matter_Content!E8</f>
        <v>0.44</v>
      </c>
      <c r="E21" s="284">
        <f>MCF!R20</f>
        <v>0.8</v>
      </c>
      <c r="F21" s="67">
        <f t="shared" si="0"/>
        <v>0.10999576168289281</v>
      </c>
      <c r="G21" s="67">
        <f t="shared" si="1"/>
        <v>0.10999576168289281</v>
      </c>
      <c r="H21" s="67">
        <f t="shared" si="2"/>
        <v>0</v>
      </c>
      <c r="I21" s="67">
        <f t="shared" si="3"/>
        <v>0.26803100633963028</v>
      </c>
      <c r="J21" s="67">
        <f t="shared" si="4"/>
        <v>2.9284697514494317E-2</v>
      </c>
      <c r="K21" s="100">
        <f t="shared" ref="K21:K84" si="6">J21*CH4_fraction*conv</f>
        <v>1.9523131676329544E-2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1.060695609336</v>
      </c>
      <c r="D22" s="418">
        <f>Dry_Matter_Content!E9</f>
        <v>0.44</v>
      </c>
      <c r="E22" s="284">
        <f>MCF!R21</f>
        <v>0.8</v>
      </c>
      <c r="F22" s="67">
        <f t="shared" si="0"/>
        <v>0.11200945634588161</v>
      </c>
      <c r="G22" s="67">
        <f t="shared" si="1"/>
        <v>0.11200945634588161</v>
      </c>
      <c r="H22" s="67">
        <f t="shared" si="2"/>
        <v>0</v>
      </c>
      <c r="I22" s="67">
        <f t="shared" si="3"/>
        <v>0.33813778615154999</v>
      </c>
      <c r="J22" s="67">
        <f t="shared" si="4"/>
        <v>4.1902676533961944E-2</v>
      </c>
      <c r="K22" s="100">
        <f t="shared" si="6"/>
        <v>2.793511768930796E-2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1.1191036075559999</v>
      </c>
      <c r="D23" s="418">
        <f>Dry_Matter_Content!E10</f>
        <v>0.44</v>
      </c>
      <c r="E23" s="284">
        <f>MCF!R22</f>
        <v>0.8</v>
      </c>
      <c r="F23" s="67">
        <f t="shared" si="0"/>
        <v>0.1181773409579136</v>
      </c>
      <c r="G23" s="67">
        <f t="shared" si="1"/>
        <v>0.1181773409579136</v>
      </c>
      <c r="H23" s="67">
        <f t="shared" si="2"/>
        <v>0</v>
      </c>
      <c r="I23" s="67">
        <f t="shared" si="3"/>
        <v>0.40345229429576823</v>
      </c>
      <c r="J23" s="67">
        <f t="shared" si="4"/>
        <v>5.2862832813695353E-2</v>
      </c>
      <c r="K23" s="100">
        <f t="shared" si="6"/>
        <v>3.5241888542463566E-2</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1.199586568752</v>
      </c>
      <c r="D24" s="418">
        <f>Dry_Matter_Content!E11</f>
        <v>0.44</v>
      </c>
      <c r="E24" s="284">
        <f>MCF!R23</f>
        <v>0.8</v>
      </c>
      <c r="F24" s="67">
        <f t="shared" si="0"/>
        <v>0.12667634166021122</v>
      </c>
      <c r="G24" s="67">
        <f t="shared" si="1"/>
        <v>0.12667634166021122</v>
      </c>
      <c r="H24" s="67">
        <f t="shared" si="2"/>
        <v>0</v>
      </c>
      <c r="I24" s="67">
        <f t="shared" si="3"/>
        <v>0.4670548475326407</v>
      </c>
      <c r="J24" s="67">
        <f t="shared" si="4"/>
        <v>6.3073788423338703E-2</v>
      </c>
      <c r="K24" s="100">
        <f t="shared" si="6"/>
        <v>4.2049192282225797E-2</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1.2484043633159998</v>
      </c>
      <c r="D25" s="418">
        <f>Dry_Matter_Content!E12</f>
        <v>0.44</v>
      </c>
      <c r="E25" s="284">
        <f>MCF!R24</f>
        <v>0.8</v>
      </c>
      <c r="F25" s="67">
        <f t="shared" si="0"/>
        <v>0.13183150076616956</v>
      </c>
      <c r="G25" s="67">
        <f t="shared" si="1"/>
        <v>0.13183150076616956</v>
      </c>
      <c r="H25" s="67">
        <f t="shared" si="2"/>
        <v>0</v>
      </c>
      <c r="I25" s="67">
        <f t="shared" si="3"/>
        <v>0.52586924305024685</v>
      </c>
      <c r="J25" s="67">
        <f t="shared" si="4"/>
        <v>7.3017105248563433E-2</v>
      </c>
      <c r="K25" s="100">
        <f t="shared" si="6"/>
        <v>4.867807016570895E-2</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1.2986455794840002</v>
      </c>
      <c r="D26" s="418">
        <f>Dry_Matter_Content!E13</f>
        <v>0.44</v>
      </c>
      <c r="E26" s="284">
        <f>MCF!R25</f>
        <v>0.8</v>
      </c>
      <c r="F26" s="67">
        <f t="shared" si="0"/>
        <v>0.13713697319351043</v>
      </c>
      <c r="G26" s="67">
        <f t="shared" si="1"/>
        <v>0.13713697319351043</v>
      </c>
      <c r="H26" s="67">
        <f t="shared" si="2"/>
        <v>0</v>
      </c>
      <c r="I26" s="67">
        <f t="shared" si="3"/>
        <v>0.58079435168517612</v>
      </c>
      <c r="J26" s="67">
        <f t="shared" si="4"/>
        <v>8.2211864558581219E-2</v>
      </c>
      <c r="K26" s="100">
        <f t="shared" si="6"/>
        <v>5.480790970572081E-2</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1.3502068402680001</v>
      </c>
      <c r="D27" s="418">
        <f>Dry_Matter_Content!E14</f>
        <v>0.44</v>
      </c>
      <c r="E27" s="284">
        <f>MCF!R26</f>
        <v>0.8</v>
      </c>
      <c r="F27" s="67">
        <f t="shared" si="0"/>
        <v>0.14258184233230081</v>
      </c>
      <c r="G27" s="67">
        <f t="shared" si="1"/>
        <v>0.14258184233230081</v>
      </c>
      <c r="H27" s="67">
        <f t="shared" si="2"/>
        <v>0</v>
      </c>
      <c r="I27" s="67">
        <f t="shared" si="3"/>
        <v>0.63257760252699047</v>
      </c>
      <c r="J27" s="67">
        <f t="shared" si="4"/>
        <v>9.0798591490486427E-2</v>
      </c>
      <c r="K27" s="100">
        <f t="shared" si="6"/>
        <v>6.0532394326990951E-2</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1.4029211520720002</v>
      </c>
      <c r="D28" s="418">
        <f>Dry_Matter_Content!E15</f>
        <v>0.44</v>
      </c>
      <c r="E28" s="284">
        <f>MCF!R27</f>
        <v>0.8</v>
      </c>
      <c r="F28" s="67">
        <f t="shared" si="0"/>
        <v>0.14814847365880321</v>
      </c>
      <c r="G28" s="67">
        <f t="shared" si="1"/>
        <v>0.14814847365880321</v>
      </c>
      <c r="H28" s="67">
        <f t="shared" si="2"/>
        <v>0</v>
      </c>
      <c r="I28" s="67">
        <f t="shared" si="3"/>
        <v>0.6818319406777168</v>
      </c>
      <c r="J28" s="67">
        <f t="shared" si="4"/>
        <v>9.889413550807695E-2</v>
      </c>
      <c r="K28" s="100">
        <f t="shared" si="6"/>
        <v>6.5929423672051291E-2</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1.424049818004</v>
      </c>
      <c r="D29" s="418">
        <f>Dry_Matter_Content!E16</f>
        <v>0.44</v>
      </c>
      <c r="E29" s="284">
        <f>MCF!R28</f>
        <v>0.8</v>
      </c>
      <c r="F29" s="67">
        <f t="shared" si="0"/>
        <v>0.15037966078122242</v>
      </c>
      <c r="G29" s="67">
        <f t="shared" si="1"/>
        <v>0.15037966078122242</v>
      </c>
      <c r="H29" s="67">
        <f t="shared" si="2"/>
        <v>0</v>
      </c>
      <c r="I29" s="67">
        <f t="shared" si="3"/>
        <v>0.7256172799626448</v>
      </c>
      <c r="J29" s="67">
        <f t="shared" si="4"/>
        <v>0.10659432149629448</v>
      </c>
      <c r="K29" s="100">
        <f t="shared" si="6"/>
        <v>7.1062880997529651E-2</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1.3445225517600001</v>
      </c>
      <c r="D30" s="418">
        <f>Dry_Matter_Content!E17</f>
        <v>0.44</v>
      </c>
      <c r="E30" s="284">
        <f>MCF!R29</f>
        <v>0.8</v>
      </c>
      <c r="F30" s="67">
        <f t="shared" si="0"/>
        <v>0.14198158146585602</v>
      </c>
      <c r="G30" s="67">
        <f t="shared" si="1"/>
        <v>0.14198158146585602</v>
      </c>
      <c r="H30" s="67">
        <f t="shared" si="2"/>
        <v>0</v>
      </c>
      <c r="I30" s="67">
        <f t="shared" si="3"/>
        <v>0.75415935088470754</v>
      </c>
      <c r="J30" s="67">
        <f t="shared" si="4"/>
        <v>0.11343951054379327</v>
      </c>
      <c r="K30" s="100">
        <f t="shared" si="6"/>
        <v>7.5626340362528841E-2</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1.38493355616</v>
      </c>
      <c r="D31" s="418">
        <f>Dry_Matter_Content!E18</f>
        <v>0.44</v>
      </c>
      <c r="E31" s="284">
        <f>MCF!R30</f>
        <v>0.8</v>
      </c>
      <c r="F31" s="67">
        <f t="shared" si="0"/>
        <v>0.14624898353049598</v>
      </c>
      <c r="G31" s="67">
        <f t="shared" si="1"/>
        <v>0.14624898353049598</v>
      </c>
      <c r="H31" s="67">
        <f t="shared" si="2"/>
        <v>0</v>
      </c>
      <c r="I31" s="67">
        <f t="shared" si="3"/>
        <v>0.78250669397909056</v>
      </c>
      <c r="J31" s="67">
        <f t="shared" si="4"/>
        <v>0.11790164043611297</v>
      </c>
      <c r="K31" s="100">
        <f t="shared" si="6"/>
        <v>7.8601093624075302E-2</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1.4269494340800002</v>
      </c>
      <c r="D32" s="418">
        <f>Dry_Matter_Content!E19</f>
        <v>0.44</v>
      </c>
      <c r="E32" s="284">
        <f>MCF!R31</f>
        <v>0.8</v>
      </c>
      <c r="F32" s="67">
        <f t="shared" si="0"/>
        <v>0.15068586023884803</v>
      </c>
      <c r="G32" s="67">
        <f t="shared" si="1"/>
        <v>0.15068586023884803</v>
      </c>
      <c r="H32" s="67">
        <f t="shared" si="2"/>
        <v>0</v>
      </c>
      <c r="I32" s="67">
        <f t="shared" si="3"/>
        <v>0.81085922670015997</v>
      </c>
      <c r="J32" s="67">
        <f t="shared" si="4"/>
        <v>0.12233332751777858</v>
      </c>
      <c r="K32" s="100">
        <f t="shared" si="6"/>
        <v>8.155555167851905E-2</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1.46913158268</v>
      </c>
      <c r="D33" s="418">
        <f>Dry_Matter_Content!E20</f>
        <v>0.44</v>
      </c>
      <c r="E33" s="284">
        <f>MCF!R32</f>
        <v>0.8</v>
      </c>
      <c r="F33" s="67">
        <f t="shared" si="0"/>
        <v>0.15514029513100802</v>
      </c>
      <c r="G33" s="67">
        <f t="shared" si="1"/>
        <v>0.15514029513100802</v>
      </c>
      <c r="H33" s="67">
        <f t="shared" si="2"/>
        <v>0</v>
      </c>
      <c r="I33" s="67">
        <f t="shared" si="3"/>
        <v>0.83923369591048402</v>
      </c>
      <c r="J33" s="67">
        <f t="shared" si="4"/>
        <v>0.126765825920684</v>
      </c>
      <c r="K33" s="100">
        <f t="shared" si="6"/>
        <v>8.4510550613789329E-2</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1.5101209198800001</v>
      </c>
      <c r="D34" s="418">
        <f>Dry_Matter_Content!E21</f>
        <v>0.44</v>
      </c>
      <c r="E34" s="284">
        <f>MCF!R33</f>
        <v>0.8</v>
      </c>
      <c r="F34" s="67">
        <f t="shared" si="0"/>
        <v>0.15946876913932803</v>
      </c>
      <c r="G34" s="67">
        <f t="shared" si="1"/>
        <v>0.15946876913932803</v>
      </c>
      <c r="H34" s="67">
        <f t="shared" si="2"/>
        <v>0</v>
      </c>
      <c r="I34" s="67">
        <f t="shared" si="3"/>
        <v>0.8675007112811518</v>
      </c>
      <c r="J34" s="67">
        <f t="shared" si="4"/>
        <v>0.13120175376866028</v>
      </c>
      <c r="K34" s="100">
        <f t="shared" si="6"/>
        <v>8.7467835845773514E-2</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1.5530259844800005</v>
      </c>
      <c r="D35" s="418">
        <f>Dry_Matter_Content!E22</f>
        <v>0.44</v>
      </c>
      <c r="E35" s="284">
        <f>MCF!R34</f>
        <v>0.8</v>
      </c>
      <c r="F35" s="67">
        <f t="shared" si="0"/>
        <v>0.16399954396108807</v>
      </c>
      <c r="G35" s="67">
        <f t="shared" si="1"/>
        <v>0.16399954396108807</v>
      </c>
      <c r="H35" s="67">
        <f t="shared" si="2"/>
        <v>0</v>
      </c>
      <c r="I35" s="67">
        <f t="shared" si="3"/>
        <v>0.89587937244133342</v>
      </c>
      <c r="J35" s="67">
        <f t="shared" si="4"/>
        <v>0.13562088280090645</v>
      </c>
      <c r="K35" s="100">
        <f t="shared" si="6"/>
        <v>9.0413921867270958E-2</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1.6070364846720004</v>
      </c>
      <c r="D36" s="418">
        <f>Dry_Matter_Content!E23</f>
        <v>0.44</v>
      </c>
      <c r="E36" s="284">
        <f>MCF!R35</f>
        <v>0.8</v>
      </c>
      <c r="F36" s="67">
        <f t="shared" si="0"/>
        <v>0.16970305278136325</v>
      </c>
      <c r="G36" s="67">
        <f t="shared" si="1"/>
        <v>0.16970305278136325</v>
      </c>
      <c r="H36" s="67">
        <f t="shared" si="2"/>
        <v>0</v>
      </c>
      <c r="I36" s="67">
        <f t="shared" si="3"/>
        <v>0.92552495922456413</v>
      </c>
      <c r="J36" s="67">
        <f t="shared" si="4"/>
        <v>0.14005746599813254</v>
      </c>
      <c r="K36" s="100">
        <f t="shared" si="6"/>
        <v>9.3371643998755027E-2</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1.651162554396</v>
      </c>
      <c r="D37" s="418">
        <f>Dry_Matter_Content!E24</f>
        <v>0.44</v>
      </c>
      <c r="E37" s="284">
        <f>MCF!R36</f>
        <v>0.8</v>
      </c>
      <c r="F37" s="67">
        <f t="shared" si="0"/>
        <v>0.17436276574421761</v>
      </c>
      <c r="G37" s="67">
        <f t="shared" si="1"/>
        <v>0.17436276574421761</v>
      </c>
      <c r="H37" s="67">
        <f t="shared" si="2"/>
        <v>0</v>
      </c>
      <c r="I37" s="67">
        <f t="shared" si="3"/>
        <v>0.955195610723785</v>
      </c>
      <c r="J37" s="67">
        <f t="shared" si="4"/>
        <v>0.14469211424499673</v>
      </c>
      <c r="K37" s="100">
        <f t="shared" si="6"/>
        <v>9.6461409496664485E-2</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1.6952886241200003</v>
      </c>
      <c r="D38" s="418">
        <f>Dry_Matter_Content!E25</f>
        <v>0.44</v>
      </c>
      <c r="E38" s="284">
        <f>MCF!R37</f>
        <v>0.8</v>
      </c>
      <c r="F38" s="67">
        <f t="shared" si="0"/>
        <v>0.17902247870707202</v>
      </c>
      <c r="G38" s="67">
        <f t="shared" si="1"/>
        <v>0.17902247870707202</v>
      </c>
      <c r="H38" s="67">
        <f t="shared" si="2"/>
        <v>0</v>
      </c>
      <c r="I38" s="67">
        <f t="shared" si="3"/>
        <v>0.98488740844202483</v>
      </c>
      <c r="J38" s="67">
        <f t="shared" si="4"/>
        <v>0.1493306809888322</v>
      </c>
      <c r="K38" s="100">
        <f t="shared" si="6"/>
        <v>9.9553787325888127E-2</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1.739414693844</v>
      </c>
      <c r="D39" s="418">
        <f>Dry_Matter_Content!E26</f>
        <v>0.44</v>
      </c>
      <c r="E39" s="284">
        <f>MCF!R38</f>
        <v>0.8</v>
      </c>
      <c r="F39" s="67">
        <f t="shared" si="0"/>
        <v>0.18368219166992641</v>
      </c>
      <c r="G39" s="67">
        <f t="shared" si="1"/>
        <v>0.18368219166992641</v>
      </c>
      <c r="H39" s="67">
        <f t="shared" si="2"/>
        <v>0</v>
      </c>
      <c r="I39" s="67">
        <f t="shared" si="3"/>
        <v>1.014597046481255</v>
      </c>
      <c r="J39" s="67">
        <f t="shared" si="4"/>
        <v>0.15397255363069631</v>
      </c>
      <c r="K39" s="100">
        <f t="shared" si="6"/>
        <v>0.10264836908713088</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1.7835407635680001</v>
      </c>
      <c r="D40" s="418">
        <f>Dry_Matter_Content!E27</f>
        <v>0.44</v>
      </c>
      <c r="E40" s="284">
        <f>MCF!R39</f>
        <v>0.8</v>
      </c>
      <c r="F40" s="67">
        <f t="shared" si="0"/>
        <v>0.1883419046327808</v>
      </c>
      <c r="G40" s="67">
        <f t="shared" si="1"/>
        <v>0.1883419046327808</v>
      </c>
      <c r="H40" s="67">
        <f t="shared" si="2"/>
        <v>0</v>
      </c>
      <c r="I40" s="67">
        <f t="shared" si="3"/>
        <v>1.0443217357716215</v>
      </c>
      <c r="J40" s="67">
        <f t="shared" si="4"/>
        <v>0.15861721534241441</v>
      </c>
      <c r="K40" s="100">
        <f t="shared" si="6"/>
        <v>0.10574481022827627</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1.8276668332919999</v>
      </c>
      <c r="D41" s="418">
        <f>Dry_Matter_Content!E28</f>
        <v>0.44</v>
      </c>
      <c r="E41" s="284">
        <f>MCF!R40</f>
        <v>0.8</v>
      </c>
      <c r="F41" s="67">
        <f t="shared" si="0"/>
        <v>0.19300161759563517</v>
      </c>
      <c r="G41" s="67">
        <f t="shared" si="1"/>
        <v>0.19300161759563517</v>
      </c>
      <c r="H41" s="67">
        <f t="shared" si="2"/>
        <v>0</v>
      </c>
      <c r="I41" s="67">
        <f t="shared" si="3"/>
        <v>1.0740591232730172</v>
      </c>
      <c r="J41" s="67">
        <f t="shared" si="4"/>
        <v>0.16326423009423935</v>
      </c>
      <c r="K41" s="100">
        <f t="shared" si="6"/>
        <v>0.10884282006282622</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1.8717929030159999</v>
      </c>
      <c r="D42" s="418">
        <f>Dry_Matter_Content!E29</f>
        <v>0.44</v>
      </c>
      <c r="E42" s="284">
        <f>MCF!R41</f>
        <v>0.8</v>
      </c>
      <c r="F42" s="67">
        <f t="shared" si="0"/>
        <v>0.19766133055848961</v>
      </c>
      <c r="G42" s="67">
        <f t="shared" si="1"/>
        <v>0.19766133055848961</v>
      </c>
      <c r="H42" s="67">
        <f t="shared" si="2"/>
        <v>0</v>
      </c>
      <c r="I42" s="67">
        <f t="shared" si="3"/>
        <v>1.1038072238082923</v>
      </c>
      <c r="J42" s="67">
        <f t="shared" si="4"/>
        <v>0.16791323002321448</v>
      </c>
      <c r="K42" s="100">
        <f t="shared" si="6"/>
        <v>0.11194215334880965</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1.9159189727400003</v>
      </c>
      <c r="D43" s="418">
        <f>Dry_Matter_Content!E30</f>
        <v>0.44</v>
      </c>
      <c r="E43" s="284">
        <f>MCF!R42</f>
        <v>0.8</v>
      </c>
      <c r="F43" s="67">
        <f t="shared" si="0"/>
        <v>0.20232104352134406</v>
      </c>
      <c r="G43" s="67">
        <f t="shared" si="1"/>
        <v>0.20232104352134406</v>
      </c>
      <c r="H43" s="67">
        <f t="shared" si="2"/>
        <v>0</v>
      </c>
      <c r="I43" s="67">
        <f t="shared" si="3"/>
        <v>1.1335643625533305</v>
      </c>
      <c r="J43" s="67">
        <f t="shared" si="4"/>
        <v>0.17256390477630593</v>
      </c>
      <c r="K43" s="100">
        <f t="shared" si="6"/>
        <v>0.11504260318420395</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1.9600450424640006</v>
      </c>
      <c r="D44" s="418">
        <f>Dry_Matter_Content!E31</f>
        <v>0.44</v>
      </c>
      <c r="E44" s="284">
        <f>MCF!R43</f>
        <v>0.8</v>
      </c>
      <c r="F44" s="67">
        <f t="shared" si="0"/>
        <v>0.20698075648419847</v>
      </c>
      <c r="G44" s="67">
        <f t="shared" si="1"/>
        <v>0.20698075648419847</v>
      </c>
      <c r="H44" s="67">
        <f t="shared" si="2"/>
        <v>0</v>
      </c>
      <c r="I44" s="67">
        <f t="shared" si="3"/>
        <v>1.1633291265179506</v>
      </c>
      <c r="J44" s="67">
        <f t="shared" si="4"/>
        <v>0.17721599251957831</v>
      </c>
      <c r="K44" s="100">
        <f t="shared" si="6"/>
        <v>0.1181439950130522</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2.0041711121880001</v>
      </c>
      <c r="D45" s="418">
        <f>Dry_Matter_Content!E32</f>
        <v>0.44</v>
      </c>
      <c r="E45" s="284">
        <f>MCF!R44</f>
        <v>0.8</v>
      </c>
      <c r="F45" s="67">
        <f t="shared" si="0"/>
        <v>0.21164046944705281</v>
      </c>
      <c r="G45" s="67">
        <f t="shared" si="1"/>
        <v>0.21164046944705281</v>
      </c>
      <c r="H45" s="67">
        <f t="shared" si="2"/>
        <v>0</v>
      </c>
      <c r="I45" s="67">
        <f t="shared" si="3"/>
        <v>1.1931003236120508</v>
      </c>
      <c r="J45" s="67">
        <f t="shared" si="4"/>
        <v>0.18186927235295255</v>
      </c>
      <c r="K45" s="100">
        <f t="shared" si="6"/>
        <v>0.12124618156863504</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2.0482971819119995</v>
      </c>
      <c r="D46" s="418">
        <f>Dry_Matter_Content!E33</f>
        <v>0.44</v>
      </c>
      <c r="E46" s="284">
        <f>MCF!R45</f>
        <v>0.8</v>
      </c>
      <c r="F46" s="67">
        <f t="shared" si="0"/>
        <v>0.21630018240990717</v>
      </c>
      <c r="G46" s="67">
        <f t="shared" si="1"/>
        <v>0.21630018240990717</v>
      </c>
      <c r="H46" s="67">
        <f t="shared" si="2"/>
        <v>0</v>
      </c>
      <c r="I46" s="67">
        <f t="shared" si="3"/>
        <v>1.2228769481111539</v>
      </c>
      <c r="J46" s="67">
        <f t="shared" si="4"/>
        <v>0.18652355791080391</v>
      </c>
      <c r="K46" s="100">
        <f t="shared" si="6"/>
        <v>0.1243490386072026</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2.0924232516360002</v>
      </c>
      <c r="D47" s="418">
        <f>Dry_Matter_Content!E34</f>
        <v>0.44</v>
      </c>
      <c r="E47" s="284">
        <f>MCF!R46</f>
        <v>0.8</v>
      </c>
      <c r="F47" s="67">
        <f t="shared" si="0"/>
        <v>0.22095989537276162</v>
      </c>
      <c r="G47" s="67">
        <f t="shared" si="1"/>
        <v>0.22095989537276162</v>
      </c>
      <c r="H47" s="67">
        <f t="shared" si="2"/>
        <v>0</v>
      </c>
      <c r="I47" s="67">
        <f t="shared" si="3"/>
        <v>1.2526581515209037</v>
      </c>
      <c r="J47" s="67">
        <f t="shared" si="4"/>
        <v>0.19117869196301182</v>
      </c>
      <c r="K47" s="100">
        <f t="shared" si="6"/>
        <v>0.12745246130867455</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2.13654932136</v>
      </c>
      <c r="D48" s="418">
        <f>Dry_Matter_Content!E35</f>
        <v>0.44</v>
      </c>
      <c r="E48" s="284">
        <f>MCF!R47</f>
        <v>0.8</v>
      </c>
      <c r="F48" s="67">
        <f t="shared" si="0"/>
        <v>0.22561960833561601</v>
      </c>
      <c r="G48" s="67">
        <f t="shared" si="1"/>
        <v>0.22561960833561601</v>
      </c>
      <c r="H48" s="67">
        <f t="shared" si="2"/>
        <v>0</v>
      </c>
      <c r="I48" s="67">
        <f t="shared" si="3"/>
        <v>1.2824432179964642</v>
      </c>
      <c r="J48" s="67">
        <f t="shared" si="4"/>
        <v>0.19583454186005544</v>
      </c>
      <c r="K48" s="100">
        <f t="shared" si="6"/>
        <v>0.13055636124003694</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2.1806753910840007</v>
      </c>
      <c r="D49" s="418">
        <f>Dry_Matter_Content!E36</f>
        <v>0.44</v>
      </c>
      <c r="E49" s="284">
        <f>MCF!R48</f>
        <v>0.8</v>
      </c>
      <c r="F49" s="67">
        <f t="shared" si="0"/>
        <v>0.23027932129847045</v>
      </c>
      <c r="G49" s="67">
        <f t="shared" si="1"/>
        <v>0.23027932129847045</v>
      </c>
      <c r="H49" s="67">
        <f t="shared" si="2"/>
        <v>0</v>
      </c>
      <c r="I49" s="67">
        <f t="shared" si="3"/>
        <v>1.3122315436047336</v>
      </c>
      <c r="J49" s="67">
        <f t="shared" si="4"/>
        <v>0.2004909956902011</v>
      </c>
      <c r="K49" s="100">
        <f t="shared" si="6"/>
        <v>0.13366066379346739</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1.1070835845672771</v>
      </c>
      <c r="J50" s="67">
        <f t="shared" si="4"/>
        <v>0.20514795903745653</v>
      </c>
      <c r="K50" s="100">
        <f t="shared" si="6"/>
        <v>0.136765306024971</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0.93400746933081891</v>
      </c>
      <c r="J51" s="67">
        <f t="shared" si="4"/>
        <v>0.17307611523645822</v>
      </c>
      <c r="K51" s="100">
        <f t="shared" si="6"/>
        <v>0.11538407682430547</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0.78798924031263784</v>
      </c>
      <c r="J52" s="67">
        <f t="shared" si="4"/>
        <v>0.14601822901818109</v>
      </c>
      <c r="K52" s="100">
        <f t="shared" si="6"/>
        <v>9.734548601212073E-2</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0.66479879790828533</v>
      </c>
      <c r="J53" s="67">
        <f t="shared" si="4"/>
        <v>0.12319044240435251</v>
      </c>
      <c r="K53" s="100">
        <f t="shared" si="6"/>
        <v>8.2126961602901671E-2</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0.56086735591078984</v>
      </c>
      <c r="J54" s="67">
        <f t="shared" si="4"/>
        <v>0.10393144199749543</v>
      </c>
      <c r="K54" s="100">
        <f t="shared" si="6"/>
        <v>6.9287627998330284E-2</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0.47318405495937516</v>
      </c>
      <c r="J55" s="67">
        <f t="shared" si="4"/>
        <v>8.7683300951414661E-2</v>
      </c>
      <c r="K55" s="100">
        <f t="shared" si="6"/>
        <v>5.8455533967609774E-2</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0.3992087389436344</v>
      </c>
      <c r="J56" s="67">
        <f t="shared" si="4"/>
        <v>7.3975316015740769E-2</v>
      </c>
      <c r="K56" s="100">
        <f t="shared" si="6"/>
        <v>4.9316877343827177E-2</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0.33679836752455494</v>
      </c>
      <c r="J57" s="67">
        <f t="shared" si="4"/>
        <v>6.2410371419079465E-2</v>
      </c>
      <c r="K57" s="100">
        <f t="shared" si="6"/>
        <v>4.1606914279386308E-2</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0.2841449329675651</v>
      </c>
      <c r="J58" s="67">
        <f t="shared" si="4"/>
        <v>5.2653434556989863E-2</v>
      </c>
      <c r="K58" s="100">
        <f t="shared" si="6"/>
        <v>3.5102289704659909E-2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0.23972308275887255</v>
      </c>
      <c r="J59" s="67">
        <f t="shared" si="4"/>
        <v>4.4421850208692548E-2</v>
      </c>
      <c r="K59" s="100">
        <f t="shared" si="6"/>
        <v>2.961456680579503E-2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0.20224593064968394</v>
      </c>
      <c r="J60" s="67">
        <f t="shared" si="4"/>
        <v>3.747715210918863E-2</v>
      </c>
      <c r="K60" s="100">
        <f t="shared" si="6"/>
        <v>2.4984768072792419E-2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0.17062777598893053</v>
      </c>
      <c r="J61" s="67">
        <f t="shared" si="4"/>
        <v>3.1618154660753399E-2</v>
      </c>
      <c r="K61" s="100">
        <f t="shared" si="6"/>
        <v>2.1078769773835597E-2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0.14395265133594992</v>
      </c>
      <c r="J62" s="67">
        <f t="shared" si="4"/>
        <v>2.6675124652980612E-2</v>
      </c>
      <c r="K62" s="100">
        <f t="shared" si="6"/>
        <v>1.7783416435320408E-2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0.12144778718790736</v>
      </c>
      <c r="J63" s="67">
        <f t="shared" si="4"/>
        <v>2.250486414804256E-2</v>
      </c>
      <c r="K63" s="100">
        <f t="shared" si="6"/>
        <v>1.5003242765361706E-2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0.1024612251039225</v>
      </c>
      <c r="J64" s="67">
        <f t="shared" si="4"/>
        <v>1.8986562083984859E-2</v>
      </c>
      <c r="K64" s="100">
        <f t="shared" si="6"/>
        <v>1.2657708055989906E-2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8.6442930685541555E-2</v>
      </c>
      <c r="J65" s="67">
        <f t="shared" si="4"/>
        <v>1.6018294418380936E-2</v>
      </c>
      <c r="K65" s="100">
        <f t="shared" si="6"/>
        <v>1.067886294558729E-2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7.2928859262871321E-2</v>
      </c>
      <c r="J66" s="67">
        <f t="shared" si="4"/>
        <v>1.3514071422670229E-2</v>
      </c>
      <c r="K66" s="100">
        <f t="shared" si="6"/>
        <v>9.0093809484468185E-3</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6.1527512674593811E-2</v>
      </c>
      <c r="J67" s="67">
        <f t="shared" si="4"/>
        <v>1.140134658827751E-2</v>
      </c>
      <c r="K67" s="100">
        <f t="shared" si="6"/>
        <v>7.6008977255183395E-3</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5.1908597696242863E-2</v>
      </c>
      <c r="J68" s="67">
        <f t="shared" si="4"/>
        <v>9.6189149783509498E-3</v>
      </c>
      <c r="K68" s="100">
        <f t="shared" si="6"/>
        <v>6.4126099855672993E-3</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4.3793457555176198E-2</v>
      </c>
      <c r="J69" s="67">
        <f t="shared" si="4"/>
        <v>8.1151401410666617E-3</v>
      </c>
      <c r="K69" s="100">
        <f t="shared" si="6"/>
        <v>5.4100934273777742E-3</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3.6946999336409242E-2</v>
      </c>
      <c r="J70" s="67">
        <f t="shared" si="4"/>
        <v>6.8464582187669565E-3</v>
      </c>
      <c r="K70" s="100">
        <f t="shared" si="6"/>
        <v>4.564305479177971E-3</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3.1170883418938415E-2</v>
      </c>
      <c r="J71" s="67">
        <f t="shared" si="4"/>
        <v>5.7761159174708285E-3</v>
      </c>
      <c r="K71" s="100">
        <f t="shared" si="6"/>
        <v>3.8507439449805524E-3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2.6297777642785937E-2</v>
      </c>
      <c r="J72" s="67">
        <f t="shared" si="4"/>
        <v>4.8731057761524791E-3</v>
      </c>
      <c r="K72" s="100">
        <f t="shared" si="6"/>
        <v>3.2487371841016526E-3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2.2186509751893478E-2</v>
      </c>
      <c r="J73" s="67">
        <f t="shared" si="4"/>
        <v>4.1112678908924597E-3</v>
      </c>
      <c r="K73" s="100">
        <f t="shared" si="6"/>
        <v>2.7408452605949731E-3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1.8717977680745089E-2</v>
      </c>
      <c r="J74" s="67">
        <f t="shared" si="4"/>
        <v>3.4685320711483883E-3</v>
      </c>
      <c r="K74" s="100">
        <f t="shared" si="6"/>
        <v>2.3123547140989254E-3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1.5791699207081008E-2</v>
      </c>
      <c r="J75" s="67">
        <f t="shared" si="4"/>
        <v>2.9262784736640798E-3</v>
      </c>
      <c r="K75" s="100">
        <f t="shared" si="6"/>
        <v>1.9508523157760532E-3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1.3322901015287256E-2</v>
      </c>
      <c r="J76" s="67">
        <f t="shared" si="4"/>
        <v>2.4687981917937514E-3</v>
      </c>
      <c r="K76" s="100">
        <f t="shared" si="6"/>
        <v>1.6458654611958342E-3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1.1240062841594097E-2</v>
      </c>
      <c r="J77" s="67">
        <f t="shared" si="4"/>
        <v>2.0828381736931589E-3</v>
      </c>
      <c r="K77" s="100">
        <f t="shared" si="6"/>
        <v>1.3885587824621058E-3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9.4828455557853103E-3</v>
      </c>
      <c r="J78" s="67">
        <f t="shared" si="4"/>
        <v>1.7572172858087856E-3</v>
      </c>
      <c r="K78" s="100">
        <f t="shared" si="6"/>
        <v>1.1714781905391904E-3</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8.0003431566334458E-3</v>
      </c>
      <c r="J79" s="67">
        <f t="shared" si="4"/>
        <v>1.4825023991518642E-3</v>
      </c>
      <c r="K79" s="100">
        <f t="shared" si="6"/>
        <v>9.8833493276790935E-4</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6.7496080419492894E-3</v>
      </c>
      <c r="J80" s="67">
        <f t="shared" si="4"/>
        <v>1.2507351146841563E-3</v>
      </c>
      <c r="K80" s="100">
        <f t="shared" si="6"/>
        <v>8.3382340978943744E-4</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5.6944068308086241E-3</v>
      </c>
      <c r="J81" s="67">
        <f t="shared" si="4"/>
        <v>1.0552012111406657E-3</v>
      </c>
      <c r="K81" s="100">
        <f t="shared" si="6"/>
        <v>7.0346747409377709E-4</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4.8041706945393522E-3</v>
      </c>
      <c r="J82" s="67">
        <f t="shared" si="4"/>
        <v>8.9023613626927167E-4</v>
      </c>
      <c r="K82" s="100">
        <f t="shared" si="6"/>
        <v>5.9349075751284771E-4</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4.0531097879062637E-3</v>
      </c>
      <c r="J83" s="67">
        <f t="shared" ref="J83:J99" si="16">I82*(1-$K$10)+H83</f>
        <v>7.5106090663308827E-4</v>
      </c>
      <c r="K83" s="100">
        <f t="shared" si="6"/>
        <v>5.0070727108872544E-4</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3.4194661258589456E-3</v>
      </c>
      <c r="J84" s="67">
        <f t="shared" si="16"/>
        <v>6.3364366204731804E-4</v>
      </c>
      <c r="K84" s="100">
        <f t="shared" si="6"/>
        <v>4.2242910803154534E-4</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2.8848832619303342E-3</v>
      </c>
      <c r="J85" s="67">
        <f t="shared" si="16"/>
        <v>5.3458286392861151E-4</v>
      </c>
      <c r="K85" s="100">
        <f t="shared" ref="K85:K99" si="18">J85*CH4_fraction*conv</f>
        <v>3.5638857595240764E-4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2.4338745080784326E-3</v>
      </c>
      <c r="J86" s="67">
        <f t="shared" si="16"/>
        <v>4.5100875385190161E-4</v>
      </c>
      <c r="K86" s="100">
        <f t="shared" si="18"/>
        <v>3.0067250256793441E-4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2.0533742904766043E-3</v>
      </c>
      <c r="J87" s="67">
        <f t="shared" si="16"/>
        <v>3.8050021760182814E-4</v>
      </c>
      <c r="K87" s="100">
        <f t="shared" si="18"/>
        <v>2.5366681173455207E-4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1.7323596441786739E-3</v>
      </c>
      <c r="J88" s="67">
        <f t="shared" si="16"/>
        <v>3.2101464629793043E-4</v>
      </c>
      <c r="K88" s="100">
        <f t="shared" si="18"/>
        <v>2.1400976419862027E-4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1.4615308814849774E-3</v>
      </c>
      <c r="J89" s="67">
        <f t="shared" si="16"/>
        <v>2.7082876269369642E-4</v>
      </c>
      <c r="K89" s="100">
        <f t="shared" si="18"/>
        <v>1.8055250846246427E-4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1.2330421830779744E-3</v>
      </c>
      <c r="J90" s="67">
        <f t="shared" si="16"/>
        <v>2.2848869840700294E-4</v>
      </c>
      <c r="K90" s="100">
        <f t="shared" si="18"/>
        <v>1.5232579893800194E-4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1.0402743072420839E-3</v>
      </c>
      <c r="J91" s="67">
        <f t="shared" si="16"/>
        <v>1.9276787583589054E-4</v>
      </c>
      <c r="K91" s="100">
        <f t="shared" si="18"/>
        <v>1.2851191722392701E-4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8.7764283262932279E-4</v>
      </c>
      <c r="J92" s="67">
        <f t="shared" si="16"/>
        <v>1.6263147461276106E-4</v>
      </c>
      <c r="K92" s="100">
        <f t="shared" si="18"/>
        <v>1.0842098307517404E-4</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7.4043637942734829E-4</v>
      </c>
      <c r="J93" s="67">
        <f t="shared" si="16"/>
        <v>1.372064532019745E-4</v>
      </c>
      <c r="K93" s="100">
        <f t="shared" si="18"/>
        <v>9.1470968801316327E-5</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6.2468012225086412E-4</v>
      </c>
      <c r="J94" s="67">
        <f t="shared" si="16"/>
        <v>1.1575625717648412E-4</v>
      </c>
      <c r="K94" s="100">
        <f t="shared" si="18"/>
        <v>7.7170838117656082E-5</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5.2702064077018182E-4</v>
      </c>
      <c r="J95" s="67">
        <f t="shared" si="16"/>
        <v>9.7659481480682291E-5</v>
      </c>
      <c r="K95" s="100">
        <f t="shared" si="18"/>
        <v>6.5106320987121523E-5</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4.4462877223788407E-4</v>
      </c>
      <c r="J96" s="67">
        <f t="shared" si="16"/>
        <v>8.2391868532297749E-5</v>
      </c>
      <c r="K96" s="100">
        <f t="shared" si="18"/>
        <v>5.4927912354865164E-5</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3.7511765158354971E-4</v>
      </c>
      <c r="J97" s="67">
        <f t="shared" si="16"/>
        <v>6.9511120654334348E-5</v>
      </c>
      <c r="K97" s="100">
        <f t="shared" si="18"/>
        <v>4.6340747102889563E-5</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3.1647356472530163E-4</v>
      </c>
      <c r="J98" s="67">
        <f t="shared" si="16"/>
        <v>5.8644086858248082E-5</v>
      </c>
      <c r="K98" s="100">
        <f t="shared" si="18"/>
        <v>3.9096057905498721E-5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2.6699761194157537E-4</v>
      </c>
      <c r="J99" s="68">
        <f t="shared" si="16"/>
        <v>4.9475952783726261E-5</v>
      </c>
      <c r="K99" s="102">
        <f t="shared" si="18"/>
        <v>3.298396852248417E-5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0.716817514248</v>
      </c>
      <c r="Q19" s="283">
        <f>MCF!R18</f>
        <v>0.8</v>
      </c>
      <c r="R19" s="130">
        <f t="shared" ref="R19:R82" si="5">P19*$W$6*DOCF*Q19</f>
        <v>0.12329261245065599</v>
      </c>
      <c r="S19" s="65">
        <f>R19*$W$12</f>
        <v>0.12329261245065599</v>
      </c>
      <c r="T19" s="65">
        <f>R19*(1-$W$12)</f>
        <v>0</v>
      </c>
      <c r="U19" s="65">
        <f>S19+U18*$W$10</f>
        <v>0.12329261245065599</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0.75658307234399991</v>
      </c>
      <c r="Q20" s="284">
        <f>MCF!R19</f>
        <v>0.8</v>
      </c>
      <c r="R20" s="67">
        <f t="shared" si="5"/>
        <v>0.13013228844316799</v>
      </c>
      <c r="S20" s="67">
        <f>R20*$W$12</f>
        <v>0.13013228844316799</v>
      </c>
      <c r="T20" s="67">
        <f>R20*(1-$W$12)</f>
        <v>0</v>
      </c>
      <c r="U20" s="67">
        <f>S20+U19*$W$10</f>
        <v>0.24918430281006648</v>
      </c>
      <c r="V20" s="67">
        <f>U19*(1-$W$10)+T20</f>
        <v>4.2405980837574913E-3</v>
      </c>
      <c r="W20" s="100">
        <f>V20*CH4_fraction*conv</f>
        <v>2.8270653891716607E-3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0.79938780292800016</v>
      </c>
      <c r="Q21" s="284">
        <f>MCF!R20</f>
        <v>0.8</v>
      </c>
      <c r="R21" s="67">
        <f t="shared" si="5"/>
        <v>0.13749470210361603</v>
      </c>
      <c r="S21" s="67">
        <f t="shared" ref="S21:S84" si="7">R21*$W$12</f>
        <v>0.13749470210361603</v>
      </c>
      <c r="T21" s="67">
        <f t="shared" ref="T21:T84" si="8">R21*(1-$W$12)</f>
        <v>0</v>
      </c>
      <c r="U21" s="67">
        <f t="shared" ref="U21:U84" si="9">S21+U20*$W$10</f>
        <v>0.37810841454338173</v>
      </c>
      <c r="V21" s="67">
        <f t="shared" ref="V21:V84" si="10">U20*(1-$W$10)+T21</f>
        <v>8.5705903703007479E-3</v>
      </c>
      <c r="W21" s="100">
        <f t="shared" ref="W21:W84" si="11">V21*CH4_fraction*conv</f>
        <v>5.7137269135338316E-3</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0.8140222118160001</v>
      </c>
      <c r="Q22" s="284">
        <f>MCF!R21</f>
        <v>0.8</v>
      </c>
      <c r="R22" s="67">
        <f t="shared" si="5"/>
        <v>0.14001182043235202</v>
      </c>
      <c r="S22" s="67">
        <f t="shared" si="7"/>
        <v>0.14001182043235202</v>
      </c>
      <c r="T22" s="67">
        <f t="shared" si="8"/>
        <v>0</v>
      </c>
      <c r="U22" s="67">
        <f t="shared" si="9"/>
        <v>0.50511535344800262</v>
      </c>
      <c r="V22" s="67">
        <f t="shared" si="10"/>
        <v>1.3004881527731119E-2</v>
      </c>
      <c r="W22" s="100">
        <f t="shared" si="11"/>
        <v>8.6699210184874118E-3</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0.85884695463600003</v>
      </c>
      <c r="Q23" s="284">
        <f>MCF!R22</f>
        <v>0.8</v>
      </c>
      <c r="R23" s="67">
        <f t="shared" si="5"/>
        <v>0.14772167619739202</v>
      </c>
      <c r="S23" s="67">
        <f t="shared" si="7"/>
        <v>0.14772167619739202</v>
      </c>
      <c r="T23" s="67">
        <f t="shared" si="8"/>
        <v>0</v>
      </c>
      <c r="U23" s="67">
        <f t="shared" si="9"/>
        <v>0.63546379732163838</v>
      </c>
      <c r="V23" s="67">
        <f t="shared" si="10"/>
        <v>1.7373232323756243E-2</v>
      </c>
      <c r="W23" s="100">
        <f t="shared" si="11"/>
        <v>1.1582154882504161E-2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0.92061294811200012</v>
      </c>
      <c r="Q24" s="284">
        <f>MCF!R23</f>
        <v>0.8</v>
      </c>
      <c r="R24" s="67">
        <f t="shared" si="5"/>
        <v>0.15834542707526403</v>
      </c>
      <c r="S24" s="67">
        <f t="shared" si="7"/>
        <v>0.15834542707526403</v>
      </c>
      <c r="T24" s="67">
        <f t="shared" si="8"/>
        <v>0</v>
      </c>
      <c r="U24" s="67">
        <f t="shared" si="9"/>
        <v>0.77195271160463852</v>
      </c>
      <c r="V24" s="67">
        <f t="shared" si="10"/>
        <v>2.1856512792263905E-2</v>
      </c>
      <c r="W24" s="100">
        <f t="shared" si="11"/>
        <v>1.4571008528175937E-2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0.95807776719599991</v>
      </c>
      <c r="Q25" s="284">
        <f>MCF!R24</f>
        <v>0.8</v>
      </c>
      <c r="R25" s="67">
        <f t="shared" si="5"/>
        <v>0.16478937595771201</v>
      </c>
      <c r="S25" s="67">
        <f t="shared" si="7"/>
        <v>0.16478937595771201</v>
      </c>
      <c r="T25" s="67">
        <f t="shared" si="8"/>
        <v>0</v>
      </c>
      <c r="U25" s="67">
        <f t="shared" si="9"/>
        <v>0.91019109537786613</v>
      </c>
      <c r="V25" s="67">
        <f t="shared" si="10"/>
        <v>2.6550992184484385E-2</v>
      </c>
      <c r="W25" s="100">
        <f t="shared" si="11"/>
        <v>1.7700661456322923E-2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0.99663497960400016</v>
      </c>
      <c r="Q26" s="284">
        <f>MCF!R25</f>
        <v>0.8</v>
      </c>
      <c r="R26" s="67">
        <f t="shared" si="5"/>
        <v>0.17142121649188802</v>
      </c>
      <c r="S26" s="67">
        <f t="shared" si="7"/>
        <v>0.17142121649188802</v>
      </c>
      <c r="T26" s="67">
        <f t="shared" si="8"/>
        <v>0</v>
      </c>
      <c r="U26" s="67">
        <f t="shared" si="9"/>
        <v>1.050306668018163</v>
      </c>
      <c r="V26" s="67">
        <f t="shared" si="10"/>
        <v>3.1305643851591326E-2</v>
      </c>
      <c r="W26" s="100">
        <f t="shared" si="11"/>
        <v>2.0870429234394215E-2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1.0362052495080001</v>
      </c>
      <c r="Q27" s="284">
        <f>MCF!R26</f>
        <v>0.8</v>
      </c>
      <c r="R27" s="67">
        <f t="shared" si="5"/>
        <v>0.17822730291537603</v>
      </c>
      <c r="S27" s="67">
        <f t="shared" si="7"/>
        <v>0.17822730291537603</v>
      </c>
      <c r="T27" s="67">
        <f t="shared" si="8"/>
        <v>0</v>
      </c>
      <c r="U27" s="67">
        <f t="shared" si="9"/>
        <v>1.192409110285152</v>
      </c>
      <c r="V27" s="67">
        <f t="shared" si="10"/>
        <v>3.6124860648387047E-2</v>
      </c>
      <c r="W27" s="100">
        <f t="shared" si="11"/>
        <v>2.408324043225803E-2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1.0766604190320002</v>
      </c>
      <c r="Q28" s="284">
        <f>MCF!R27</f>
        <v>0.8</v>
      </c>
      <c r="R28" s="67">
        <f t="shared" si="5"/>
        <v>0.18518559207350405</v>
      </c>
      <c r="S28" s="67">
        <f t="shared" si="7"/>
        <v>0.18518559207350405</v>
      </c>
      <c r="T28" s="67">
        <f t="shared" si="8"/>
        <v>0</v>
      </c>
      <c r="U28" s="67">
        <f t="shared" si="9"/>
        <v>1.3365822873597129</v>
      </c>
      <c r="V28" s="67">
        <f t="shared" si="10"/>
        <v>4.1012414998943328E-2</v>
      </c>
      <c r="W28" s="100">
        <f t="shared" si="11"/>
        <v>2.7341609999295552E-2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1.0928754417239999</v>
      </c>
      <c r="Q29" s="284">
        <f>MCF!R28</f>
        <v>0.8</v>
      </c>
      <c r="R29" s="67">
        <f t="shared" si="5"/>
        <v>0.187974575976528</v>
      </c>
      <c r="S29" s="67">
        <f t="shared" si="7"/>
        <v>0.187974575976528</v>
      </c>
      <c r="T29" s="67">
        <f t="shared" si="8"/>
        <v>0</v>
      </c>
      <c r="U29" s="67">
        <f t="shared" si="9"/>
        <v>1.4785856719249937</v>
      </c>
      <c r="V29" s="67">
        <f t="shared" si="10"/>
        <v>4.597119141124701E-2</v>
      </c>
      <c r="W29" s="100">
        <f t="shared" si="11"/>
        <v>3.0647460940831338E-2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1.0318428885600002</v>
      </c>
      <c r="Q30" s="284">
        <f>MCF!R29</f>
        <v>0.8</v>
      </c>
      <c r="R30" s="67">
        <f t="shared" si="5"/>
        <v>0.17747697683232003</v>
      </c>
      <c r="S30" s="67">
        <f t="shared" si="7"/>
        <v>0.17747697683232003</v>
      </c>
      <c r="T30" s="67">
        <f t="shared" si="8"/>
        <v>0</v>
      </c>
      <c r="U30" s="67">
        <f t="shared" si="9"/>
        <v>1.6052073100439272</v>
      </c>
      <c r="V30" s="67">
        <f t="shared" si="10"/>
        <v>5.0855338713386558E-2</v>
      </c>
      <c r="W30" s="100">
        <f t="shared" si="11"/>
        <v>3.3903559142257705E-2</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1.0628559849600001</v>
      </c>
      <c r="Q31" s="284">
        <f>MCF!R30</f>
        <v>0.8</v>
      </c>
      <c r="R31" s="67">
        <f t="shared" si="5"/>
        <v>0.18281122941312003</v>
      </c>
      <c r="S31" s="67">
        <f t="shared" si="7"/>
        <v>0.18281122941312003</v>
      </c>
      <c r="T31" s="67">
        <f t="shared" si="8"/>
        <v>0</v>
      </c>
      <c r="U31" s="67">
        <f t="shared" si="9"/>
        <v>1.732808102207775</v>
      </c>
      <c r="V31" s="67">
        <f t="shared" si="10"/>
        <v>5.5210437249272333E-2</v>
      </c>
      <c r="W31" s="100">
        <f t="shared" si="11"/>
        <v>3.6806958166181555E-2</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1.0951007284800003</v>
      </c>
      <c r="Q32" s="284">
        <f>MCF!R31</f>
        <v>0.8</v>
      </c>
      <c r="R32" s="67">
        <f t="shared" si="5"/>
        <v>0.18835732529856006</v>
      </c>
      <c r="S32" s="67">
        <f t="shared" si="7"/>
        <v>0.18835732529856006</v>
      </c>
      <c r="T32" s="67">
        <f t="shared" si="8"/>
        <v>0</v>
      </c>
      <c r="U32" s="67">
        <f t="shared" si="9"/>
        <v>1.8615662141253824</v>
      </c>
      <c r="V32" s="67">
        <f t="shared" si="10"/>
        <v>5.9599213380952649E-2</v>
      </c>
      <c r="W32" s="100">
        <f t="shared" si="11"/>
        <v>3.9732808920635097E-2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1.1274730750800002</v>
      </c>
      <c r="Q33" s="284">
        <f>MCF!R32</f>
        <v>0.8</v>
      </c>
      <c r="R33" s="67">
        <f t="shared" si="5"/>
        <v>0.19392536891376003</v>
      </c>
      <c r="S33" s="67">
        <f t="shared" si="7"/>
        <v>0.19392536891376003</v>
      </c>
      <c r="T33" s="67">
        <f t="shared" si="8"/>
        <v>0</v>
      </c>
      <c r="U33" s="67">
        <f t="shared" si="9"/>
        <v>1.9914637879953221</v>
      </c>
      <c r="V33" s="67">
        <f t="shared" si="10"/>
        <v>6.4027795043820432E-2</v>
      </c>
      <c r="W33" s="100">
        <f t="shared" si="11"/>
        <v>4.2685196695880286E-2</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1.15893000828</v>
      </c>
      <c r="Q34" s="284">
        <f>MCF!R33</f>
        <v>0.8</v>
      </c>
      <c r="R34" s="67">
        <f t="shared" si="5"/>
        <v>0.19933596142416002</v>
      </c>
      <c r="S34" s="67">
        <f t="shared" si="7"/>
        <v>0.19933596142416002</v>
      </c>
      <c r="T34" s="67">
        <f t="shared" si="8"/>
        <v>0</v>
      </c>
      <c r="U34" s="67">
        <f t="shared" si="9"/>
        <v>2.1223041813932531</v>
      </c>
      <c r="V34" s="67">
        <f t="shared" si="10"/>
        <v>6.8495568026229012E-2</v>
      </c>
      <c r="W34" s="100">
        <f t="shared" si="11"/>
        <v>4.5663712017486008E-2</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1.1918571508800004</v>
      </c>
      <c r="Q35" s="284">
        <f>MCF!R34</f>
        <v>0.8</v>
      </c>
      <c r="R35" s="67">
        <f t="shared" si="5"/>
        <v>0.20499942995136011</v>
      </c>
      <c r="S35" s="67">
        <f t="shared" si="7"/>
        <v>0.20499942995136011</v>
      </c>
      <c r="T35" s="67">
        <f t="shared" si="8"/>
        <v>0</v>
      </c>
      <c r="U35" s="67">
        <f t="shared" si="9"/>
        <v>2.2543078424507663</v>
      </c>
      <c r="V35" s="67">
        <f t="shared" si="10"/>
        <v>7.2995768893847096E-2</v>
      </c>
      <c r="W35" s="100">
        <f t="shared" si="11"/>
        <v>4.8663845929231397E-2</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1.2333070696320003</v>
      </c>
      <c r="Q36" s="284">
        <f>MCF!R35</f>
        <v>0.8</v>
      </c>
      <c r="R36" s="67">
        <f t="shared" si="5"/>
        <v>0.21212881597670405</v>
      </c>
      <c r="S36" s="67">
        <f t="shared" si="7"/>
        <v>0.21212881597670405</v>
      </c>
      <c r="T36" s="67">
        <f t="shared" si="8"/>
        <v>0</v>
      </c>
      <c r="U36" s="67">
        <f t="shared" si="9"/>
        <v>2.3889006785590725</v>
      </c>
      <c r="V36" s="67">
        <f t="shared" si="10"/>
        <v>7.7535979868397553E-2</v>
      </c>
      <c r="W36" s="100">
        <f t="shared" si="11"/>
        <v>5.1690653245598364E-2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1.2671712626760001</v>
      </c>
      <c r="Q37" s="284">
        <f>MCF!R36</f>
        <v>0.8</v>
      </c>
      <c r="R37" s="67">
        <f t="shared" si="5"/>
        <v>0.21795345718027204</v>
      </c>
      <c r="S37" s="67">
        <f t="shared" si="7"/>
        <v>0.21795345718027204</v>
      </c>
      <c r="T37" s="67">
        <f t="shared" si="8"/>
        <v>0</v>
      </c>
      <c r="U37" s="67">
        <f t="shared" si="9"/>
        <v>2.5246888912982883</v>
      </c>
      <c r="V37" s="67">
        <f t="shared" si="10"/>
        <v>8.2165244441056315E-2</v>
      </c>
      <c r="W37" s="100">
        <f t="shared" si="11"/>
        <v>5.4776829627370877E-2</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1.3010354557200001</v>
      </c>
      <c r="Q38" s="284">
        <f>MCF!R37</f>
        <v>0.8</v>
      </c>
      <c r="R38" s="67">
        <f t="shared" si="5"/>
        <v>0.22377809838384</v>
      </c>
      <c r="S38" s="67">
        <f t="shared" si="7"/>
        <v>0.22377809838384</v>
      </c>
      <c r="T38" s="67">
        <f t="shared" si="8"/>
        <v>0</v>
      </c>
      <c r="U38" s="67">
        <f t="shared" si="9"/>
        <v>2.6616313661867776</v>
      </c>
      <c r="V38" s="67">
        <f t="shared" si="10"/>
        <v>8.6835623495350664E-2</v>
      </c>
      <c r="W38" s="100">
        <f t="shared" si="11"/>
        <v>5.7890415663567105E-2</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1.3348996487640001</v>
      </c>
      <c r="Q39" s="284">
        <f>MCF!R38</f>
        <v>0.8</v>
      </c>
      <c r="R39" s="67">
        <f t="shared" si="5"/>
        <v>0.22960273958740804</v>
      </c>
      <c r="S39" s="67">
        <f t="shared" si="7"/>
        <v>0.22960273958740804</v>
      </c>
      <c r="T39" s="67">
        <f t="shared" si="8"/>
        <v>0</v>
      </c>
      <c r="U39" s="67">
        <f t="shared" si="9"/>
        <v>2.7996884028583868</v>
      </c>
      <c r="V39" s="67">
        <f t="shared" si="10"/>
        <v>9.1545702915798902E-2</v>
      </c>
      <c r="W39" s="100">
        <f t="shared" si="11"/>
        <v>6.1030468610532601E-2</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1.3687638418080001</v>
      </c>
      <c r="Q40" s="284">
        <f>MCF!R39</f>
        <v>0.8</v>
      </c>
      <c r="R40" s="67">
        <f t="shared" si="5"/>
        <v>0.23542738079097603</v>
      </c>
      <c r="S40" s="67">
        <f t="shared" si="7"/>
        <v>0.23542738079097603</v>
      </c>
      <c r="T40" s="67">
        <f t="shared" si="8"/>
        <v>0</v>
      </c>
      <c r="U40" s="67">
        <f t="shared" si="9"/>
        <v>2.9388216664245301</v>
      </c>
      <c r="V40" s="67">
        <f t="shared" si="10"/>
        <v>9.629411722483279E-2</v>
      </c>
      <c r="W40" s="100">
        <f t="shared" si="11"/>
        <v>6.4196078149888522E-2</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1.4026280348519999</v>
      </c>
      <c r="Q41" s="284">
        <f>MCF!R40</f>
        <v>0.8</v>
      </c>
      <c r="R41" s="67">
        <f t="shared" si="5"/>
        <v>0.24125202199454399</v>
      </c>
      <c r="S41" s="67">
        <f t="shared" si="7"/>
        <v>0.24125202199454399</v>
      </c>
      <c r="T41" s="67">
        <f t="shared" si="8"/>
        <v>0</v>
      </c>
      <c r="U41" s="67">
        <f t="shared" si="9"/>
        <v>3.0789941405091579</v>
      </c>
      <c r="V41" s="67">
        <f t="shared" si="10"/>
        <v>0.10107954790991658</v>
      </c>
      <c r="W41" s="100">
        <f t="shared" si="11"/>
        <v>6.738636527327771E-2</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1.436492227896</v>
      </c>
      <c r="Q42" s="284">
        <f>MCF!R41</f>
        <v>0.8</v>
      </c>
      <c r="R42" s="67">
        <f t="shared" si="5"/>
        <v>0.24707666319811197</v>
      </c>
      <c r="S42" s="67">
        <f t="shared" si="7"/>
        <v>0.24707666319811197</v>
      </c>
      <c r="T42" s="67">
        <f t="shared" si="8"/>
        <v>0</v>
      </c>
      <c r="U42" s="67">
        <f t="shared" si="9"/>
        <v>3.2201700818990653</v>
      </c>
      <c r="V42" s="67">
        <f t="shared" si="10"/>
        <v>0.10590072180820441</v>
      </c>
      <c r="W42" s="100">
        <f t="shared" si="11"/>
        <v>7.0600481205469606E-2</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1.4703564209400002</v>
      </c>
      <c r="Q43" s="284">
        <f>MCF!R42</f>
        <v>0.8</v>
      </c>
      <c r="R43" s="67">
        <f t="shared" si="5"/>
        <v>0.25290130440168007</v>
      </c>
      <c r="S43" s="67">
        <f t="shared" si="7"/>
        <v>0.25290130440168007</v>
      </c>
      <c r="T43" s="67">
        <f t="shared" si="8"/>
        <v>0</v>
      </c>
      <c r="U43" s="67">
        <f t="shared" si="9"/>
        <v>3.3623149767539888</v>
      </c>
      <c r="V43" s="67">
        <f t="shared" si="10"/>
        <v>0.11075640954675646</v>
      </c>
      <c r="W43" s="100">
        <f t="shared" si="11"/>
        <v>7.3837606364504302E-2</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1.5042206139840004</v>
      </c>
      <c r="Q44" s="284">
        <f>MCF!R43</f>
        <v>0.8</v>
      </c>
      <c r="R44" s="67">
        <f t="shared" si="5"/>
        <v>0.25872594560524809</v>
      </c>
      <c r="S44" s="67">
        <f t="shared" si="7"/>
        <v>0.25872594560524809</v>
      </c>
      <c r="T44" s="67">
        <f t="shared" si="8"/>
        <v>0</v>
      </c>
      <c r="U44" s="67">
        <f t="shared" si="9"/>
        <v>3.5053954983228333</v>
      </c>
      <c r="V44" s="67">
        <f t="shared" si="10"/>
        <v>0.11564542403640354</v>
      </c>
      <c r="W44" s="100">
        <f t="shared" si="11"/>
        <v>7.7096949357602362E-2</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1.5380848070280002</v>
      </c>
      <c r="Q45" s="284">
        <f>MCF!R44</f>
        <v>0.8</v>
      </c>
      <c r="R45" s="67">
        <f t="shared" si="5"/>
        <v>0.26455058680881605</v>
      </c>
      <c r="S45" s="67">
        <f t="shared" si="7"/>
        <v>0.26455058680881605</v>
      </c>
      <c r="T45" s="67">
        <f t="shared" si="8"/>
        <v>0</v>
      </c>
      <c r="U45" s="67">
        <f t="shared" si="9"/>
        <v>3.6493794661142349</v>
      </c>
      <c r="V45" s="67">
        <f t="shared" si="10"/>
        <v>0.12056661901741424</v>
      </c>
      <c r="W45" s="100">
        <f t="shared" si="11"/>
        <v>8.0377746011609491E-2</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1.5719490000719998</v>
      </c>
      <c r="Q46" s="284">
        <f>MCF!R45</f>
        <v>0.8</v>
      </c>
      <c r="R46" s="67">
        <f t="shared" si="5"/>
        <v>0.27037522801238395</v>
      </c>
      <c r="S46" s="67">
        <f t="shared" si="7"/>
        <v>0.27037522801238395</v>
      </c>
      <c r="T46" s="67">
        <f t="shared" si="8"/>
        <v>0</v>
      </c>
      <c r="U46" s="67">
        <f t="shared" si="9"/>
        <v>3.7942358064714354</v>
      </c>
      <c r="V46" s="67">
        <f t="shared" si="10"/>
        <v>0.12551888765518346</v>
      </c>
      <c r="W46" s="100">
        <f t="shared" si="11"/>
        <v>8.3679258436788972E-2</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1.6058131931160002</v>
      </c>
      <c r="Q47" s="284">
        <f>MCF!R46</f>
        <v>0.8</v>
      </c>
      <c r="R47" s="67">
        <f t="shared" si="5"/>
        <v>0.27619986921595208</v>
      </c>
      <c r="S47" s="67">
        <f t="shared" si="7"/>
        <v>0.27619986921595208</v>
      </c>
      <c r="T47" s="67">
        <f t="shared" si="8"/>
        <v>0</v>
      </c>
      <c r="U47" s="67">
        <f t="shared" si="9"/>
        <v>3.9399345145031659</v>
      </c>
      <c r="V47" s="67">
        <f t="shared" si="10"/>
        <v>0.13050116118422164</v>
      </c>
      <c r="W47" s="100">
        <f t="shared" si="11"/>
        <v>8.7000774122814428E-2</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1.63967738616</v>
      </c>
      <c r="Q48" s="284">
        <f>MCF!R47</f>
        <v>0.8</v>
      </c>
      <c r="R48" s="67">
        <f t="shared" si="5"/>
        <v>0.28202451041951998</v>
      </c>
      <c r="S48" s="67">
        <f t="shared" si="7"/>
        <v>0.28202451041951998</v>
      </c>
      <c r="T48" s="67">
        <f t="shared" si="8"/>
        <v>0</v>
      </c>
      <c r="U48" s="67">
        <f t="shared" si="9"/>
        <v>4.0864466173239027</v>
      </c>
      <c r="V48" s="67">
        <f t="shared" si="10"/>
        <v>0.13551240759878336</v>
      </c>
      <c r="W48" s="100">
        <f t="shared" si="11"/>
        <v>9.0341605065855562E-2</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1.6735415792040005</v>
      </c>
      <c r="Q49" s="284">
        <f>MCF!R48</f>
        <v>0.8</v>
      </c>
      <c r="R49" s="67">
        <f t="shared" si="5"/>
        <v>0.28784915162308805</v>
      </c>
      <c r="S49" s="67">
        <f t="shared" si="7"/>
        <v>0.28784915162308805</v>
      </c>
      <c r="T49" s="67">
        <f t="shared" si="8"/>
        <v>0</v>
      </c>
      <c r="U49" s="67">
        <f t="shared" si="9"/>
        <v>4.2337441385584595</v>
      </c>
      <c r="V49" s="67">
        <f t="shared" si="10"/>
        <v>0.14055163038853122</v>
      </c>
      <c r="W49" s="100">
        <f t="shared" si="11"/>
        <v>9.3701086925687474E-2</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4.0881262712407738</v>
      </c>
      <c r="V50" s="67">
        <f t="shared" si="10"/>
        <v>0.14561786731768608</v>
      </c>
      <c r="W50" s="100">
        <f t="shared" si="11"/>
        <v>9.7078578211790723E-2</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3.9475168698549403</v>
      </c>
      <c r="V51" s="67">
        <f t="shared" si="10"/>
        <v>0.14060940138583336</v>
      </c>
      <c r="W51" s="100">
        <f t="shared" si="11"/>
        <v>9.3739600923888902E-2</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3.8117436703000456</v>
      </c>
      <c r="V52" s="67">
        <f t="shared" si="10"/>
        <v>0.13577319955489486</v>
      </c>
      <c r="W52" s="100">
        <f t="shared" si="11"/>
        <v>9.0515466369929909E-2</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3.6806403334272195</v>
      </c>
      <c r="V53" s="67">
        <f t="shared" si="10"/>
        <v>0.13110333687282588</v>
      </c>
      <c r="W53" s="100">
        <f t="shared" si="11"/>
        <v>8.7402224581883917E-2</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3.5540462412533786</v>
      </c>
      <c r="V54" s="67">
        <f t="shared" si="10"/>
        <v>0.12659409217384099</v>
      </c>
      <c r="W54" s="100">
        <f t="shared" si="11"/>
        <v>8.4396061449227316E-2</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3.4318063001841081</v>
      </c>
      <c r="V55" s="67">
        <f t="shared" si="10"/>
        <v>0.12223994106927048</v>
      </c>
      <c r="W55" s="100">
        <f t="shared" si="11"/>
        <v>8.1493294046180317E-2</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3.3137707510046148</v>
      </c>
      <c r="V56" s="67">
        <f t="shared" si="10"/>
        <v>0.11803554917949331</v>
      </c>
      <c r="W56" s="100">
        <f t="shared" si="11"/>
        <v>7.8690366119662208E-2</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3.1997949854059597</v>
      </c>
      <c r="V57" s="67">
        <f t="shared" si="10"/>
        <v>0.1139757655986551</v>
      </c>
      <c r="W57" s="100">
        <f t="shared" si="11"/>
        <v>7.5983843732436732E-2</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3.0897393688217956</v>
      </c>
      <c r="V58" s="67">
        <f t="shared" si="10"/>
        <v>0.11005561658416418</v>
      </c>
      <c r="W58" s="100">
        <f t="shared" si="11"/>
        <v>7.3370411056109447E-2</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2.9834690693585606</v>
      </c>
      <c r="V59" s="67">
        <f t="shared" si="10"/>
        <v>0.10627029946323499</v>
      </c>
      <c r="W59" s="100">
        <f t="shared" si="11"/>
        <v>7.0846866308823322E-2</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2.8808538926095473</v>
      </c>
      <c r="V60" s="67">
        <f t="shared" si="10"/>
        <v>0.10261517674901327</v>
      </c>
      <c r="W60" s="100">
        <f t="shared" si="11"/>
        <v>6.8410117832675504E-2</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2.7817681221504724</v>
      </c>
      <c r="V61" s="67">
        <f t="shared" si="10"/>
        <v>9.9085770459074712E-2</v>
      </c>
      <c r="W61" s="100">
        <f t="shared" si="11"/>
        <v>6.6057180306049804E-2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2.6860903655211361</v>
      </c>
      <c r="V62" s="67">
        <f t="shared" si="10"/>
        <v>9.5677756629336516E-2</v>
      </c>
      <c r="W62" s="100">
        <f t="shared" si="11"/>
        <v>6.3785171086224335E-2</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2.5937034055044754</v>
      </c>
      <c r="V63" s="67">
        <f t="shared" si="10"/>
        <v>9.2386960016660621E-2</v>
      </c>
      <c r="W63" s="100">
        <f t="shared" si="11"/>
        <v>6.1591306677773745E-2</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2.5044940565208167</v>
      </c>
      <c r="V64" s="67">
        <f t="shared" si="10"/>
        <v>8.9209348983658732E-2</v>
      </c>
      <c r="W64" s="100">
        <f t="shared" si="11"/>
        <v>5.9472899322439154E-2</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2.4183530259613844</v>
      </c>
      <c r="V65" s="67">
        <f t="shared" si="10"/>
        <v>8.6141030559432299E-2</v>
      </c>
      <c r="W65" s="100">
        <f t="shared" si="11"/>
        <v>5.7427353706288195E-2</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2.335174780291188</v>
      </c>
      <c r="V66" s="67">
        <f t="shared" si="10"/>
        <v>8.3178245670196382E-2</v>
      </c>
      <c r="W66" s="100">
        <f t="shared" si="11"/>
        <v>5.5452163780130917E-2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2.2548574157572441</v>
      </c>
      <c r="V67" s="67">
        <f t="shared" si="10"/>
        <v>8.0317364533944099E-2</v>
      </c>
      <c r="W67" s="100">
        <f t="shared" si="11"/>
        <v>5.3544909689296066E-2</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2.1773025335437342</v>
      </c>
      <c r="V68" s="67">
        <f t="shared" si="10"/>
        <v>7.7554882213509813E-2</v>
      </c>
      <c r="W68" s="100">
        <f t="shared" si="11"/>
        <v>5.1703254809006539E-2</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2.1024151192211513</v>
      </c>
      <c r="V69" s="67">
        <f t="shared" si="10"/>
        <v>7.4887414322582668E-2</v>
      </c>
      <c r="W69" s="100">
        <f t="shared" si="11"/>
        <v>4.9924942881721779E-2</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2.030103426341741</v>
      </c>
      <c r="V70" s="67">
        <f t="shared" si="10"/>
        <v>7.2311692879410278E-2</v>
      </c>
      <c r="W70" s="100">
        <f t="shared" si="11"/>
        <v>4.820779525294018E-2</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1.9602788640386288</v>
      </c>
      <c r="V71" s="67">
        <f t="shared" si="10"/>
        <v>6.9824562303112264E-2</v>
      </c>
      <c r="W71" s="100">
        <f t="shared" si="11"/>
        <v>4.6549708202074838E-2</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1.8928558884909297</v>
      </c>
      <c r="V72" s="67">
        <f t="shared" si="10"/>
        <v>6.7422975547699104E-2</v>
      </c>
      <c r="W72" s="100">
        <f t="shared" si="11"/>
        <v>4.4948650365132736E-2</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1.8277518981218699</v>
      </c>
      <c r="V73" s="67">
        <f t="shared" si="10"/>
        <v>6.5103990369059714E-2</v>
      </c>
      <c r="W73" s="100">
        <f t="shared" si="11"/>
        <v>4.3402660246039809E-2</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1.7648871324015254</v>
      </c>
      <c r="V74" s="67">
        <f t="shared" si="10"/>
        <v>6.2864765720344509E-2</v>
      </c>
      <c r="W74" s="100">
        <f t="shared" si="11"/>
        <v>4.1909843813563004E-2</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1.7041845741301977</v>
      </c>
      <c r="V75" s="67">
        <f t="shared" si="10"/>
        <v>6.0702558271327652E-2</v>
      </c>
      <c r="W75" s="100">
        <f t="shared" si="11"/>
        <v>4.0468372180885101E-2</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1.6455698550827131</v>
      </c>
      <c r="V76" s="67">
        <f t="shared" si="10"/>
        <v>5.8614719047484519E-2</v>
      </c>
      <c r="W76" s="100">
        <f t="shared" si="11"/>
        <v>3.9076479364989675E-2</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1.5889711648980465</v>
      </c>
      <c r="V77" s="67">
        <f t="shared" si="10"/>
        <v>5.6598690184666595E-2</v>
      </c>
      <c r="W77" s="100">
        <f t="shared" si="11"/>
        <v>3.7732460123111058E-2</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1.5343191631026485</v>
      </c>
      <c r="V78" s="67">
        <f t="shared" si="10"/>
        <v>5.4652001795398031E-2</v>
      </c>
      <c r="W78" s="100">
        <f t="shared" si="11"/>
        <v>3.6434667863598683E-2</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1.4815468941596939</v>
      </c>
      <c r="V79" s="67">
        <f t="shared" si="10"/>
        <v>5.2772268942954587E-2</v>
      </c>
      <c r="W79" s="100">
        <f t="shared" si="11"/>
        <v>3.5181512628636391E-2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1.4305897054401759</v>
      </c>
      <c r="V80" s="67">
        <f t="shared" si="10"/>
        <v>5.0957188719517911E-2</v>
      </c>
      <c r="W80" s="100">
        <f t="shared" si="11"/>
        <v>3.3971459146345272E-2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1.3813851680153504</v>
      </c>
      <c r="V81" s="67">
        <f t="shared" si="10"/>
        <v>4.9204537424825459E-2</v>
      </c>
      <c r="W81" s="100">
        <f t="shared" si="11"/>
        <v>3.2803024949883637E-2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1.3338730001734909</v>
      </c>
      <c r="V82" s="67">
        <f t="shared" si="10"/>
        <v>4.751216784185959E-2</v>
      </c>
      <c r="W82" s="100">
        <f t="shared" si="11"/>
        <v>3.1674778561239722E-2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1.2879949935672528</v>
      </c>
      <c r="V83" s="67">
        <f t="shared" si="10"/>
        <v>4.5878006606238197E-2</v>
      </c>
      <c r="W83" s="100">
        <f t="shared" si="11"/>
        <v>3.058533773749213E-2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1.2436949419011687</v>
      </c>
      <c r="V84" s="67">
        <f t="shared" si="10"/>
        <v>4.4300051666084021E-2</v>
      </c>
      <c r="W84" s="100">
        <f t="shared" si="11"/>
        <v>2.9533367777389345E-2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1.200918572071908</v>
      </c>
      <c r="V85" s="67">
        <f t="shared" ref="V85:V98" si="22">U84*(1-$W$10)+T85</f>
        <v>4.2776369829260759E-2</v>
      </c>
      <c r="W85" s="100">
        <f t="shared" ref="W85:W99" si="23">V85*CH4_fraction*conv</f>
        <v>2.8517579886173837E-2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1.1596134776769371</v>
      </c>
      <c r="V86" s="67">
        <f t="shared" si="22"/>
        <v>4.1305094394970945E-2</v>
      </c>
      <c r="W86" s="100">
        <f t="shared" si="23"/>
        <v>2.7536729596647297E-2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1.1197290548101231</v>
      </c>
      <c r="V87" s="67">
        <f t="shared" si="22"/>
        <v>3.9884422866813998E-2</v>
      </c>
      <c r="W87" s="100">
        <f t="shared" si="23"/>
        <v>2.6589615244542664E-2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1.0812164400656203</v>
      </c>
      <c r="V88" s="67">
        <f t="shared" si="22"/>
        <v>3.8512614744502731E-2</v>
      </c>
      <c r="W88" s="100">
        <f t="shared" si="23"/>
        <v>2.5675076496335152E-2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1.0440284506740876</v>
      </c>
      <c r="V89" s="67">
        <f t="shared" si="22"/>
        <v>3.7187989391532852E-2</v>
      </c>
      <c r="W89" s="100">
        <f t="shared" si="23"/>
        <v>2.4791992927688567E-2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1.0081195266978946</v>
      </c>
      <c r="V90" s="67">
        <f t="shared" si="22"/>
        <v>3.5908923976193045E-2</v>
      </c>
      <c r="W90" s="100">
        <f t="shared" si="23"/>
        <v>2.3939282650795361E-2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0.97344567521450143</v>
      </c>
      <c r="V91" s="67">
        <f t="shared" si="22"/>
        <v>3.4673851483393199E-2</v>
      </c>
      <c r="W91" s="100">
        <f t="shared" si="23"/>
        <v>2.3115900988928798E-2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0.93996441641962647</v>
      </c>
      <c r="V92" s="67">
        <f t="shared" si="22"/>
        <v>3.348125879487493E-2</v>
      </c>
      <c r="W92" s="100">
        <f t="shared" si="23"/>
        <v>2.2320839196583286E-2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0.90763473158417396</v>
      </c>
      <c r="V93" s="67">
        <f t="shared" si="22"/>
        <v>3.232968483545251E-2</v>
      </c>
      <c r="W93" s="100">
        <f t="shared" si="23"/>
        <v>2.1553123223635007E-2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0.87641701280116091</v>
      </c>
      <c r="V94" s="67">
        <f t="shared" si="22"/>
        <v>3.1217718783013059E-2</v>
      </c>
      <c r="W94" s="100">
        <f t="shared" si="23"/>
        <v>2.0811812522008706E-2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0.84627301446107794</v>
      </c>
      <c r="V95" s="67">
        <f t="shared" si="22"/>
        <v>3.0143998340082974E-2</v>
      </c>
      <c r="W95" s="100">
        <f t="shared" si="23"/>
        <v>2.0095998893388648E-2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0.81716580639623471</v>
      </c>
      <c r="V96" s="67">
        <f t="shared" si="22"/>
        <v>2.9107208064843213E-2</v>
      </c>
      <c r="W96" s="100">
        <f t="shared" si="23"/>
        <v>1.940480537656214E-2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0.78905972863668616</v>
      </c>
      <c r="V97" s="67">
        <f t="shared" si="22"/>
        <v>2.8106077759548525E-2</v>
      </c>
      <c r="W97" s="100">
        <f t="shared" si="23"/>
        <v>1.8737385173032348E-2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0.76192034772230977</v>
      </c>
      <c r="V98" s="67">
        <f t="shared" si="22"/>
        <v>2.7139380914376385E-2</v>
      </c>
      <c r="W98" s="100">
        <f t="shared" si="23"/>
        <v>1.8092920609584257E-2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0.73571441451751074</v>
      </c>
      <c r="V99" s="68">
        <f>U98*(1-$W$10)+T99</f>
        <v>2.6205933204799064E-2</v>
      </c>
      <c r="W99" s="102">
        <f t="shared" si="23"/>
        <v>1.7470622136532707E-2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0.195495685704</v>
      </c>
      <c r="D19" s="416">
        <f>Dry_Matter_Content!H6</f>
        <v>0.73</v>
      </c>
      <c r="E19" s="283">
        <f>MCF!R18</f>
        <v>0.8</v>
      </c>
      <c r="F19" s="130">
        <f t="shared" ref="F19:F50" si="0">C19*D19*$K$6*DOCF*E19</f>
        <v>1.7125422067670398E-2</v>
      </c>
      <c r="G19" s="65">
        <f t="shared" ref="G19:G82" si="1">F19*$K$12</f>
        <v>1.7125422067670398E-2</v>
      </c>
      <c r="H19" s="65">
        <f t="shared" ref="H19:H82" si="2">F19*(1-$K$12)</f>
        <v>0</v>
      </c>
      <c r="I19" s="65">
        <f t="shared" ref="I19:I82" si="3">G19+I18*$K$10</f>
        <v>1.7125422067670398E-2</v>
      </c>
      <c r="J19" s="65">
        <f t="shared" ref="J19:J82" si="4">I18*(1-$K$10)+H19</f>
        <v>0</v>
      </c>
      <c r="K19" s="66">
        <f>J19*CH4_fraction*conv</f>
        <v>0</v>
      </c>
      <c r="O19" s="95">
        <f>Amnt_Deposited!B14</f>
        <v>2000</v>
      </c>
      <c r="P19" s="98">
        <f>Amnt_Deposited!H14</f>
        <v>0.195495685704</v>
      </c>
      <c r="Q19" s="283">
        <f>MCF!R18</f>
        <v>0.8</v>
      </c>
      <c r="R19" s="130">
        <f t="shared" ref="R19:R50" si="5">P19*$W$6*DOCF*Q19</f>
        <v>1.8767585827584001E-2</v>
      </c>
      <c r="S19" s="65">
        <f>R19*$W$12</f>
        <v>1.8767585827584001E-2</v>
      </c>
      <c r="T19" s="65">
        <f>R19*(1-$W$12)</f>
        <v>0</v>
      </c>
      <c r="U19" s="65">
        <f>S19+U18*$W$10</f>
        <v>1.8767585827584001E-2</v>
      </c>
      <c r="V19" s="65">
        <f>U18*(1-$W$10)+T19</f>
        <v>0</v>
      </c>
      <c r="W19" s="66">
        <f>V19*CH4_fraction*conv</f>
        <v>0</v>
      </c>
    </row>
    <row r="20" spans="2:23">
      <c r="B20" s="96">
        <f>Amnt_Deposited!B15</f>
        <v>2001</v>
      </c>
      <c r="C20" s="99">
        <f>Amnt_Deposited!H15</f>
        <v>0.20634083791199997</v>
      </c>
      <c r="D20" s="418">
        <f>Dry_Matter_Content!H7</f>
        <v>0.73</v>
      </c>
      <c r="E20" s="284">
        <f>MCF!R19</f>
        <v>0.8</v>
      </c>
      <c r="F20" s="67">
        <f t="shared" si="0"/>
        <v>1.8075457401091198E-2</v>
      </c>
      <c r="G20" s="67">
        <f t="shared" si="1"/>
        <v>1.8075457401091198E-2</v>
      </c>
      <c r="H20" s="67">
        <f t="shared" si="2"/>
        <v>0</v>
      </c>
      <c r="I20" s="67">
        <f t="shared" si="3"/>
        <v>3.4043095100268025E-2</v>
      </c>
      <c r="J20" s="67">
        <f t="shared" si="4"/>
        <v>1.1577843684935727E-3</v>
      </c>
      <c r="K20" s="100">
        <f>J20*CH4_fraction*conv</f>
        <v>7.7185624566238173E-4</v>
      </c>
      <c r="M20" s="393"/>
      <c r="O20" s="96">
        <f>Amnt_Deposited!B15</f>
        <v>2001</v>
      </c>
      <c r="P20" s="99">
        <f>Amnt_Deposited!H15</f>
        <v>0.20634083791199997</v>
      </c>
      <c r="Q20" s="284">
        <f>MCF!R19</f>
        <v>0.8</v>
      </c>
      <c r="R20" s="67">
        <f t="shared" si="5"/>
        <v>1.9808720439551997E-2</v>
      </c>
      <c r="S20" s="67">
        <f>R20*$W$12</f>
        <v>1.9808720439551997E-2</v>
      </c>
      <c r="T20" s="67">
        <f>R20*(1-$W$12)</f>
        <v>0</v>
      </c>
      <c r="U20" s="67">
        <f>S20+U19*$W$10</f>
        <v>3.7307501479745778E-2</v>
      </c>
      <c r="V20" s="67">
        <f>U19*(1-$W$10)+T20</f>
        <v>1.2688047873902167E-3</v>
      </c>
      <c r="W20" s="100">
        <f>V20*CH4_fraction*conv</f>
        <v>8.4586985826014445E-4</v>
      </c>
    </row>
    <row r="21" spans="2:23">
      <c r="B21" s="96">
        <f>Amnt_Deposited!B16</f>
        <v>2002</v>
      </c>
      <c r="C21" s="99">
        <f>Amnt_Deposited!H16</f>
        <v>0.21801485534400003</v>
      </c>
      <c r="D21" s="418">
        <f>Dry_Matter_Content!H8</f>
        <v>0.73</v>
      </c>
      <c r="E21" s="284">
        <f>MCF!R20</f>
        <v>0.8</v>
      </c>
      <c r="F21" s="67">
        <f t="shared" si="0"/>
        <v>1.9098101328134401E-2</v>
      </c>
      <c r="G21" s="67">
        <f t="shared" si="1"/>
        <v>1.9098101328134401E-2</v>
      </c>
      <c r="H21" s="67">
        <f t="shared" si="2"/>
        <v>0</v>
      </c>
      <c r="I21" s="67">
        <f t="shared" si="3"/>
        <v>5.0839672810094778E-2</v>
      </c>
      <c r="J21" s="67">
        <f t="shared" si="4"/>
        <v>2.3015236183076501E-3</v>
      </c>
      <c r="K21" s="100">
        <f t="shared" ref="K21:K84" si="6">J21*CH4_fraction*conv</f>
        <v>1.5343490788717667E-3</v>
      </c>
      <c r="O21" s="96">
        <f>Amnt_Deposited!B16</f>
        <v>2002</v>
      </c>
      <c r="P21" s="99">
        <f>Amnt_Deposited!H16</f>
        <v>0.21801485534400003</v>
      </c>
      <c r="Q21" s="284">
        <f>MCF!R20</f>
        <v>0.8</v>
      </c>
      <c r="R21" s="67">
        <f t="shared" si="5"/>
        <v>2.0929426113024004E-2</v>
      </c>
      <c r="S21" s="67">
        <f t="shared" ref="S21:S84" si="7">R21*$W$12</f>
        <v>2.0929426113024004E-2</v>
      </c>
      <c r="T21" s="67">
        <f t="shared" ref="T21:T84" si="8">R21*(1-$W$12)</f>
        <v>0</v>
      </c>
      <c r="U21" s="67">
        <f t="shared" ref="U21:U84" si="9">S21+U20*$W$10</f>
        <v>5.5714709928870981E-2</v>
      </c>
      <c r="V21" s="67">
        <f t="shared" ref="V21:V84" si="10">U20*(1-$W$10)+T21</f>
        <v>2.5222176638987942E-3</v>
      </c>
      <c r="W21" s="100">
        <f t="shared" ref="W21:W84" si="11">V21*CH4_fraction*conv</f>
        <v>1.6814784425991961E-3</v>
      </c>
    </row>
    <row r="22" spans="2:23">
      <c r="B22" s="96">
        <f>Amnt_Deposited!B17</f>
        <v>2003</v>
      </c>
      <c r="C22" s="99">
        <f>Amnt_Deposited!H17</f>
        <v>0.222006057768</v>
      </c>
      <c r="D22" s="418">
        <f>Dry_Matter_Content!H9</f>
        <v>0.73</v>
      </c>
      <c r="E22" s="284">
        <f>MCF!R21</f>
        <v>0.8</v>
      </c>
      <c r="F22" s="67">
        <f t="shared" si="0"/>
        <v>1.9447730660476798E-2</v>
      </c>
      <c r="G22" s="67">
        <f t="shared" si="1"/>
        <v>1.9447730660476798E-2</v>
      </c>
      <c r="H22" s="67">
        <f t="shared" si="2"/>
        <v>0</v>
      </c>
      <c r="I22" s="67">
        <f t="shared" si="3"/>
        <v>6.6850327394649647E-2</v>
      </c>
      <c r="J22" s="67">
        <f t="shared" si="4"/>
        <v>3.4370760759219322E-3</v>
      </c>
      <c r="K22" s="100">
        <f t="shared" si="6"/>
        <v>2.2913840506146215E-3</v>
      </c>
      <c r="N22" s="258"/>
      <c r="O22" s="96">
        <f>Amnt_Deposited!B17</f>
        <v>2003</v>
      </c>
      <c r="P22" s="99">
        <f>Amnt_Deposited!H17</f>
        <v>0.222006057768</v>
      </c>
      <c r="Q22" s="284">
        <f>MCF!R21</f>
        <v>0.8</v>
      </c>
      <c r="R22" s="67">
        <f t="shared" si="5"/>
        <v>2.1312581545728002E-2</v>
      </c>
      <c r="S22" s="67">
        <f t="shared" si="7"/>
        <v>2.1312581545728002E-2</v>
      </c>
      <c r="T22" s="67">
        <f t="shared" si="8"/>
        <v>0</v>
      </c>
      <c r="U22" s="67">
        <f t="shared" si="9"/>
        <v>7.3260632761259881E-2</v>
      </c>
      <c r="V22" s="67">
        <f t="shared" si="10"/>
        <v>3.7666587133391035E-3</v>
      </c>
      <c r="W22" s="100">
        <f t="shared" si="11"/>
        <v>2.5111058088927354E-3</v>
      </c>
    </row>
    <row r="23" spans="2:23">
      <c r="B23" s="96">
        <f>Amnt_Deposited!B18</f>
        <v>2004</v>
      </c>
      <c r="C23" s="99">
        <f>Amnt_Deposited!H18</f>
        <v>0.23423098762799999</v>
      </c>
      <c r="D23" s="418">
        <f>Dry_Matter_Content!H10</f>
        <v>0.73</v>
      </c>
      <c r="E23" s="284">
        <f>MCF!R22</f>
        <v>0.8</v>
      </c>
      <c r="F23" s="67">
        <f t="shared" si="0"/>
        <v>2.0518634516212799E-2</v>
      </c>
      <c r="G23" s="67">
        <f t="shared" si="1"/>
        <v>2.0518634516212799E-2</v>
      </c>
      <c r="H23" s="67">
        <f t="shared" si="2"/>
        <v>0</v>
      </c>
      <c r="I23" s="67">
        <f t="shared" si="3"/>
        <v>8.2849466637673438E-2</v>
      </c>
      <c r="J23" s="67">
        <f t="shared" si="4"/>
        <v>4.5194952731890036E-3</v>
      </c>
      <c r="K23" s="100">
        <f t="shared" si="6"/>
        <v>3.012996848792669E-3</v>
      </c>
      <c r="N23" s="258"/>
      <c r="O23" s="96">
        <f>Amnt_Deposited!B18</f>
        <v>2004</v>
      </c>
      <c r="P23" s="99">
        <f>Amnt_Deposited!H18</f>
        <v>0.23423098762799999</v>
      </c>
      <c r="Q23" s="284">
        <f>MCF!R22</f>
        <v>0.8</v>
      </c>
      <c r="R23" s="67">
        <f t="shared" si="5"/>
        <v>2.2486174812287998E-2</v>
      </c>
      <c r="S23" s="67">
        <f t="shared" si="7"/>
        <v>2.2486174812287998E-2</v>
      </c>
      <c r="T23" s="67">
        <f t="shared" si="8"/>
        <v>0</v>
      </c>
      <c r="U23" s="67">
        <f t="shared" si="9"/>
        <v>9.0793936041285953E-2</v>
      </c>
      <c r="V23" s="67">
        <f t="shared" si="10"/>
        <v>4.9528715322619214E-3</v>
      </c>
      <c r="W23" s="100">
        <f t="shared" si="11"/>
        <v>3.3019143548412809E-3</v>
      </c>
    </row>
    <row r="24" spans="2:23">
      <c r="B24" s="96">
        <f>Amnt_Deposited!B19</f>
        <v>2005</v>
      </c>
      <c r="C24" s="99">
        <f>Amnt_Deposited!H19</f>
        <v>0.25107625857600002</v>
      </c>
      <c r="D24" s="418">
        <f>Dry_Matter_Content!H11</f>
        <v>0.73</v>
      </c>
      <c r="E24" s="284">
        <f>MCF!R23</f>
        <v>0.8</v>
      </c>
      <c r="F24" s="67">
        <f t="shared" si="0"/>
        <v>2.1994280251257603E-2</v>
      </c>
      <c r="G24" s="67">
        <f t="shared" si="1"/>
        <v>2.1994280251257603E-2</v>
      </c>
      <c r="H24" s="67">
        <f t="shared" si="2"/>
        <v>0</v>
      </c>
      <c r="I24" s="67">
        <f t="shared" si="3"/>
        <v>9.9242610926728356E-2</v>
      </c>
      <c r="J24" s="67">
        <f t="shared" si="4"/>
        <v>5.6011359622026805E-3</v>
      </c>
      <c r="K24" s="100">
        <f t="shared" si="6"/>
        <v>3.7340906414684537E-3</v>
      </c>
      <c r="N24" s="258"/>
      <c r="O24" s="96">
        <f>Amnt_Deposited!B19</f>
        <v>2005</v>
      </c>
      <c r="P24" s="99">
        <f>Amnt_Deposited!H19</f>
        <v>0.25107625857600002</v>
      </c>
      <c r="Q24" s="284">
        <f>MCF!R23</f>
        <v>0.8</v>
      </c>
      <c r="R24" s="67">
        <f t="shared" si="5"/>
        <v>2.4103320823296002E-2</v>
      </c>
      <c r="S24" s="67">
        <f t="shared" si="7"/>
        <v>2.4103320823296002E-2</v>
      </c>
      <c r="T24" s="67">
        <f t="shared" si="8"/>
        <v>0</v>
      </c>
      <c r="U24" s="67">
        <f t="shared" si="9"/>
        <v>0.10875902567312695</v>
      </c>
      <c r="V24" s="67">
        <f t="shared" si="10"/>
        <v>6.1382311914549917E-3</v>
      </c>
      <c r="W24" s="100">
        <f t="shared" si="11"/>
        <v>4.0921541276366605E-3</v>
      </c>
    </row>
    <row r="25" spans="2:23">
      <c r="B25" s="96">
        <f>Amnt_Deposited!B20</f>
        <v>2006</v>
      </c>
      <c r="C25" s="99">
        <f>Amnt_Deposited!H20</f>
        <v>0.26129393650799998</v>
      </c>
      <c r="D25" s="418">
        <f>Dry_Matter_Content!H12</f>
        <v>0.73</v>
      </c>
      <c r="E25" s="284">
        <f>MCF!R24</f>
        <v>0.8</v>
      </c>
      <c r="F25" s="67">
        <f t="shared" si="0"/>
        <v>2.2889348838100801E-2</v>
      </c>
      <c r="G25" s="67">
        <f t="shared" si="1"/>
        <v>2.2889348838100801E-2</v>
      </c>
      <c r="H25" s="67">
        <f t="shared" si="2"/>
        <v>0</v>
      </c>
      <c r="I25" s="67">
        <f t="shared" si="3"/>
        <v>0.11542254593751286</v>
      </c>
      <c r="J25" s="67">
        <f t="shared" si="4"/>
        <v>6.7094138273163031E-3</v>
      </c>
      <c r="K25" s="100">
        <f t="shared" si="6"/>
        <v>4.4729425515442015E-3</v>
      </c>
      <c r="N25" s="258"/>
      <c r="O25" s="96">
        <f>Amnt_Deposited!B20</f>
        <v>2006</v>
      </c>
      <c r="P25" s="99">
        <f>Amnt_Deposited!H20</f>
        <v>0.26129393650799998</v>
      </c>
      <c r="Q25" s="284">
        <f>MCF!R24</f>
        <v>0.8</v>
      </c>
      <c r="R25" s="67">
        <f t="shared" si="5"/>
        <v>2.5084217904767999E-2</v>
      </c>
      <c r="S25" s="67">
        <f t="shared" si="7"/>
        <v>2.5084217904767999E-2</v>
      </c>
      <c r="T25" s="67">
        <f t="shared" si="8"/>
        <v>0</v>
      </c>
      <c r="U25" s="67">
        <f t="shared" si="9"/>
        <v>0.12649046130138394</v>
      </c>
      <c r="V25" s="67">
        <f t="shared" si="10"/>
        <v>7.3527822765110159E-3</v>
      </c>
      <c r="W25" s="100">
        <f t="shared" si="11"/>
        <v>4.9018548510073433E-3</v>
      </c>
    </row>
    <row r="26" spans="2:23">
      <c r="B26" s="96">
        <f>Amnt_Deposited!B21</f>
        <v>2007</v>
      </c>
      <c r="C26" s="99">
        <f>Amnt_Deposited!H21</f>
        <v>0.27180953989200002</v>
      </c>
      <c r="D26" s="418">
        <f>Dry_Matter_Content!H13</f>
        <v>0.73</v>
      </c>
      <c r="E26" s="284">
        <f>MCF!R25</f>
        <v>0.8</v>
      </c>
      <c r="F26" s="67">
        <f t="shared" si="0"/>
        <v>2.3810515694539201E-2</v>
      </c>
      <c r="G26" s="67">
        <f t="shared" si="1"/>
        <v>2.3810515694539201E-2</v>
      </c>
      <c r="H26" s="67">
        <f t="shared" si="2"/>
        <v>0</v>
      </c>
      <c r="I26" s="67">
        <f t="shared" si="3"/>
        <v>0.13142978420448662</v>
      </c>
      <c r="J26" s="67">
        <f t="shared" si="4"/>
        <v>7.8032774275654526E-3</v>
      </c>
      <c r="K26" s="100">
        <f t="shared" si="6"/>
        <v>5.2021849517103012E-3</v>
      </c>
      <c r="N26" s="258"/>
      <c r="O26" s="96">
        <f>Amnt_Deposited!B21</f>
        <v>2007</v>
      </c>
      <c r="P26" s="99">
        <f>Amnt_Deposited!H21</f>
        <v>0.27180953989200002</v>
      </c>
      <c r="Q26" s="284">
        <f>MCF!R25</f>
        <v>0.8</v>
      </c>
      <c r="R26" s="67">
        <f t="shared" si="5"/>
        <v>2.6093715829632005E-2</v>
      </c>
      <c r="S26" s="67">
        <f t="shared" si="7"/>
        <v>2.6093715829632005E-2</v>
      </c>
      <c r="T26" s="67">
        <f t="shared" si="8"/>
        <v>0</v>
      </c>
      <c r="U26" s="67">
        <f t="shared" si="9"/>
        <v>0.1440326402240949</v>
      </c>
      <c r="V26" s="67">
        <f t="shared" si="10"/>
        <v>8.5515369069210437E-3</v>
      </c>
      <c r="W26" s="100">
        <f t="shared" si="11"/>
        <v>5.7010246046140288E-3</v>
      </c>
    </row>
    <row r="27" spans="2:23">
      <c r="B27" s="96">
        <f>Amnt_Deposited!B22</f>
        <v>2008</v>
      </c>
      <c r="C27" s="99">
        <f>Amnt_Deposited!H22</f>
        <v>0.28260143168399998</v>
      </c>
      <c r="D27" s="418">
        <f>Dry_Matter_Content!H14</f>
        <v>0.73</v>
      </c>
      <c r="E27" s="284">
        <f>MCF!R26</f>
        <v>0.8</v>
      </c>
      <c r="F27" s="67">
        <f t="shared" si="0"/>
        <v>2.4755885415518399E-2</v>
      </c>
      <c r="G27" s="67">
        <f t="shared" si="1"/>
        <v>2.4755885415518399E-2</v>
      </c>
      <c r="H27" s="67">
        <f t="shared" si="2"/>
        <v>0</v>
      </c>
      <c r="I27" s="67">
        <f t="shared" si="3"/>
        <v>0.14730020395935414</v>
      </c>
      <c r="J27" s="67">
        <f t="shared" si="4"/>
        <v>8.8854656606508764E-3</v>
      </c>
      <c r="K27" s="100">
        <f t="shared" si="6"/>
        <v>5.9236437737672509E-3</v>
      </c>
      <c r="N27" s="258"/>
      <c r="O27" s="96">
        <f>Amnt_Deposited!B22</f>
        <v>2008</v>
      </c>
      <c r="P27" s="99">
        <f>Amnt_Deposited!H22</f>
        <v>0.28260143168399998</v>
      </c>
      <c r="Q27" s="284">
        <f>MCF!R26</f>
        <v>0.8</v>
      </c>
      <c r="R27" s="67">
        <f t="shared" si="5"/>
        <v>2.7129737441663998E-2</v>
      </c>
      <c r="S27" s="67">
        <f t="shared" si="7"/>
        <v>2.7129737441663998E-2</v>
      </c>
      <c r="T27" s="67">
        <f t="shared" si="8"/>
        <v>0</v>
      </c>
      <c r="U27" s="67">
        <f t="shared" si="9"/>
        <v>0.16142488105134697</v>
      </c>
      <c r="V27" s="67">
        <f t="shared" si="10"/>
        <v>9.7374966144119189E-3</v>
      </c>
      <c r="W27" s="100">
        <f t="shared" si="11"/>
        <v>6.4916644096079459E-3</v>
      </c>
    </row>
    <row r="28" spans="2:23">
      <c r="B28" s="96">
        <f>Amnt_Deposited!B23</f>
        <v>2009</v>
      </c>
      <c r="C28" s="99">
        <f>Amnt_Deposited!H23</f>
        <v>0.293634659736</v>
      </c>
      <c r="D28" s="418">
        <f>Dry_Matter_Content!H15</f>
        <v>0.73</v>
      </c>
      <c r="E28" s="284">
        <f>MCF!R27</f>
        <v>0.8</v>
      </c>
      <c r="F28" s="67">
        <f t="shared" si="0"/>
        <v>2.5722396192873601E-2</v>
      </c>
      <c r="G28" s="67">
        <f t="shared" si="1"/>
        <v>2.5722396192873601E-2</v>
      </c>
      <c r="H28" s="67">
        <f t="shared" si="2"/>
        <v>0</v>
      </c>
      <c r="I28" s="67">
        <f t="shared" si="3"/>
        <v>0.16306419603546107</v>
      </c>
      <c r="J28" s="67">
        <f t="shared" si="4"/>
        <v>9.9584041167666473E-3</v>
      </c>
      <c r="K28" s="100">
        <f t="shared" si="6"/>
        <v>6.6389360778444312E-3</v>
      </c>
      <c r="N28" s="258"/>
      <c r="O28" s="96">
        <f>Amnt_Deposited!B23</f>
        <v>2009</v>
      </c>
      <c r="P28" s="99">
        <f>Amnt_Deposited!H23</f>
        <v>0.293634659736</v>
      </c>
      <c r="Q28" s="284">
        <f>MCF!R27</f>
        <v>0.8</v>
      </c>
      <c r="R28" s="67">
        <f t="shared" si="5"/>
        <v>2.8188927334656E-2</v>
      </c>
      <c r="S28" s="67">
        <f t="shared" si="7"/>
        <v>2.8188927334656E-2</v>
      </c>
      <c r="T28" s="67">
        <f t="shared" si="8"/>
        <v>0</v>
      </c>
      <c r="U28" s="67">
        <f t="shared" si="9"/>
        <v>0.17870048880598474</v>
      </c>
      <c r="V28" s="67">
        <f t="shared" si="10"/>
        <v>1.0913319580018241E-2</v>
      </c>
      <c r="W28" s="100">
        <f t="shared" si="11"/>
        <v>7.2755463866788269E-3</v>
      </c>
    </row>
    <row r="29" spans="2:23">
      <c r="B29" s="96">
        <f>Amnt_Deposited!B24</f>
        <v>2010</v>
      </c>
      <c r="C29" s="99">
        <f>Amnt_Deposited!H24</f>
        <v>0.29805693865199995</v>
      </c>
      <c r="D29" s="418">
        <f>Dry_Matter_Content!H16</f>
        <v>0.73</v>
      </c>
      <c r="E29" s="284">
        <f>MCF!R28</f>
        <v>0.8</v>
      </c>
      <c r="F29" s="67">
        <f t="shared" si="0"/>
        <v>2.6109787825915193E-2</v>
      </c>
      <c r="G29" s="67">
        <f t="shared" si="1"/>
        <v>2.6109787825915193E-2</v>
      </c>
      <c r="H29" s="67">
        <f t="shared" si="2"/>
        <v>0</v>
      </c>
      <c r="I29" s="67">
        <f t="shared" si="3"/>
        <v>0.17814983645731114</v>
      </c>
      <c r="J29" s="67">
        <f t="shared" si="4"/>
        <v>1.1024147404065137E-2</v>
      </c>
      <c r="K29" s="100">
        <f t="shared" si="6"/>
        <v>7.3494316027100911E-3</v>
      </c>
      <c r="O29" s="96">
        <f>Amnt_Deposited!B24</f>
        <v>2010</v>
      </c>
      <c r="P29" s="99">
        <f>Amnt_Deposited!H24</f>
        <v>0.29805693865199995</v>
      </c>
      <c r="Q29" s="284">
        <f>MCF!R28</f>
        <v>0.8</v>
      </c>
      <c r="R29" s="67">
        <f t="shared" si="5"/>
        <v>2.8613466110591998E-2</v>
      </c>
      <c r="S29" s="67">
        <f t="shared" si="7"/>
        <v>2.8613466110591998E-2</v>
      </c>
      <c r="T29" s="67">
        <f t="shared" si="8"/>
        <v>0</v>
      </c>
      <c r="U29" s="67">
        <f t="shared" si="9"/>
        <v>0.19523269748746425</v>
      </c>
      <c r="V29" s="67">
        <f t="shared" si="10"/>
        <v>1.208125742911248E-2</v>
      </c>
      <c r="W29" s="100">
        <f t="shared" si="11"/>
        <v>8.0541716194083186E-3</v>
      </c>
    </row>
    <row r="30" spans="2:23">
      <c r="B30" s="96">
        <f>Amnt_Deposited!B25</f>
        <v>2011</v>
      </c>
      <c r="C30" s="99">
        <f>Amnt_Deposited!H25</f>
        <v>0.28141169688000006</v>
      </c>
      <c r="D30" s="418">
        <f>Dry_Matter_Content!H17</f>
        <v>0.73</v>
      </c>
      <c r="E30" s="284">
        <f>MCF!R29</f>
        <v>0.8</v>
      </c>
      <c r="F30" s="67">
        <f t="shared" si="0"/>
        <v>2.4651664646688005E-2</v>
      </c>
      <c r="G30" s="67">
        <f t="shared" si="1"/>
        <v>2.4651664646688005E-2</v>
      </c>
      <c r="H30" s="67">
        <f t="shared" si="2"/>
        <v>0</v>
      </c>
      <c r="I30" s="67">
        <f t="shared" si="3"/>
        <v>0.1907574711767403</v>
      </c>
      <c r="J30" s="67">
        <f t="shared" si="4"/>
        <v>1.2044029927258839E-2</v>
      </c>
      <c r="K30" s="100">
        <f t="shared" si="6"/>
        <v>8.0293532848392246E-3</v>
      </c>
      <c r="O30" s="96">
        <f>Amnt_Deposited!B25</f>
        <v>2011</v>
      </c>
      <c r="P30" s="99">
        <f>Amnt_Deposited!H25</f>
        <v>0.28141169688000006</v>
      </c>
      <c r="Q30" s="284">
        <f>MCF!R29</f>
        <v>0.8</v>
      </c>
      <c r="R30" s="67">
        <f t="shared" si="5"/>
        <v>2.7015522900480007E-2</v>
      </c>
      <c r="S30" s="67">
        <f t="shared" si="7"/>
        <v>2.7015522900480007E-2</v>
      </c>
      <c r="T30" s="67">
        <f t="shared" si="8"/>
        <v>0</v>
      </c>
      <c r="U30" s="67">
        <f t="shared" si="9"/>
        <v>0.20904928348135923</v>
      </c>
      <c r="V30" s="67">
        <f t="shared" si="10"/>
        <v>1.3198936906585027E-2</v>
      </c>
      <c r="W30" s="100">
        <f t="shared" si="11"/>
        <v>8.7992912710566848E-3</v>
      </c>
    </row>
    <row r="31" spans="2:23">
      <c r="B31" s="96">
        <f>Amnt_Deposited!B26</f>
        <v>2012</v>
      </c>
      <c r="C31" s="99">
        <f>Amnt_Deposited!H26</f>
        <v>0.28986981408000001</v>
      </c>
      <c r="D31" s="418">
        <f>Dry_Matter_Content!H18</f>
        <v>0.73</v>
      </c>
      <c r="E31" s="284">
        <f>MCF!R30</f>
        <v>0.8</v>
      </c>
      <c r="F31" s="67">
        <f t="shared" si="0"/>
        <v>2.5392595713408003E-2</v>
      </c>
      <c r="G31" s="67">
        <f t="shared" si="1"/>
        <v>2.5392595713408003E-2</v>
      </c>
      <c r="H31" s="67">
        <f t="shared" si="2"/>
        <v>0</v>
      </c>
      <c r="I31" s="67">
        <f t="shared" si="3"/>
        <v>0.2032536829394877</v>
      </c>
      <c r="J31" s="67">
        <f t="shared" si="4"/>
        <v>1.2896383950660586E-2</v>
      </c>
      <c r="K31" s="100">
        <f t="shared" si="6"/>
        <v>8.5975893004403905E-3</v>
      </c>
      <c r="O31" s="96">
        <f>Amnt_Deposited!B26</f>
        <v>2012</v>
      </c>
      <c r="P31" s="99">
        <f>Amnt_Deposited!H26</f>
        <v>0.28986981408000001</v>
      </c>
      <c r="Q31" s="284">
        <f>MCF!R30</f>
        <v>0.8</v>
      </c>
      <c r="R31" s="67">
        <f t="shared" si="5"/>
        <v>2.7827502151680002E-2</v>
      </c>
      <c r="S31" s="67">
        <f t="shared" si="7"/>
        <v>2.7827502151680002E-2</v>
      </c>
      <c r="T31" s="67">
        <f t="shared" si="8"/>
        <v>0</v>
      </c>
      <c r="U31" s="67">
        <f t="shared" si="9"/>
        <v>0.22274376212546598</v>
      </c>
      <c r="V31" s="67">
        <f t="shared" si="10"/>
        <v>1.4133023507573245E-2</v>
      </c>
      <c r="W31" s="100">
        <f t="shared" si="11"/>
        <v>9.4220156717154963E-3</v>
      </c>
    </row>
    <row r="32" spans="2:23">
      <c r="B32" s="96">
        <f>Amnt_Deposited!B27</f>
        <v>2013</v>
      </c>
      <c r="C32" s="99">
        <f>Amnt_Deposited!H27</f>
        <v>0.29866383504000005</v>
      </c>
      <c r="D32" s="418">
        <f>Dry_Matter_Content!H19</f>
        <v>0.73</v>
      </c>
      <c r="E32" s="284">
        <f>MCF!R31</f>
        <v>0.8</v>
      </c>
      <c r="F32" s="67">
        <f t="shared" si="0"/>
        <v>2.6162951949504007E-2</v>
      </c>
      <c r="G32" s="67">
        <f t="shared" si="1"/>
        <v>2.6162951949504007E-2</v>
      </c>
      <c r="H32" s="67">
        <f t="shared" si="2"/>
        <v>0</v>
      </c>
      <c r="I32" s="67">
        <f t="shared" si="3"/>
        <v>0.21567542979540544</v>
      </c>
      <c r="J32" s="67">
        <f t="shared" si="4"/>
        <v>1.3741205093586294E-2</v>
      </c>
      <c r="K32" s="100">
        <f t="shared" si="6"/>
        <v>9.1608033957241951E-3</v>
      </c>
      <c r="O32" s="96">
        <f>Amnt_Deposited!B27</f>
        <v>2013</v>
      </c>
      <c r="P32" s="99">
        <f>Amnt_Deposited!H27</f>
        <v>0.29866383504000005</v>
      </c>
      <c r="Q32" s="284">
        <f>MCF!R31</f>
        <v>0.8</v>
      </c>
      <c r="R32" s="67">
        <f t="shared" si="5"/>
        <v>2.8671728163840005E-2</v>
      </c>
      <c r="S32" s="67">
        <f t="shared" si="7"/>
        <v>2.8671728163840005E-2</v>
      </c>
      <c r="T32" s="67">
        <f t="shared" si="8"/>
        <v>0</v>
      </c>
      <c r="U32" s="67">
        <f t="shared" si="9"/>
        <v>0.23635663539222512</v>
      </c>
      <c r="V32" s="67">
        <f t="shared" si="10"/>
        <v>1.5058854897080871E-2</v>
      </c>
      <c r="W32" s="100">
        <f t="shared" si="11"/>
        <v>1.0039236598053914E-2</v>
      </c>
    </row>
    <row r="33" spans="2:23">
      <c r="B33" s="96">
        <f>Amnt_Deposited!B28</f>
        <v>2014</v>
      </c>
      <c r="C33" s="99">
        <f>Amnt_Deposited!H28</f>
        <v>0.30749265683999999</v>
      </c>
      <c r="D33" s="418">
        <f>Dry_Matter_Content!H20</f>
        <v>0.73</v>
      </c>
      <c r="E33" s="284">
        <f>MCF!R32</f>
        <v>0.8</v>
      </c>
      <c r="F33" s="67">
        <f t="shared" si="0"/>
        <v>2.6936356739184E-2</v>
      </c>
      <c r="G33" s="67">
        <f t="shared" si="1"/>
        <v>2.6936356739184E-2</v>
      </c>
      <c r="H33" s="67">
        <f t="shared" si="2"/>
        <v>0</v>
      </c>
      <c r="I33" s="67">
        <f t="shared" si="3"/>
        <v>0.22803079458597925</v>
      </c>
      <c r="J33" s="67">
        <f t="shared" si="4"/>
        <v>1.458099194861019E-2</v>
      </c>
      <c r="K33" s="100">
        <f t="shared" si="6"/>
        <v>9.7206612990734589E-3</v>
      </c>
      <c r="O33" s="96">
        <f>Amnt_Deposited!B28</f>
        <v>2014</v>
      </c>
      <c r="P33" s="99">
        <f>Amnt_Deposited!H28</f>
        <v>0.30749265683999999</v>
      </c>
      <c r="Q33" s="284">
        <f>MCF!R32</f>
        <v>0.8</v>
      </c>
      <c r="R33" s="67">
        <f t="shared" si="5"/>
        <v>2.9519295056639999E-2</v>
      </c>
      <c r="S33" s="67">
        <f t="shared" si="7"/>
        <v>2.9519295056639999E-2</v>
      </c>
      <c r="T33" s="67">
        <f t="shared" si="8"/>
        <v>0</v>
      </c>
      <c r="U33" s="67">
        <f t="shared" si="9"/>
        <v>0.24989676119011422</v>
      </c>
      <c r="V33" s="67">
        <f t="shared" si="10"/>
        <v>1.597916925875089E-2</v>
      </c>
      <c r="W33" s="100">
        <f t="shared" si="11"/>
        <v>1.0652779505833926E-2</v>
      </c>
    </row>
    <row r="34" spans="2:23">
      <c r="B34" s="96">
        <f>Amnt_Deposited!B29</f>
        <v>2015</v>
      </c>
      <c r="C34" s="99">
        <f>Amnt_Deposited!H29</f>
        <v>0.31607182044000004</v>
      </c>
      <c r="D34" s="418">
        <f>Dry_Matter_Content!H21</f>
        <v>0.73</v>
      </c>
      <c r="E34" s="284">
        <f>MCF!R33</f>
        <v>0.8</v>
      </c>
      <c r="F34" s="67">
        <f t="shared" si="0"/>
        <v>2.7687891470544002E-2</v>
      </c>
      <c r="G34" s="67">
        <f t="shared" si="1"/>
        <v>2.7687891470544002E-2</v>
      </c>
      <c r="H34" s="67">
        <f t="shared" si="2"/>
        <v>0</v>
      </c>
      <c r="I34" s="67">
        <f t="shared" si="3"/>
        <v>0.24030239509075382</v>
      </c>
      <c r="J34" s="67">
        <f t="shared" si="4"/>
        <v>1.5416290965769429E-2</v>
      </c>
      <c r="K34" s="100">
        <f t="shared" si="6"/>
        <v>1.0277527310512952E-2</v>
      </c>
      <c r="O34" s="96">
        <f>Amnt_Deposited!B29</f>
        <v>2015</v>
      </c>
      <c r="P34" s="99">
        <f>Amnt_Deposited!H29</f>
        <v>0.31607182044000004</v>
      </c>
      <c r="Q34" s="284">
        <f>MCF!R33</f>
        <v>0.8</v>
      </c>
      <c r="R34" s="67">
        <f t="shared" si="5"/>
        <v>3.0342894762240002E-2</v>
      </c>
      <c r="S34" s="67">
        <f t="shared" si="7"/>
        <v>3.0342894762240002E-2</v>
      </c>
      <c r="T34" s="67">
        <f t="shared" si="8"/>
        <v>0</v>
      </c>
      <c r="U34" s="67">
        <f t="shared" si="9"/>
        <v>0.2633450905104151</v>
      </c>
      <c r="V34" s="67">
        <f t="shared" si="10"/>
        <v>1.6894565441939097E-2</v>
      </c>
      <c r="W34" s="100">
        <f t="shared" si="11"/>
        <v>1.1263043627959397E-2</v>
      </c>
    </row>
    <row r="35" spans="2:23">
      <c r="B35" s="96">
        <f>Amnt_Deposited!B30</f>
        <v>2016</v>
      </c>
      <c r="C35" s="99">
        <f>Amnt_Deposited!H30</f>
        <v>0.32505195024000011</v>
      </c>
      <c r="D35" s="418">
        <f>Dry_Matter_Content!H22</f>
        <v>0.73</v>
      </c>
      <c r="E35" s="284">
        <f>MCF!R34</f>
        <v>0.8</v>
      </c>
      <c r="F35" s="67">
        <f t="shared" si="0"/>
        <v>2.8474550841024012E-2</v>
      </c>
      <c r="G35" s="67">
        <f t="shared" si="1"/>
        <v>2.8474550841024012E-2</v>
      </c>
      <c r="H35" s="67">
        <f t="shared" si="2"/>
        <v>0</v>
      </c>
      <c r="I35" s="67">
        <f t="shared" si="3"/>
        <v>0.25253101893224034</v>
      </c>
      <c r="J35" s="67">
        <f t="shared" si="4"/>
        <v>1.6245926999537474E-2</v>
      </c>
      <c r="K35" s="100">
        <f t="shared" si="6"/>
        <v>1.083061799969165E-2</v>
      </c>
      <c r="O35" s="96">
        <f>Amnt_Deposited!B30</f>
        <v>2016</v>
      </c>
      <c r="P35" s="99">
        <f>Amnt_Deposited!H30</f>
        <v>0.32505195024000011</v>
      </c>
      <c r="Q35" s="284">
        <f>MCF!R34</f>
        <v>0.8</v>
      </c>
      <c r="R35" s="67">
        <f t="shared" si="5"/>
        <v>3.120498722304001E-2</v>
      </c>
      <c r="S35" s="67">
        <f t="shared" si="7"/>
        <v>3.120498722304001E-2</v>
      </c>
      <c r="T35" s="67">
        <f t="shared" si="8"/>
        <v>0</v>
      </c>
      <c r="U35" s="67">
        <f t="shared" si="9"/>
        <v>0.27674632211752365</v>
      </c>
      <c r="V35" s="67">
        <f t="shared" si="10"/>
        <v>1.7803755615931477E-2</v>
      </c>
      <c r="W35" s="100">
        <f t="shared" si="11"/>
        <v>1.1869170410620983E-2</v>
      </c>
    </row>
    <row r="36" spans="2:23">
      <c r="B36" s="96">
        <f>Amnt_Deposited!B31</f>
        <v>2017</v>
      </c>
      <c r="C36" s="99">
        <f>Amnt_Deposited!H31</f>
        <v>0.33635647353600007</v>
      </c>
      <c r="D36" s="418">
        <f>Dry_Matter_Content!H23</f>
        <v>0.73</v>
      </c>
      <c r="E36" s="284">
        <f>MCF!R35</f>
        <v>0.8</v>
      </c>
      <c r="F36" s="67">
        <f t="shared" si="0"/>
        <v>2.9464827081753603E-2</v>
      </c>
      <c r="G36" s="67">
        <f t="shared" si="1"/>
        <v>2.9464827081753603E-2</v>
      </c>
      <c r="H36" s="67">
        <f t="shared" si="2"/>
        <v>0</v>
      </c>
      <c r="I36" s="67">
        <f t="shared" si="3"/>
        <v>0.26492318846872653</v>
      </c>
      <c r="J36" s="67">
        <f t="shared" si="4"/>
        <v>1.7072657545267426E-2</v>
      </c>
      <c r="K36" s="100">
        <f t="shared" si="6"/>
        <v>1.138177169684495E-2</v>
      </c>
      <c r="O36" s="96">
        <f>Amnt_Deposited!B31</f>
        <v>2017</v>
      </c>
      <c r="P36" s="99">
        <f>Amnt_Deposited!H31</f>
        <v>0.33635647353600007</v>
      </c>
      <c r="Q36" s="284">
        <f>MCF!R35</f>
        <v>0.8</v>
      </c>
      <c r="R36" s="67">
        <f t="shared" si="5"/>
        <v>3.2290221459456002E-2</v>
      </c>
      <c r="S36" s="67">
        <f t="shared" si="7"/>
        <v>3.2290221459456002E-2</v>
      </c>
      <c r="T36" s="67">
        <f t="shared" si="8"/>
        <v>0</v>
      </c>
      <c r="U36" s="67">
        <f t="shared" si="9"/>
        <v>0.29032678188353589</v>
      </c>
      <c r="V36" s="67">
        <f t="shared" si="10"/>
        <v>1.8709761693443756E-2</v>
      </c>
      <c r="W36" s="100">
        <f t="shared" si="11"/>
        <v>1.2473174462295837E-2</v>
      </c>
    </row>
    <row r="37" spans="2:23">
      <c r="B37" s="96">
        <f>Amnt_Deposited!B32</f>
        <v>2018</v>
      </c>
      <c r="C37" s="99">
        <f>Amnt_Deposited!H32</f>
        <v>0.34559216254799996</v>
      </c>
      <c r="D37" s="418">
        <f>Dry_Matter_Content!H24</f>
        <v>0.73</v>
      </c>
      <c r="E37" s="284">
        <f>MCF!R36</f>
        <v>0.8</v>
      </c>
      <c r="F37" s="67">
        <f t="shared" si="0"/>
        <v>3.027387343920479E-2</v>
      </c>
      <c r="G37" s="67">
        <f t="shared" si="1"/>
        <v>3.027387343920479E-2</v>
      </c>
      <c r="H37" s="67">
        <f t="shared" si="2"/>
        <v>0</v>
      </c>
      <c r="I37" s="67">
        <f t="shared" si="3"/>
        <v>0.27728661711722419</v>
      </c>
      <c r="J37" s="67">
        <f t="shared" si="4"/>
        <v>1.7910444790707133E-2</v>
      </c>
      <c r="K37" s="100">
        <f t="shared" si="6"/>
        <v>1.1940296527138088E-2</v>
      </c>
      <c r="O37" s="96">
        <f>Amnt_Deposited!B32</f>
        <v>2018</v>
      </c>
      <c r="P37" s="99">
        <f>Amnt_Deposited!H32</f>
        <v>0.34559216254799996</v>
      </c>
      <c r="Q37" s="284">
        <f>MCF!R36</f>
        <v>0.8</v>
      </c>
      <c r="R37" s="67">
        <f t="shared" si="5"/>
        <v>3.3176847604607998E-2</v>
      </c>
      <c r="S37" s="67">
        <f t="shared" si="7"/>
        <v>3.3176847604607998E-2</v>
      </c>
      <c r="T37" s="67">
        <f t="shared" si="8"/>
        <v>0</v>
      </c>
      <c r="U37" s="67">
        <f t="shared" si="9"/>
        <v>0.30387574478599905</v>
      </c>
      <c r="V37" s="67">
        <f t="shared" si="10"/>
        <v>1.9627884702144802E-2</v>
      </c>
      <c r="W37" s="100">
        <f t="shared" si="11"/>
        <v>1.3085256468096534E-2</v>
      </c>
    </row>
    <row r="38" spans="2:23">
      <c r="B38" s="96">
        <f>Amnt_Deposited!B33</f>
        <v>2019</v>
      </c>
      <c r="C38" s="99">
        <f>Amnt_Deposited!H33</f>
        <v>0.35482785156000002</v>
      </c>
      <c r="D38" s="418">
        <f>Dry_Matter_Content!H25</f>
        <v>0.73</v>
      </c>
      <c r="E38" s="284">
        <f>MCF!R37</f>
        <v>0.8</v>
      </c>
      <c r="F38" s="67">
        <f t="shared" si="0"/>
        <v>3.1082919796656002E-2</v>
      </c>
      <c r="G38" s="67">
        <f t="shared" si="1"/>
        <v>3.1082919796656002E-2</v>
      </c>
      <c r="H38" s="67">
        <f t="shared" si="2"/>
        <v>0</v>
      </c>
      <c r="I38" s="67">
        <f t="shared" si="3"/>
        <v>0.28962324793938277</v>
      </c>
      <c r="J38" s="67">
        <f t="shared" si="4"/>
        <v>1.8746288974497424E-2</v>
      </c>
      <c r="K38" s="100">
        <f t="shared" si="6"/>
        <v>1.2497525982998282E-2</v>
      </c>
      <c r="O38" s="96">
        <f>Amnt_Deposited!B33</f>
        <v>2019</v>
      </c>
      <c r="P38" s="99">
        <f>Amnt_Deposited!H33</f>
        <v>0.35482785156000002</v>
      </c>
      <c r="Q38" s="284">
        <f>MCF!R37</f>
        <v>0.8</v>
      </c>
      <c r="R38" s="67">
        <f t="shared" si="5"/>
        <v>3.4063473749760001E-2</v>
      </c>
      <c r="S38" s="67">
        <f t="shared" si="7"/>
        <v>3.4063473749760001E-2</v>
      </c>
      <c r="T38" s="67">
        <f t="shared" si="8"/>
        <v>0</v>
      </c>
      <c r="U38" s="67">
        <f t="shared" si="9"/>
        <v>0.31739534020754268</v>
      </c>
      <c r="V38" s="67">
        <f t="shared" si="10"/>
        <v>2.0543878328216351E-2</v>
      </c>
      <c r="W38" s="100">
        <f t="shared" si="11"/>
        <v>1.3695918885477568E-2</v>
      </c>
    </row>
    <row r="39" spans="2:23">
      <c r="B39" s="96">
        <f>Amnt_Deposited!B34</f>
        <v>2020</v>
      </c>
      <c r="C39" s="99">
        <f>Amnt_Deposited!H34</f>
        <v>0.36406354057199997</v>
      </c>
      <c r="D39" s="418">
        <f>Dry_Matter_Content!H26</f>
        <v>0.73</v>
      </c>
      <c r="E39" s="284">
        <f>MCF!R38</f>
        <v>0.8</v>
      </c>
      <c r="F39" s="67">
        <f t="shared" si="0"/>
        <v>3.1891966154107193E-2</v>
      </c>
      <c r="G39" s="67">
        <f t="shared" si="1"/>
        <v>3.1891966154107193E-2</v>
      </c>
      <c r="H39" s="67">
        <f t="shared" si="2"/>
        <v>0</v>
      </c>
      <c r="I39" s="67">
        <f t="shared" si="3"/>
        <v>0.30193489263387585</v>
      </c>
      <c r="J39" s="67">
        <f t="shared" si="4"/>
        <v>1.9580321459614108E-2</v>
      </c>
      <c r="K39" s="100">
        <f t="shared" si="6"/>
        <v>1.3053547639742738E-2</v>
      </c>
      <c r="O39" s="96">
        <f>Amnt_Deposited!B34</f>
        <v>2020</v>
      </c>
      <c r="P39" s="99">
        <f>Amnt_Deposited!H34</f>
        <v>0.36406354057199997</v>
      </c>
      <c r="Q39" s="284">
        <f>MCF!R38</f>
        <v>0.8</v>
      </c>
      <c r="R39" s="67">
        <f t="shared" si="5"/>
        <v>3.4950099894911997E-2</v>
      </c>
      <c r="S39" s="67">
        <f t="shared" si="7"/>
        <v>3.4950099894911997E-2</v>
      </c>
      <c r="T39" s="67">
        <f t="shared" si="8"/>
        <v>0</v>
      </c>
      <c r="U39" s="67">
        <f t="shared" si="9"/>
        <v>0.33088755357137073</v>
      </c>
      <c r="V39" s="67">
        <f t="shared" si="10"/>
        <v>2.1457886531083947E-2</v>
      </c>
      <c r="W39" s="100">
        <f t="shared" si="11"/>
        <v>1.4305257687389297E-2</v>
      </c>
    </row>
    <row r="40" spans="2:23">
      <c r="B40" s="96">
        <f>Amnt_Deposited!B35</f>
        <v>2021</v>
      </c>
      <c r="C40" s="99">
        <f>Amnt_Deposited!H35</f>
        <v>0.37329922958399997</v>
      </c>
      <c r="D40" s="418">
        <f>Dry_Matter_Content!H27</f>
        <v>0.73</v>
      </c>
      <c r="E40" s="284">
        <f>MCF!R39</f>
        <v>0.8</v>
      </c>
      <c r="F40" s="67">
        <f t="shared" si="0"/>
        <v>3.2701012511558401E-2</v>
      </c>
      <c r="G40" s="67">
        <f t="shared" si="1"/>
        <v>3.2701012511558401E-2</v>
      </c>
      <c r="H40" s="67">
        <f t="shared" si="2"/>
        <v>0</v>
      </c>
      <c r="I40" s="67">
        <f t="shared" si="3"/>
        <v>0.31422324041735022</v>
      </c>
      <c r="J40" s="67">
        <f t="shared" si="4"/>
        <v>2.0412664728083982E-2</v>
      </c>
      <c r="K40" s="100">
        <f t="shared" si="6"/>
        <v>1.3608443152055987E-2</v>
      </c>
      <c r="O40" s="96">
        <f>Amnt_Deposited!B35</f>
        <v>2021</v>
      </c>
      <c r="P40" s="99">
        <f>Amnt_Deposited!H35</f>
        <v>0.37329922958399997</v>
      </c>
      <c r="Q40" s="284">
        <f>MCF!R39</f>
        <v>0.8</v>
      </c>
      <c r="R40" s="67">
        <f t="shared" si="5"/>
        <v>3.5836726040063993E-2</v>
      </c>
      <c r="S40" s="67">
        <f t="shared" si="7"/>
        <v>3.5836726040063993E-2</v>
      </c>
      <c r="T40" s="67">
        <f t="shared" si="8"/>
        <v>0</v>
      </c>
      <c r="U40" s="67">
        <f t="shared" si="9"/>
        <v>0.34435423607380844</v>
      </c>
      <c r="V40" s="67">
        <f t="shared" si="10"/>
        <v>2.2370043537626279E-2</v>
      </c>
      <c r="W40" s="100">
        <f t="shared" si="11"/>
        <v>1.4913362358417519E-2</v>
      </c>
    </row>
    <row r="41" spans="2:23">
      <c r="B41" s="96">
        <f>Amnt_Deposited!B36</f>
        <v>2022</v>
      </c>
      <c r="C41" s="99">
        <f>Amnt_Deposited!H36</f>
        <v>0.38253491859599997</v>
      </c>
      <c r="D41" s="418">
        <f>Dry_Matter_Content!H28</f>
        <v>0.73</v>
      </c>
      <c r="E41" s="284">
        <f>MCF!R40</f>
        <v>0.8</v>
      </c>
      <c r="F41" s="67">
        <f t="shared" si="0"/>
        <v>3.3510058869009589E-2</v>
      </c>
      <c r="G41" s="67">
        <f t="shared" si="1"/>
        <v>3.3510058869009589E-2</v>
      </c>
      <c r="H41" s="67">
        <f t="shared" si="2"/>
        <v>0</v>
      </c>
      <c r="I41" s="67">
        <f t="shared" si="3"/>
        <v>0.3264898663049679</v>
      </c>
      <c r="J41" s="67">
        <f t="shared" si="4"/>
        <v>2.1243432981391894E-2</v>
      </c>
      <c r="K41" s="100">
        <f t="shared" si="6"/>
        <v>1.4162288654261262E-2</v>
      </c>
      <c r="O41" s="96">
        <f>Amnt_Deposited!B36</f>
        <v>2022</v>
      </c>
      <c r="P41" s="99">
        <f>Amnt_Deposited!H36</f>
        <v>0.38253491859599997</v>
      </c>
      <c r="Q41" s="284">
        <f>MCF!R40</f>
        <v>0.8</v>
      </c>
      <c r="R41" s="67">
        <f t="shared" si="5"/>
        <v>3.6723352185215996E-2</v>
      </c>
      <c r="S41" s="67">
        <f t="shared" si="7"/>
        <v>3.6723352185215996E-2</v>
      </c>
      <c r="T41" s="67">
        <f t="shared" si="8"/>
        <v>0</v>
      </c>
      <c r="U41" s="67">
        <f t="shared" si="9"/>
        <v>0.35779711375886891</v>
      </c>
      <c r="V41" s="67">
        <f t="shared" si="10"/>
        <v>2.3280474500155496E-2</v>
      </c>
      <c r="W41" s="100">
        <f t="shared" si="11"/>
        <v>1.5520316333436996E-2</v>
      </c>
    </row>
    <row r="42" spans="2:23">
      <c r="B42" s="96">
        <f>Amnt_Deposited!B37</f>
        <v>2023</v>
      </c>
      <c r="C42" s="99">
        <f>Amnt_Deposited!H37</f>
        <v>0.39177060760799998</v>
      </c>
      <c r="D42" s="418">
        <f>Dry_Matter_Content!H29</f>
        <v>0.73</v>
      </c>
      <c r="E42" s="284">
        <f>MCF!R41</f>
        <v>0.8</v>
      </c>
      <c r="F42" s="67">
        <f t="shared" si="0"/>
        <v>3.4319105226460797E-2</v>
      </c>
      <c r="G42" s="67">
        <f t="shared" si="1"/>
        <v>3.4319105226460797E-2</v>
      </c>
      <c r="H42" s="67">
        <f t="shared" si="2"/>
        <v>0</v>
      </c>
      <c r="I42" s="67">
        <f t="shared" si="3"/>
        <v>0.33873623883113219</v>
      </c>
      <c r="J42" s="67">
        <f t="shared" si="4"/>
        <v>2.207273270029653E-2</v>
      </c>
      <c r="K42" s="100">
        <f t="shared" si="6"/>
        <v>1.471515513353102E-2</v>
      </c>
      <c r="O42" s="96">
        <f>Amnt_Deposited!B37</f>
        <v>2023</v>
      </c>
      <c r="P42" s="99">
        <f>Amnt_Deposited!H37</f>
        <v>0.39177060760799998</v>
      </c>
      <c r="Q42" s="284">
        <f>MCF!R41</f>
        <v>0.8</v>
      </c>
      <c r="R42" s="67">
        <f t="shared" si="5"/>
        <v>3.7609978330367999E-2</v>
      </c>
      <c r="S42" s="67">
        <f t="shared" si="7"/>
        <v>3.7609978330367999E-2</v>
      </c>
      <c r="T42" s="67">
        <f t="shared" si="8"/>
        <v>0</v>
      </c>
      <c r="U42" s="67">
        <f t="shared" si="9"/>
        <v>0.37121779597932292</v>
      </c>
      <c r="V42" s="67">
        <f t="shared" si="10"/>
        <v>2.4189296109914004E-2</v>
      </c>
      <c r="W42" s="100">
        <f t="shared" si="11"/>
        <v>1.6126197406609335E-2</v>
      </c>
    </row>
    <row r="43" spans="2:23">
      <c r="B43" s="96">
        <f>Amnt_Deposited!B38</f>
        <v>2024</v>
      </c>
      <c r="C43" s="99">
        <f>Amnt_Deposited!H38</f>
        <v>0.40100629662000004</v>
      </c>
      <c r="D43" s="418">
        <f>Dry_Matter_Content!H30</f>
        <v>0.73</v>
      </c>
      <c r="E43" s="284">
        <f>MCF!R42</f>
        <v>0.8</v>
      </c>
      <c r="F43" s="67">
        <f t="shared" si="0"/>
        <v>3.5128151583912005E-2</v>
      </c>
      <c r="G43" s="67">
        <f t="shared" si="1"/>
        <v>3.5128151583912005E-2</v>
      </c>
      <c r="H43" s="67">
        <f t="shared" si="2"/>
        <v>0</v>
      </c>
      <c r="I43" s="67">
        <f t="shared" si="3"/>
        <v>0.35096372724824498</v>
      </c>
      <c r="J43" s="67">
        <f t="shared" si="4"/>
        <v>2.2900663166799239E-2</v>
      </c>
      <c r="K43" s="100">
        <f t="shared" si="6"/>
        <v>1.5267108777866158E-2</v>
      </c>
      <c r="O43" s="96">
        <f>Amnt_Deposited!B38</f>
        <v>2024</v>
      </c>
      <c r="P43" s="99">
        <f>Amnt_Deposited!H38</f>
        <v>0.40100629662000004</v>
      </c>
      <c r="Q43" s="284">
        <f>MCF!R42</f>
        <v>0.8</v>
      </c>
      <c r="R43" s="67">
        <f t="shared" si="5"/>
        <v>3.8496604475520002E-2</v>
      </c>
      <c r="S43" s="67">
        <f t="shared" si="7"/>
        <v>3.8496604475520002E-2</v>
      </c>
      <c r="T43" s="67">
        <f t="shared" si="8"/>
        <v>0</v>
      </c>
      <c r="U43" s="67">
        <f t="shared" si="9"/>
        <v>0.38461778328574786</v>
      </c>
      <c r="V43" s="67">
        <f t="shared" si="10"/>
        <v>2.5096617169095056E-2</v>
      </c>
      <c r="W43" s="100">
        <f t="shared" si="11"/>
        <v>1.6731078112730037E-2</v>
      </c>
    </row>
    <row r="44" spans="2:23">
      <c r="B44" s="96">
        <f>Amnt_Deposited!B39</f>
        <v>2025</v>
      </c>
      <c r="C44" s="99">
        <f>Amnt_Deposited!H39</f>
        <v>0.41024198563200009</v>
      </c>
      <c r="D44" s="418">
        <f>Dry_Matter_Content!H31</f>
        <v>0.73</v>
      </c>
      <c r="E44" s="284">
        <f>MCF!R43</f>
        <v>0.8</v>
      </c>
      <c r="F44" s="67">
        <f t="shared" si="0"/>
        <v>3.5937197941363207E-2</v>
      </c>
      <c r="G44" s="67">
        <f t="shared" si="1"/>
        <v>3.5937197941363207E-2</v>
      </c>
      <c r="H44" s="67">
        <f t="shared" si="2"/>
        <v>0</v>
      </c>
      <c r="I44" s="67">
        <f t="shared" si="3"/>
        <v>0.3631736082387837</v>
      </c>
      <c r="J44" s="67">
        <f t="shared" si="4"/>
        <v>2.3727316950824501E-2</v>
      </c>
      <c r="K44" s="100">
        <f t="shared" si="6"/>
        <v>1.5818211300549667E-2</v>
      </c>
      <c r="O44" s="96">
        <f>Amnt_Deposited!B39</f>
        <v>2025</v>
      </c>
      <c r="P44" s="99">
        <f>Amnt_Deposited!H39</f>
        <v>0.41024198563200009</v>
      </c>
      <c r="Q44" s="284">
        <f>MCF!R43</f>
        <v>0.8</v>
      </c>
      <c r="R44" s="67">
        <f t="shared" si="5"/>
        <v>3.9383230620672005E-2</v>
      </c>
      <c r="S44" s="67">
        <f t="shared" si="7"/>
        <v>3.9383230620672005E-2</v>
      </c>
      <c r="T44" s="67">
        <f t="shared" si="8"/>
        <v>0</v>
      </c>
      <c r="U44" s="67">
        <f t="shared" si="9"/>
        <v>0.39799847478222866</v>
      </c>
      <c r="V44" s="67">
        <f t="shared" si="10"/>
        <v>2.6002539124191228E-2</v>
      </c>
      <c r="W44" s="100">
        <f t="shared" si="11"/>
        <v>1.733502608279415E-2</v>
      </c>
    </row>
    <row r="45" spans="2:23">
      <c r="B45" s="96">
        <f>Amnt_Deposited!B40</f>
        <v>2026</v>
      </c>
      <c r="C45" s="99">
        <f>Amnt_Deposited!H40</f>
        <v>0.41947767464399999</v>
      </c>
      <c r="D45" s="418">
        <f>Dry_Matter_Content!H32</f>
        <v>0.73</v>
      </c>
      <c r="E45" s="284">
        <f>MCF!R44</f>
        <v>0.8</v>
      </c>
      <c r="F45" s="67">
        <f t="shared" si="0"/>
        <v>3.6746244298814401E-2</v>
      </c>
      <c r="G45" s="67">
        <f t="shared" si="1"/>
        <v>3.6746244298814401E-2</v>
      </c>
      <c r="H45" s="67">
        <f t="shared" si="2"/>
        <v>0</v>
      </c>
      <c r="I45" s="67">
        <f t="shared" si="3"/>
        <v>0.37536707217360032</v>
      </c>
      <c r="J45" s="67">
        <f t="shared" si="4"/>
        <v>2.4552780363997797E-2</v>
      </c>
      <c r="K45" s="100">
        <f t="shared" si="6"/>
        <v>1.6368520242665198E-2</v>
      </c>
      <c r="O45" s="96">
        <f>Amnt_Deposited!B40</f>
        <v>2026</v>
      </c>
      <c r="P45" s="99">
        <f>Amnt_Deposited!H40</f>
        <v>0.41947767464399999</v>
      </c>
      <c r="Q45" s="284">
        <f>MCF!R44</f>
        <v>0.8</v>
      </c>
      <c r="R45" s="67">
        <f t="shared" si="5"/>
        <v>4.0269856765824001E-2</v>
      </c>
      <c r="S45" s="67">
        <f t="shared" si="7"/>
        <v>4.0269856765824001E-2</v>
      </c>
      <c r="T45" s="67">
        <f t="shared" si="8"/>
        <v>0</v>
      </c>
      <c r="U45" s="67">
        <f t="shared" si="9"/>
        <v>0.41136117498476743</v>
      </c>
      <c r="V45" s="67">
        <f t="shared" si="10"/>
        <v>2.6907156563285257E-2</v>
      </c>
      <c r="W45" s="100">
        <f t="shared" si="11"/>
        <v>1.7938104375523505E-2</v>
      </c>
    </row>
    <row r="46" spans="2:23">
      <c r="B46" s="96">
        <f>Amnt_Deposited!B41</f>
        <v>2027</v>
      </c>
      <c r="C46" s="99">
        <f>Amnt_Deposited!H41</f>
        <v>0.42871336365599994</v>
      </c>
      <c r="D46" s="418">
        <f>Dry_Matter_Content!H33</f>
        <v>0.73</v>
      </c>
      <c r="E46" s="284">
        <f>MCF!R45</f>
        <v>0.8</v>
      </c>
      <c r="F46" s="67">
        <f t="shared" si="0"/>
        <v>3.7555290656265596E-2</v>
      </c>
      <c r="G46" s="67">
        <f t="shared" si="1"/>
        <v>3.7555290656265596E-2</v>
      </c>
      <c r="H46" s="67">
        <f t="shared" si="2"/>
        <v>0</v>
      </c>
      <c r="I46" s="67">
        <f t="shared" si="3"/>
        <v>0.38754522894712062</v>
      </c>
      <c r="J46" s="67">
        <f t="shared" si="4"/>
        <v>2.5377133882745335E-2</v>
      </c>
      <c r="K46" s="100">
        <f t="shared" si="6"/>
        <v>1.6918089255163554E-2</v>
      </c>
      <c r="O46" s="96">
        <f>Amnt_Deposited!B41</f>
        <v>2027</v>
      </c>
      <c r="P46" s="99">
        <f>Amnt_Deposited!H41</f>
        <v>0.42871336365599994</v>
      </c>
      <c r="Q46" s="284">
        <f>MCF!R45</f>
        <v>0.8</v>
      </c>
      <c r="R46" s="67">
        <f t="shared" si="5"/>
        <v>4.1156482910975997E-2</v>
      </c>
      <c r="S46" s="67">
        <f t="shared" si="7"/>
        <v>4.1156482910975997E-2</v>
      </c>
      <c r="T46" s="67">
        <f t="shared" si="8"/>
        <v>0</v>
      </c>
      <c r="U46" s="67">
        <f t="shared" si="9"/>
        <v>0.42470710021602254</v>
      </c>
      <c r="V46" s="67">
        <f t="shared" si="10"/>
        <v>2.7810557679720915E-2</v>
      </c>
      <c r="W46" s="100">
        <f t="shared" si="11"/>
        <v>1.854037178648061E-2</v>
      </c>
    </row>
    <row r="47" spans="2:23">
      <c r="B47" s="96">
        <f>Amnt_Deposited!B42</f>
        <v>2028</v>
      </c>
      <c r="C47" s="99">
        <f>Amnt_Deposited!H42</f>
        <v>0.43794905266799999</v>
      </c>
      <c r="D47" s="418">
        <f>Dry_Matter_Content!H34</f>
        <v>0.73</v>
      </c>
      <c r="E47" s="284">
        <f>MCF!R46</f>
        <v>0.8</v>
      </c>
      <c r="F47" s="67">
        <f t="shared" si="0"/>
        <v>3.8364337013716804E-2</v>
      </c>
      <c r="G47" s="67">
        <f t="shared" si="1"/>
        <v>3.8364337013716804E-2</v>
      </c>
      <c r="H47" s="67">
        <f t="shared" si="2"/>
        <v>0</v>
      </c>
      <c r="I47" s="67">
        <f t="shared" si="3"/>
        <v>0.39970911341804793</v>
      </c>
      <c r="J47" s="67">
        <f t="shared" si="4"/>
        <v>2.6200452542789545E-2</v>
      </c>
      <c r="K47" s="100">
        <f t="shared" si="6"/>
        <v>1.7466968361859694E-2</v>
      </c>
      <c r="O47" s="96">
        <f>Amnt_Deposited!B42</f>
        <v>2028</v>
      </c>
      <c r="P47" s="99">
        <f>Amnt_Deposited!H42</f>
        <v>0.43794905266799999</v>
      </c>
      <c r="Q47" s="284">
        <f>MCF!R46</f>
        <v>0.8</v>
      </c>
      <c r="R47" s="67">
        <f t="shared" si="5"/>
        <v>4.2043109056128E-2</v>
      </c>
      <c r="S47" s="67">
        <f t="shared" si="7"/>
        <v>4.2043109056128E-2</v>
      </c>
      <c r="T47" s="67">
        <f t="shared" si="8"/>
        <v>0</v>
      </c>
      <c r="U47" s="67">
        <f t="shared" si="9"/>
        <v>0.43803738456772368</v>
      </c>
      <c r="V47" s="67">
        <f t="shared" si="10"/>
        <v>2.8712824704426893E-2</v>
      </c>
      <c r="W47" s="100">
        <f t="shared" si="11"/>
        <v>1.9141883136284593E-2</v>
      </c>
    </row>
    <row r="48" spans="2:23">
      <c r="B48" s="96">
        <f>Amnt_Deposited!B43</f>
        <v>2029</v>
      </c>
      <c r="C48" s="99">
        <f>Amnt_Deposited!H43</f>
        <v>0.44718474168</v>
      </c>
      <c r="D48" s="418">
        <f>Dry_Matter_Content!H35</f>
        <v>0.73</v>
      </c>
      <c r="E48" s="284">
        <f>MCF!R47</f>
        <v>0.8</v>
      </c>
      <c r="F48" s="67">
        <f t="shared" si="0"/>
        <v>3.9173383371167998E-2</v>
      </c>
      <c r="G48" s="67">
        <f t="shared" si="1"/>
        <v>3.9173383371167998E-2</v>
      </c>
      <c r="H48" s="67">
        <f t="shared" si="2"/>
        <v>0</v>
      </c>
      <c r="I48" s="67">
        <f t="shared" si="3"/>
        <v>0.41185969048224164</v>
      </c>
      <c r="J48" s="67">
        <f t="shared" si="4"/>
        <v>2.7022806306974297E-2</v>
      </c>
      <c r="K48" s="100">
        <f t="shared" si="6"/>
        <v>1.801520420464953E-2</v>
      </c>
      <c r="O48" s="96">
        <f>Amnt_Deposited!B43</f>
        <v>2029</v>
      </c>
      <c r="P48" s="99">
        <f>Amnt_Deposited!H43</f>
        <v>0.44718474168</v>
      </c>
      <c r="Q48" s="284">
        <f>MCF!R47</f>
        <v>0.8</v>
      </c>
      <c r="R48" s="67">
        <f t="shared" si="5"/>
        <v>4.2929735201280003E-2</v>
      </c>
      <c r="S48" s="67">
        <f t="shared" si="7"/>
        <v>4.2929735201280003E-2</v>
      </c>
      <c r="T48" s="67">
        <f t="shared" si="8"/>
        <v>0</v>
      </c>
      <c r="U48" s="67">
        <f t="shared" si="9"/>
        <v>0.45135308545999075</v>
      </c>
      <c r="V48" s="67">
        <f t="shared" si="10"/>
        <v>2.961403430901292E-2</v>
      </c>
      <c r="W48" s="100">
        <f t="shared" si="11"/>
        <v>1.9742689539341947E-2</v>
      </c>
    </row>
    <row r="49" spans="2:23">
      <c r="B49" s="96">
        <f>Amnt_Deposited!B44</f>
        <v>2030</v>
      </c>
      <c r="C49" s="99">
        <f>Amnt_Deposited!H44</f>
        <v>0.45642043069200011</v>
      </c>
      <c r="D49" s="418">
        <f>Dry_Matter_Content!H36</f>
        <v>0.73</v>
      </c>
      <c r="E49" s="284">
        <f>MCF!R48</f>
        <v>0.8</v>
      </c>
      <c r="F49" s="67">
        <f t="shared" si="0"/>
        <v>3.9982429728619207E-2</v>
      </c>
      <c r="G49" s="67">
        <f t="shared" si="1"/>
        <v>3.9982429728619207E-2</v>
      </c>
      <c r="H49" s="67">
        <f t="shared" si="2"/>
        <v>0</v>
      </c>
      <c r="I49" s="67">
        <f t="shared" si="3"/>
        <v>0.42399785980263799</v>
      </c>
      <c r="J49" s="67">
        <f t="shared" si="4"/>
        <v>2.784426040822283E-2</v>
      </c>
      <c r="K49" s="100">
        <f t="shared" si="6"/>
        <v>1.8562840272148551E-2</v>
      </c>
      <c r="O49" s="96">
        <f>Amnt_Deposited!B44</f>
        <v>2030</v>
      </c>
      <c r="P49" s="99">
        <f>Amnt_Deposited!H44</f>
        <v>0.45642043069200011</v>
      </c>
      <c r="Q49" s="284">
        <f>MCF!R48</f>
        <v>0.8</v>
      </c>
      <c r="R49" s="67">
        <f t="shared" si="5"/>
        <v>4.3816361346432013E-2</v>
      </c>
      <c r="S49" s="67">
        <f t="shared" si="7"/>
        <v>4.3816361346432013E-2</v>
      </c>
      <c r="T49" s="67">
        <f t="shared" si="8"/>
        <v>0</v>
      </c>
      <c r="U49" s="67">
        <f t="shared" si="9"/>
        <v>0.46465518882480872</v>
      </c>
      <c r="V49" s="67">
        <f t="shared" si="10"/>
        <v>3.0514257981614053E-2</v>
      </c>
      <c r="W49" s="100">
        <f t="shared" si="11"/>
        <v>2.0342838654409369E-2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0.39533298413332835</v>
      </c>
      <c r="J50" s="67">
        <f t="shared" si="4"/>
        <v>2.8664875669309638E-2</v>
      </c>
      <c r="K50" s="100">
        <f t="shared" si="6"/>
        <v>1.910991711287309E-2</v>
      </c>
      <c r="O50" s="96">
        <f>Amnt_Deposited!B45</f>
        <v>2031</v>
      </c>
      <c r="P50" s="99">
        <f>Amnt_Deposited!H45</f>
        <v>0</v>
      </c>
      <c r="Q50" s="284">
        <f>MCF!R49</f>
        <v>0.8</v>
      </c>
      <c r="R50" s="67">
        <f t="shared" si="5"/>
        <v>0</v>
      </c>
      <c r="S50" s="67">
        <f t="shared" si="7"/>
        <v>0</v>
      </c>
      <c r="T50" s="67">
        <f t="shared" si="8"/>
        <v>0</v>
      </c>
      <c r="U50" s="67">
        <f t="shared" si="9"/>
        <v>0.4332416264474831</v>
      </c>
      <c r="V50" s="67">
        <f t="shared" si="10"/>
        <v>3.1413562377325628E-2</v>
      </c>
      <c r="W50" s="100">
        <f t="shared" si="11"/>
        <v>2.0942374918217085E-2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0.36860603121089164</v>
      </c>
      <c r="J51" s="67">
        <f t="shared" si="4"/>
        <v>2.6726952922436691E-2</v>
      </c>
      <c r="K51" s="100">
        <f t="shared" si="6"/>
        <v>1.7817968614957793E-2</v>
      </c>
      <c r="O51" s="96">
        <f>Amnt_Deposited!B46</f>
        <v>2032</v>
      </c>
      <c r="P51" s="99">
        <f>Amnt_Deposited!H46</f>
        <v>0</v>
      </c>
      <c r="Q51" s="284">
        <f>MCF!R50</f>
        <v>0.8</v>
      </c>
      <c r="R51" s="67">
        <f t="shared" ref="R51:R82" si="13">P51*$W$6*DOCF*Q51</f>
        <v>0</v>
      </c>
      <c r="S51" s="67">
        <f t="shared" si="7"/>
        <v>0</v>
      </c>
      <c r="T51" s="67">
        <f t="shared" si="8"/>
        <v>0</v>
      </c>
      <c r="U51" s="67">
        <f t="shared" si="9"/>
        <v>0.40395181502563465</v>
      </c>
      <c r="V51" s="67">
        <f t="shared" si="10"/>
        <v>2.9289811421848427E-2</v>
      </c>
      <c r="W51" s="100">
        <f t="shared" si="11"/>
        <v>1.9526540947898949E-2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0.34368598548109447</v>
      </c>
      <c r="J52" s="67">
        <f t="shared" si="4"/>
        <v>2.4920045729797193E-2</v>
      </c>
      <c r="K52" s="100">
        <f t="shared" si="6"/>
        <v>1.6613363819864793E-2</v>
      </c>
      <c r="O52" s="96">
        <f>Amnt_Deposited!B47</f>
        <v>2033</v>
      </c>
      <c r="P52" s="99">
        <f>Amnt_Deposited!H47</f>
        <v>0</v>
      </c>
      <c r="Q52" s="284">
        <f>MCF!R51</f>
        <v>0.8</v>
      </c>
      <c r="R52" s="67">
        <f t="shared" si="13"/>
        <v>0</v>
      </c>
      <c r="S52" s="67">
        <f t="shared" si="7"/>
        <v>0</v>
      </c>
      <c r="T52" s="67">
        <f t="shared" si="8"/>
        <v>0</v>
      </c>
      <c r="U52" s="67">
        <f t="shared" si="9"/>
        <v>0.37664217586969251</v>
      </c>
      <c r="V52" s="67">
        <f t="shared" si="10"/>
        <v>2.7309639155942127E-2</v>
      </c>
      <c r="W52" s="100">
        <f t="shared" si="11"/>
        <v>1.8206426103961417E-2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0.32045068885085792</v>
      </c>
      <c r="J53" s="67">
        <f t="shared" si="4"/>
        <v>2.3235296630236518E-2</v>
      </c>
      <c r="K53" s="100">
        <f t="shared" si="6"/>
        <v>1.5490197753491012E-2</v>
      </c>
      <c r="O53" s="96">
        <f>Amnt_Deposited!B48</f>
        <v>2034</v>
      </c>
      <c r="P53" s="99">
        <f>Amnt_Deposited!H48</f>
        <v>0</v>
      </c>
      <c r="Q53" s="284">
        <f>MCF!R52</f>
        <v>0.8</v>
      </c>
      <c r="R53" s="67">
        <f t="shared" si="13"/>
        <v>0</v>
      </c>
      <c r="S53" s="67">
        <f t="shared" si="7"/>
        <v>0</v>
      </c>
      <c r="T53" s="67">
        <f t="shared" si="8"/>
        <v>0</v>
      </c>
      <c r="U53" s="67">
        <f t="shared" si="9"/>
        <v>0.35117883709683057</v>
      </c>
      <c r="V53" s="67">
        <f t="shared" si="10"/>
        <v>2.5463338772861936E-2</v>
      </c>
      <c r="W53" s="100">
        <f t="shared" si="11"/>
        <v>1.6975559181907955E-2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0.29878624186914388</v>
      </c>
      <c r="J54" s="67">
        <f t="shared" si="4"/>
        <v>2.1664446981714033E-2</v>
      </c>
      <c r="K54" s="100">
        <f t="shared" si="6"/>
        <v>1.4442964654476021E-2</v>
      </c>
      <c r="O54" s="96">
        <f>Amnt_Deposited!B49</f>
        <v>2035</v>
      </c>
      <c r="P54" s="99">
        <f>Amnt_Deposited!H49</f>
        <v>0</v>
      </c>
      <c r="Q54" s="284">
        <f>MCF!R53</f>
        <v>0.8</v>
      </c>
      <c r="R54" s="67">
        <f t="shared" si="13"/>
        <v>0</v>
      </c>
      <c r="S54" s="67">
        <f t="shared" si="7"/>
        <v>0</v>
      </c>
      <c r="T54" s="67">
        <f t="shared" si="8"/>
        <v>0</v>
      </c>
      <c r="U54" s="67">
        <f t="shared" si="9"/>
        <v>0.3274369773908426</v>
      </c>
      <c r="V54" s="67">
        <f t="shared" si="10"/>
        <v>2.374185970598798E-2</v>
      </c>
      <c r="W54" s="100">
        <f t="shared" si="11"/>
        <v>1.5827906470658654E-2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0.27858644539171362</v>
      </c>
      <c r="J55" s="67">
        <f t="shared" si="4"/>
        <v>2.019979647743024E-2</v>
      </c>
      <c r="K55" s="100">
        <f t="shared" si="6"/>
        <v>1.3466530984953493E-2</v>
      </c>
      <c r="O55" s="96">
        <f>Amnt_Deposited!B50</f>
        <v>2036</v>
      </c>
      <c r="P55" s="99">
        <f>Amnt_Deposited!H50</f>
        <v>0</v>
      </c>
      <c r="Q55" s="284">
        <f>MCF!R54</f>
        <v>0.8</v>
      </c>
      <c r="R55" s="67">
        <f t="shared" si="13"/>
        <v>0</v>
      </c>
      <c r="S55" s="67">
        <f t="shared" si="7"/>
        <v>0</v>
      </c>
      <c r="T55" s="67">
        <f t="shared" si="8"/>
        <v>0</v>
      </c>
      <c r="U55" s="67">
        <f t="shared" si="9"/>
        <v>0.30530021412790537</v>
      </c>
      <c r="V55" s="67">
        <f t="shared" si="10"/>
        <v>2.2136763262937249E-2</v>
      </c>
      <c r="W55" s="100">
        <f t="shared" si="11"/>
        <v>1.4757842175291499E-2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0.25975227999279971</v>
      </c>
      <c r="J56" s="67">
        <f t="shared" si="4"/>
        <v>1.8834165398913898E-2</v>
      </c>
      <c r="K56" s="100">
        <f t="shared" si="6"/>
        <v>1.2556110265942598E-2</v>
      </c>
      <c r="O56" s="96">
        <f>Amnt_Deposited!B51</f>
        <v>2037</v>
      </c>
      <c r="P56" s="99">
        <f>Amnt_Deposited!H51</f>
        <v>0</v>
      </c>
      <c r="Q56" s="284">
        <f>MCF!R55</f>
        <v>0.8</v>
      </c>
      <c r="R56" s="67">
        <f t="shared" si="13"/>
        <v>0</v>
      </c>
      <c r="S56" s="67">
        <f t="shared" si="7"/>
        <v>0</v>
      </c>
      <c r="T56" s="67">
        <f t="shared" si="8"/>
        <v>0</v>
      </c>
      <c r="U56" s="67">
        <f t="shared" si="9"/>
        <v>0.28466003286882163</v>
      </c>
      <c r="V56" s="67">
        <f t="shared" si="10"/>
        <v>2.0640181259083727E-2</v>
      </c>
      <c r="W56" s="100">
        <f t="shared" si="11"/>
        <v>1.3760120839389151E-2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0.24219142057176593</v>
      </c>
      <c r="J57" s="67">
        <f t="shared" si="4"/>
        <v>1.7560859421033765E-2</v>
      </c>
      <c r="K57" s="100">
        <f t="shared" si="6"/>
        <v>1.1707239614022509E-2</v>
      </c>
      <c r="O57" s="96">
        <f>Amnt_Deposited!B52</f>
        <v>2038</v>
      </c>
      <c r="P57" s="99">
        <f>Amnt_Deposited!H52</f>
        <v>0</v>
      </c>
      <c r="Q57" s="284">
        <f>MCF!R56</f>
        <v>0.8</v>
      </c>
      <c r="R57" s="67">
        <f t="shared" si="13"/>
        <v>0</v>
      </c>
      <c r="S57" s="67">
        <f t="shared" si="7"/>
        <v>0</v>
      </c>
      <c r="T57" s="67">
        <f t="shared" si="8"/>
        <v>0</v>
      </c>
      <c r="U57" s="67">
        <f t="shared" si="9"/>
        <v>0.26541525542111338</v>
      </c>
      <c r="V57" s="67">
        <f t="shared" si="10"/>
        <v>1.924477744770824E-2</v>
      </c>
      <c r="W57" s="100">
        <f t="shared" si="11"/>
        <v>1.2829851631805493E-2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0.22581778377535691</v>
      </c>
      <c r="J58" s="67">
        <f t="shared" si="4"/>
        <v>1.6373636796409033E-2</v>
      </c>
      <c r="K58" s="100">
        <f t="shared" si="6"/>
        <v>1.0915757864272688E-2</v>
      </c>
      <c r="O58" s="96">
        <f>Amnt_Deposited!B53</f>
        <v>2039</v>
      </c>
      <c r="P58" s="99">
        <f>Amnt_Deposited!H53</f>
        <v>0</v>
      </c>
      <c r="Q58" s="284">
        <f>MCF!R57</f>
        <v>0.8</v>
      </c>
      <c r="R58" s="67">
        <f t="shared" si="13"/>
        <v>0</v>
      </c>
      <c r="S58" s="67">
        <f t="shared" si="7"/>
        <v>0</v>
      </c>
      <c r="T58" s="67">
        <f t="shared" si="8"/>
        <v>0</v>
      </c>
      <c r="U58" s="67">
        <f t="shared" si="9"/>
        <v>0.24747154386340486</v>
      </c>
      <c r="V58" s="67">
        <f t="shared" si="10"/>
        <v>1.794371155770853E-2</v>
      </c>
      <c r="W58" s="100">
        <f t="shared" si="11"/>
        <v>1.1962474371805686E-2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0.2105511060170005</v>
      </c>
      <c r="J59" s="67">
        <f t="shared" si="4"/>
        <v>1.5266677758356412E-2</v>
      </c>
      <c r="K59" s="100">
        <f t="shared" si="6"/>
        <v>1.0177785172237608E-2</v>
      </c>
      <c r="O59" s="96">
        <f>Amnt_Deposited!B54</f>
        <v>2040</v>
      </c>
      <c r="P59" s="99">
        <f>Amnt_Deposited!H54</f>
        <v>0</v>
      </c>
      <c r="Q59" s="284">
        <f>MCF!R58</f>
        <v>0.8</v>
      </c>
      <c r="R59" s="67">
        <f t="shared" si="13"/>
        <v>0</v>
      </c>
      <c r="S59" s="67">
        <f t="shared" si="7"/>
        <v>0</v>
      </c>
      <c r="T59" s="67">
        <f t="shared" si="8"/>
        <v>0</v>
      </c>
      <c r="U59" s="67">
        <f t="shared" si="9"/>
        <v>0.2307409381008225</v>
      </c>
      <c r="V59" s="67">
        <f t="shared" si="10"/>
        <v>1.6730605762582371E-2</v>
      </c>
      <c r="W59" s="100">
        <f t="shared" si="11"/>
        <v>1.1153737175054914E-2</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0.19631655002461337</v>
      </c>
      <c r="J60" s="67">
        <f t="shared" si="4"/>
        <v>1.4234555992387115E-2</v>
      </c>
      <c r="K60" s="100">
        <f t="shared" si="6"/>
        <v>9.4897039949247419E-3</v>
      </c>
      <c r="O60" s="96">
        <f>Amnt_Deposited!B55</f>
        <v>2041</v>
      </c>
      <c r="P60" s="99">
        <f>Amnt_Deposited!H55</f>
        <v>0</v>
      </c>
      <c r="Q60" s="284">
        <f>MCF!R59</f>
        <v>0.8</v>
      </c>
      <c r="R60" s="67">
        <f t="shared" si="13"/>
        <v>0</v>
      </c>
      <c r="S60" s="67">
        <f t="shared" si="7"/>
        <v>0</v>
      </c>
      <c r="T60" s="67">
        <f t="shared" si="8"/>
        <v>0</v>
      </c>
      <c r="U60" s="67">
        <f t="shared" si="9"/>
        <v>0.21514142468450784</v>
      </c>
      <c r="V60" s="67">
        <f t="shared" si="10"/>
        <v>1.5599513416314647E-2</v>
      </c>
      <c r="W60" s="100">
        <f t="shared" si="11"/>
        <v>1.039967561087643E-2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0.18304433798820643</v>
      </c>
      <c r="J61" s="67">
        <f t="shared" si="4"/>
        <v>1.3272212036406926E-2</v>
      </c>
      <c r="K61" s="100">
        <f t="shared" si="6"/>
        <v>8.8481413576046164E-3</v>
      </c>
      <c r="O61" s="96">
        <f>Amnt_Deposited!B56</f>
        <v>2042</v>
      </c>
      <c r="P61" s="99">
        <f>Amnt_Deposited!H56</f>
        <v>0</v>
      </c>
      <c r="Q61" s="284">
        <f>MCF!R60</f>
        <v>0.8</v>
      </c>
      <c r="R61" s="67">
        <f t="shared" si="13"/>
        <v>0</v>
      </c>
      <c r="S61" s="67">
        <f t="shared" si="7"/>
        <v>0</v>
      </c>
      <c r="T61" s="67">
        <f t="shared" si="8"/>
        <v>0</v>
      </c>
      <c r="U61" s="67">
        <f t="shared" si="9"/>
        <v>0.20059653478159614</v>
      </c>
      <c r="V61" s="67">
        <f t="shared" si="10"/>
        <v>1.4544889902911702E-2</v>
      </c>
      <c r="W61" s="100">
        <f t="shared" si="11"/>
        <v>9.6965932686078008E-3</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0.17066940950897927</v>
      </c>
      <c r="J62" s="67">
        <f t="shared" si="4"/>
        <v>1.2374928479227158E-2</v>
      </c>
      <c r="K62" s="100">
        <f t="shared" si="6"/>
        <v>8.2499523194847716E-3</v>
      </c>
      <c r="O62" s="96">
        <f>Amnt_Deposited!B57</f>
        <v>2043</v>
      </c>
      <c r="P62" s="99">
        <f>Amnt_Deposited!H57</f>
        <v>0</v>
      </c>
      <c r="Q62" s="284">
        <f>MCF!R61</f>
        <v>0.8</v>
      </c>
      <c r="R62" s="67">
        <f t="shared" si="13"/>
        <v>0</v>
      </c>
      <c r="S62" s="67">
        <f t="shared" si="7"/>
        <v>0</v>
      </c>
      <c r="T62" s="67">
        <f t="shared" si="8"/>
        <v>0</v>
      </c>
      <c r="U62" s="67">
        <f t="shared" si="9"/>
        <v>0.18703496932490885</v>
      </c>
      <c r="V62" s="67">
        <f t="shared" si="10"/>
        <v>1.35615654566873E-2</v>
      </c>
      <c r="W62" s="100">
        <f t="shared" si="11"/>
        <v>9.0410436377915335E-3</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0.15913110267316977</v>
      </c>
      <c r="J63" s="67">
        <f t="shared" si="4"/>
        <v>1.1538306835809517E-2</v>
      </c>
      <c r="K63" s="100">
        <f t="shared" si="6"/>
        <v>7.6922045572063447E-3</v>
      </c>
      <c r="O63" s="96">
        <f>Amnt_Deposited!B58</f>
        <v>2044</v>
      </c>
      <c r="P63" s="99">
        <f>Amnt_Deposited!H58</f>
        <v>0</v>
      </c>
      <c r="Q63" s="284">
        <f>MCF!R62</f>
        <v>0.8</v>
      </c>
      <c r="R63" s="67">
        <f t="shared" si="13"/>
        <v>0</v>
      </c>
      <c r="S63" s="67">
        <f t="shared" si="7"/>
        <v>0</v>
      </c>
      <c r="T63" s="67">
        <f t="shared" si="8"/>
        <v>0</v>
      </c>
      <c r="U63" s="67">
        <f t="shared" si="9"/>
        <v>0.17439024950484361</v>
      </c>
      <c r="V63" s="67">
        <f t="shared" si="10"/>
        <v>1.2644719820065228E-2</v>
      </c>
      <c r="W63" s="100">
        <f t="shared" si="11"/>
        <v>8.4298132133768175E-3</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0.14837285668728242</v>
      </c>
      <c r="J64" s="67">
        <f t="shared" si="4"/>
        <v>1.0758245985887351E-2</v>
      </c>
      <c r="K64" s="100">
        <f t="shared" si="6"/>
        <v>7.1721639905915667E-3</v>
      </c>
      <c r="O64" s="96">
        <f>Amnt_Deposited!B59</f>
        <v>2045</v>
      </c>
      <c r="P64" s="99">
        <f>Amnt_Deposited!H59</f>
        <v>0</v>
      </c>
      <c r="Q64" s="284">
        <f>MCF!R63</f>
        <v>0.8</v>
      </c>
      <c r="R64" s="67">
        <f t="shared" si="13"/>
        <v>0</v>
      </c>
      <c r="S64" s="67">
        <f t="shared" si="7"/>
        <v>0</v>
      </c>
      <c r="T64" s="67">
        <f t="shared" si="8"/>
        <v>0</v>
      </c>
      <c r="U64" s="67">
        <f t="shared" si="9"/>
        <v>0.16260039089017253</v>
      </c>
      <c r="V64" s="67">
        <f t="shared" si="10"/>
        <v>1.1789858614671071E-2</v>
      </c>
      <c r="W64" s="100">
        <f t="shared" si="11"/>
        <v>7.8599057431140464E-3</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0.13834193461701308</v>
      </c>
      <c r="J65" s="67">
        <f t="shared" si="4"/>
        <v>1.0030922070269342E-2</v>
      </c>
      <c r="K65" s="100">
        <f t="shared" si="6"/>
        <v>6.6872813801795612E-3</v>
      </c>
      <c r="O65" s="96">
        <f>Amnt_Deposited!B60</f>
        <v>2046</v>
      </c>
      <c r="P65" s="99">
        <f>Amnt_Deposited!H60</f>
        <v>0</v>
      </c>
      <c r="Q65" s="284">
        <f>MCF!R64</f>
        <v>0.8</v>
      </c>
      <c r="R65" s="67">
        <f t="shared" si="13"/>
        <v>0</v>
      </c>
      <c r="S65" s="67">
        <f t="shared" si="7"/>
        <v>0</v>
      </c>
      <c r="T65" s="67">
        <f t="shared" si="8"/>
        <v>0</v>
      </c>
      <c r="U65" s="67">
        <f t="shared" si="9"/>
        <v>0.15160759958028833</v>
      </c>
      <c r="V65" s="67">
        <f t="shared" si="10"/>
        <v>1.0992791309884212E-2</v>
      </c>
      <c r="W65" s="100">
        <f t="shared" si="11"/>
        <v>7.3285275399228075E-3</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0.12898916487073575</v>
      </c>
      <c r="J66" s="67">
        <f t="shared" si="4"/>
        <v>9.3527697462773146E-3</v>
      </c>
      <c r="K66" s="100">
        <f t="shared" si="6"/>
        <v>6.2351798308515425E-3</v>
      </c>
      <c r="O66" s="96">
        <f>Amnt_Deposited!B61</f>
        <v>2047</v>
      </c>
      <c r="P66" s="99">
        <f>Amnt_Deposited!H61</f>
        <v>0</v>
      </c>
      <c r="Q66" s="284">
        <f>MCF!R65</f>
        <v>0.8</v>
      </c>
      <c r="R66" s="67">
        <f t="shared" si="13"/>
        <v>0</v>
      </c>
      <c r="S66" s="67">
        <f t="shared" si="7"/>
        <v>0</v>
      </c>
      <c r="T66" s="67">
        <f t="shared" si="8"/>
        <v>0</v>
      </c>
      <c r="U66" s="67">
        <f t="shared" si="9"/>
        <v>0.14135798889943646</v>
      </c>
      <c r="V66" s="67">
        <f t="shared" si="10"/>
        <v>1.0249610680851853E-2</v>
      </c>
      <c r="W66" s="100">
        <f t="shared" si="11"/>
        <v>6.8330737872345686E-3</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0.12026870016030346</v>
      </c>
      <c r="J67" s="67">
        <f t="shared" si="4"/>
        <v>8.7204647104322918E-3</v>
      </c>
      <c r="K67" s="100">
        <f t="shared" si="6"/>
        <v>5.8136431402881945E-3</v>
      </c>
      <c r="O67" s="96">
        <f>Amnt_Deposited!B62</f>
        <v>2048</v>
      </c>
      <c r="P67" s="99">
        <f>Amnt_Deposited!H62</f>
        <v>0</v>
      </c>
      <c r="Q67" s="284">
        <f>MCF!R66</f>
        <v>0.8</v>
      </c>
      <c r="R67" s="67">
        <f t="shared" si="13"/>
        <v>0</v>
      </c>
      <c r="S67" s="67">
        <f t="shared" si="7"/>
        <v>0</v>
      </c>
      <c r="T67" s="67">
        <f t="shared" si="8"/>
        <v>0</v>
      </c>
      <c r="U67" s="67">
        <f t="shared" si="9"/>
        <v>0.13180131524416819</v>
      </c>
      <c r="V67" s="67">
        <f t="shared" si="10"/>
        <v>9.5566736552682666E-3</v>
      </c>
      <c r="W67" s="100">
        <f t="shared" si="11"/>
        <v>6.3711157701788444E-3</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0.11213779275758848</v>
      </c>
      <c r="J68" s="67">
        <f t="shared" si="4"/>
        <v>8.1309074027149826E-3</v>
      </c>
      <c r="K68" s="100">
        <f t="shared" si="6"/>
        <v>5.4206049351433212E-3</v>
      </c>
      <c r="O68" s="96">
        <f>Amnt_Deposited!B63</f>
        <v>2049</v>
      </c>
      <c r="P68" s="99">
        <f>Amnt_Deposited!H63</f>
        <v>0</v>
      </c>
      <c r="Q68" s="284">
        <f>MCF!R67</f>
        <v>0.8</v>
      </c>
      <c r="R68" s="67">
        <f t="shared" si="13"/>
        <v>0</v>
      </c>
      <c r="S68" s="67">
        <f t="shared" si="7"/>
        <v>0</v>
      </c>
      <c r="T68" s="67">
        <f t="shared" si="8"/>
        <v>0</v>
      </c>
      <c r="U68" s="67">
        <f t="shared" si="9"/>
        <v>0.12289073178913806</v>
      </c>
      <c r="V68" s="67">
        <f t="shared" si="10"/>
        <v>8.9105834550301192E-3</v>
      </c>
      <c r="W68" s="100">
        <f t="shared" si="11"/>
        <v>5.9403889700200795E-3</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0.1045565849450695</v>
      </c>
      <c r="J69" s="67">
        <f t="shared" si="4"/>
        <v>7.5812078125189761E-3</v>
      </c>
      <c r="K69" s="100">
        <f t="shared" si="6"/>
        <v>5.0541385416793174E-3</v>
      </c>
      <c r="O69" s="96">
        <f>Amnt_Deposited!B64</f>
        <v>2050</v>
      </c>
      <c r="P69" s="99">
        <f>Amnt_Deposited!H64</f>
        <v>0</v>
      </c>
      <c r="Q69" s="284">
        <f>MCF!R68</f>
        <v>0.8</v>
      </c>
      <c r="R69" s="67">
        <f t="shared" si="13"/>
        <v>0</v>
      </c>
      <c r="S69" s="67">
        <f t="shared" si="7"/>
        <v>0</v>
      </c>
      <c r="T69" s="67">
        <f t="shared" si="8"/>
        <v>0</v>
      </c>
      <c r="U69" s="67">
        <f t="shared" si="9"/>
        <v>0.11458255884391179</v>
      </c>
      <c r="V69" s="67">
        <f t="shared" si="10"/>
        <v>8.3081729452262748E-3</v>
      </c>
      <c r="W69" s="100">
        <f t="shared" si="11"/>
        <v>5.5387819634841826E-3</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9.7487913633254111E-2</v>
      </c>
      <c r="J70" s="67">
        <f t="shared" si="4"/>
        <v>7.0686713118153863E-3</v>
      </c>
      <c r="K70" s="100">
        <f t="shared" si="6"/>
        <v>4.712447541210257E-3</v>
      </c>
      <c r="O70" s="96">
        <f>Amnt_Deposited!B65</f>
        <v>2051</v>
      </c>
      <c r="P70" s="99">
        <f>Amnt_Deposited!H65</f>
        <v>0</v>
      </c>
      <c r="Q70" s="284">
        <f>MCF!R69</f>
        <v>0.8</v>
      </c>
      <c r="R70" s="67">
        <f t="shared" si="13"/>
        <v>0</v>
      </c>
      <c r="S70" s="67">
        <f t="shared" si="7"/>
        <v>0</v>
      </c>
      <c r="T70" s="67">
        <f t="shared" si="8"/>
        <v>0</v>
      </c>
      <c r="U70" s="67">
        <f t="shared" si="9"/>
        <v>0.10683606973507301</v>
      </c>
      <c r="V70" s="67">
        <f t="shared" si="10"/>
        <v>7.7464891088387796E-3</v>
      </c>
      <c r="W70" s="100">
        <f t="shared" si="11"/>
        <v>5.1643260725591864E-3</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9.0897128187170967E-2</v>
      </c>
      <c r="J71" s="67">
        <f t="shared" si="4"/>
        <v>6.5907854460831384E-3</v>
      </c>
      <c r="K71" s="100">
        <f t="shared" si="6"/>
        <v>4.3938569640554256E-3</v>
      </c>
      <c r="O71" s="96">
        <f>Amnt_Deposited!B66</f>
        <v>2052</v>
      </c>
      <c r="P71" s="99">
        <f>Amnt_Deposited!H66</f>
        <v>0</v>
      </c>
      <c r="Q71" s="284">
        <f>MCF!R70</f>
        <v>0.8</v>
      </c>
      <c r="R71" s="67">
        <f t="shared" si="13"/>
        <v>0</v>
      </c>
      <c r="S71" s="67">
        <f t="shared" si="7"/>
        <v>0</v>
      </c>
      <c r="T71" s="67">
        <f t="shared" si="8"/>
        <v>0</v>
      </c>
      <c r="U71" s="67">
        <f t="shared" si="9"/>
        <v>9.9613291164022996E-2</v>
      </c>
      <c r="V71" s="67">
        <f t="shared" si="10"/>
        <v>7.2227785710500146E-3</v>
      </c>
      <c r="W71" s="100">
        <f t="shared" si="11"/>
        <v>4.8151857140333425E-3</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8.4751920568916977E-2</v>
      </c>
      <c r="J72" s="67">
        <f t="shared" si="4"/>
        <v>6.145207618253986E-3</v>
      </c>
      <c r="K72" s="100">
        <f t="shared" si="6"/>
        <v>4.0968050788359901E-3</v>
      </c>
      <c r="O72" s="96">
        <f>Amnt_Deposited!B67</f>
        <v>2053</v>
      </c>
      <c r="P72" s="99">
        <f>Amnt_Deposited!H67</f>
        <v>0</v>
      </c>
      <c r="Q72" s="284">
        <f>MCF!R71</f>
        <v>0.8</v>
      </c>
      <c r="R72" s="67">
        <f t="shared" si="13"/>
        <v>0</v>
      </c>
      <c r="S72" s="67">
        <f t="shared" si="7"/>
        <v>0</v>
      </c>
      <c r="T72" s="67">
        <f t="shared" si="8"/>
        <v>0</v>
      </c>
      <c r="U72" s="67">
        <f t="shared" si="9"/>
        <v>9.2878817061826852E-2</v>
      </c>
      <c r="V72" s="67">
        <f t="shared" si="10"/>
        <v>6.7344741021961498E-3</v>
      </c>
      <c r="W72" s="100">
        <f t="shared" si="11"/>
        <v>4.4896494014640999E-3</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7.902216696361801E-2</v>
      </c>
      <c r="J73" s="67">
        <f t="shared" si="4"/>
        <v>5.7297536052989678E-3</v>
      </c>
      <c r="K73" s="100">
        <f t="shared" si="6"/>
        <v>3.8198357368659785E-3</v>
      </c>
      <c r="O73" s="96">
        <f>Amnt_Deposited!B68</f>
        <v>2054</v>
      </c>
      <c r="P73" s="99">
        <f>Amnt_Deposited!H68</f>
        <v>0</v>
      </c>
      <c r="Q73" s="284">
        <f>MCF!R72</f>
        <v>0.8</v>
      </c>
      <c r="R73" s="67">
        <f t="shared" si="13"/>
        <v>0</v>
      </c>
      <c r="S73" s="67">
        <f t="shared" si="7"/>
        <v>0</v>
      </c>
      <c r="T73" s="67">
        <f t="shared" si="8"/>
        <v>0</v>
      </c>
      <c r="U73" s="67">
        <f t="shared" si="9"/>
        <v>8.6599635028622501E-2</v>
      </c>
      <c r="V73" s="67">
        <f t="shared" si="10"/>
        <v>6.2791820332043502E-3</v>
      </c>
      <c r="W73" s="100">
        <f t="shared" si="11"/>
        <v>4.1861213554695662E-3</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7.3679780112453422E-2</v>
      </c>
      <c r="J74" s="67">
        <f t="shared" si="4"/>
        <v>5.3423868511645834E-3</v>
      </c>
      <c r="K74" s="100">
        <f t="shared" si="6"/>
        <v>3.5615912341097223E-3</v>
      </c>
      <c r="O74" s="96">
        <f>Amnt_Deposited!B69</f>
        <v>2055</v>
      </c>
      <c r="P74" s="99">
        <f>Amnt_Deposited!H69</f>
        <v>0</v>
      </c>
      <c r="Q74" s="284">
        <f>MCF!R73</f>
        <v>0.8</v>
      </c>
      <c r="R74" s="67">
        <f t="shared" si="13"/>
        <v>0</v>
      </c>
      <c r="S74" s="67">
        <f t="shared" si="7"/>
        <v>0</v>
      </c>
      <c r="T74" s="67">
        <f t="shared" si="8"/>
        <v>0</v>
      </c>
      <c r="U74" s="67">
        <f t="shared" si="9"/>
        <v>8.07449645067983E-2</v>
      </c>
      <c r="V74" s="67">
        <f t="shared" si="10"/>
        <v>5.854670521824203E-3</v>
      </c>
      <c r="W74" s="100">
        <f t="shared" si="11"/>
        <v>3.9031136812161353E-3</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6.8698571628880767E-2</v>
      </c>
      <c r="J75" s="67">
        <f t="shared" si="4"/>
        <v>4.9812084835726567E-3</v>
      </c>
      <c r="K75" s="100">
        <f t="shared" si="6"/>
        <v>3.3208056557151042E-3</v>
      </c>
      <c r="O75" s="96">
        <f>Amnt_Deposited!B70</f>
        <v>2056</v>
      </c>
      <c r="P75" s="99">
        <f>Amnt_Deposited!H70</f>
        <v>0</v>
      </c>
      <c r="Q75" s="284">
        <f>MCF!R74</f>
        <v>0.8</v>
      </c>
      <c r="R75" s="67">
        <f t="shared" si="13"/>
        <v>0</v>
      </c>
      <c r="S75" s="67">
        <f t="shared" si="7"/>
        <v>0</v>
      </c>
      <c r="T75" s="67">
        <f t="shared" si="8"/>
        <v>0</v>
      </c>
      <c r="U75" s="67">
        <f t="shared" si="9"/>
        <v>7.5286105894663877E-2</v>
      </c>
      <c r="V75" s="67">
        <f t="shared" si="10"/>
        <v>5.45885861213442E-3</v>
      </c>
      <c r="W75" s="100">
        <f t="shared" si="11"/>
        <v>3.63923907475628E-3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6.4054123623134535E-2</v>
      </c>
      <c r="J76" s="67">
        <f t="shared" si="4"/>
        <v>4.6444480057462253E-3</v>
      </c>
      <c r="K76" s="100">
        <f t="shared" si="6"/>
        <v>3.0962986704974834E-3</v>
      </c>
      <c r="O76" s="96">
        <f>Amnt_Deposited!B71</f>
        <v>2057</v>
      </c>
      <c r="P76" s="99">
        <f>Amnt_Deposited!H71</f>
        <v>0</v>
      </c>
      <c r="Q76" s="284">
        <f>MCF!R75</f>
        <v>0.8</v>
      </c>
      <c r="R76" s="67">
        <f t="shared" si="13"/>
        <v>0</v>
      </c>
      <c r="S76" s="67">
        <f t="shared" si="7"/>
        <v>0</v>
      </c>
      <c r="T76" s="67">
        <f t="shared" si="8"/>
        <v>0</v>
      </c>
      <c r="U76" s="67">
        <f t="shared" si="9"/>
        <v>7.0196299860969383E-2</v>
      </c>
      <c r="V76" s="67">
        <f t="shared" si="10"/>
        <v>5.0898060336944956E-3</v>
      </c>
      <c r="W76" s="100">
        <f t="shared" si="11"/>
        <v>3.3932040224629971E-3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5.9723669005702251E-2</v>
      </c>
      <c r="J77" s="67">
        <f t="shared" si="4"/>
        <v>4.3304546174322868E-3</v>
      </c>
      <c r="K77" s="100">
        <f t="shared" si="6"/>
        <v>2.8869697449548579E-3</v>
      </c>
      <c r="O77" s="96">
        <f>Amnt_Deposited!B72</f>
        <v>2058</v>
      </c>
      <c r="P77" s="99">
        <f>Amnt_Deposited!H72</f>
        <v>0</v>
      </c>
      <c r="Q77" s="284">
        <f>MCF!R76</f>
        <v>0.8</v>
      </c>
      <c r="R77" s="67">
        <f t="shared" si="13"/>
        <v>0</v>
      </c>
      <c r="S77" s="67">
        <f t="shared" si="7"/>
        <v>0</v>
      </c>
      <c r="T77" s="67">
        <f t="shared" si="8"/>
        <v>0</v>
      </c>
      <c r="U77" s="67">
        <f t="shared" si="9"/>
        <v>6.5450596170632633E-2</v>
      </c>
      <c r="V77" s="67">
        <f t="shared" si="10"/>
        <v>4.7457036903367543E-3</v>
      </c>
      <c r="W77" s="100">
        <f t="shared" si="11"/>
        <v>3.1638024602245029E-3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5.5685979883025212E-2</v>
      </c>
      <c r="J78" s="67">
        <f t="shared" si="4"/>
        <v>4.0376891226770418E-3</v>
      </c>
      <c r="K78" s="100">
        <f t="shared" si="6"/>
        <v>2.6917927484513609E-3</v>
      </c>
      <c r="O78" s="96">
        <f>Amnt_Deposited!B73</f>
        <v>2059</v>
      </c>
      <c r="P78" s="99">
        <f>Amnt_Deposited!H73</f>
        <v>0</v>
      </c>
      <c r="Q78" s="284">
        <f>MCF!R77</f>
        <v>0.8</v>
      </c>
      <c r="R78" s="67">
        <f t="shared" si="13"/>
        <v>0</v>
      </c>
      <c r="S78" s="67">
        <f t="shared" si="7"/>
        <v>0</v>
      </c>
      <c r="T78" s="67">
        <f t="shared" si="8"/>
        <v>0</v>
      </c>
      <c r="U78" s="67">
        <f t="shared" si="9"/>
        <v>6.1025731378657792E-2</v>
      </c>
      <c r="V78" s="67">
        <f t="shared" si="10"/>
        <v>4.4248647919748422E-3</v>
      </c>
      <c r="W78" s="100">
        <f t="shared" si="11"/>
        <v>2.9499098613165612E-3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5.192126349833967E-2</v>
      </c>
      <c r="J79" s="67">
        <f t="shared" si="4"/>
        <v>3.7647163846855438E-3</v>
      </c>
      <c r="K79" s="100">
        <f t="shared" si="6"/>
        <v>2.5098109231236959E-3</v>
      </c>
      <c r="O79" s="96">
        <f>Amnt_Deposited!B74</f>
        <v>2060</v>
      </c>
      <c r="P79" s="99">
        <f>Amnt_Deposited!H74</f>
        <v>0</v>
      </c>
      <c r="Q79" s="284">
        <f>MCF!R78</f>
        <v>0.8</v>
      </c>
      <c r="R79" s="67">
        <f t="shared" si="13"/>
        <v>0</v>
      </c>
      <c r="S79" s="67">
        <f t="shared" si="7"/>
        <v>0</v>
      </c>
      <c r="T79" s="67">
        <f t="shared" si="8"/>
        <v>0</v>
      </c>
      <c r="U79" s="67">
        <f t="shared" si="9"/>
        <v>5.6900014792701029E-2</v>
      </c>
      <c r="V79" s="67">
        <f t="shared" si="10"/>
        <v>4.125716585956762E-3</v>
      </c>
      <c r="W79" s="100">
        <f t="shared" si="11"/>
        <v>2.7504777239711745E-3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4.8411065207560201E-2</v>
      </c>
      <c r="J80" s="67">
        <f t="shared" si="4"/>
        <v>3.510198290779466E-3</v>
      </c>
      <c r="K80" s="100">
        <f t="shared" si="6"/>
        <v>2.340132193852977E-3</v>
      </c>
      <c r="O80" s="96">
        <f>Amnt_Deposited!B75</f>
        <v>2061</v>
      </c>
      <c r="P80" s="99">
        <f>Amnt_Deposited!H75</f>
        <v>0</v>
      </c>
      <c r="Q80" s="284">
        <f>MCF!R79</f>
        <v>0.8</v>
      </c>
      <c r="R80" s="67">
        <f t="shared" si="13"/>
        <v>0</v>
      </c>
      <c r="S80" s="67">
        <f t="shared" si="7"/>
        <v>0</v>
      </c>
      <c r="T80" s="67">
        <f t="shared" si="8"/>
        <v>0</v>
      </c>
      <c r="U80" s="67">
        <f t="shared" si="9"/>
        <v>5.3053222145271473E-2</v>
      </c>
      <c r="V80" s="67">
        <f t="shared" si="10"/>
        <v>3.846792647429553E-3</v>
      </c>
      <c r="W80" s="100">
        <f t="shared" si="11"/>
        <v>2.5645284316197017E-3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4.5138178014593001E-2</v>
      </c>
      <c r="J81" s="67">
        <f t="shared" si="4"/>
        <v>3.2728871929671964E-3</v>
      </c>
      <c r="K81" s="100">
        <f t="shared" si="6"/>
        <v>2.1819247953114643E-3</v>
      </c>
      <c r="O81" s="96">
        <f>Amnt_Deposited!B76</f>
        <v>2062</v>
      </c>
      <c r="P81" s="99">
        <f>Amnt_Deposited!H76</f>
        <v>0</v>
      </c>
      <c r="Q81" s="284">
        <f>MCF!R80</f>
        <v>0.8</v>
      </c>
      <c r="R81" s="67">
        <f t="shared" si="13"/>
        <v>0</v>
      </c>
      <c r="S81" s="67">
        <f t="shared" si="7"/>
        <v>0</v>
      </c>
      <c r="T81" s="67">
        <f t="shared" si="8"/>
        <v>0</v>
      </c>
      <c r="U81" s="67">
        <f t="shared" si="9"/>
        <v>4.9466496454348516E-2</v>
      </c>
      <c r="V81" s="67">
        <f t="shared" si="10"/>
        <v>3.5867256909229567E-3</v>
      </c>
      <c r="W81" s="100">
        <f t="shared" si="11"/>
        <v>2.3911504606153045E-3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4.2086558222621064E-2</v>
      </c>
      <c r="J82" s="67">
        <f t="shared" si="4"/>
        <v>3.0516197919719405E-3</v>
      </c>
      <c r="K82" s="100">
        <f t="shared" si="6"/>
        <v>2.0344131946479602E-3</v>
      </c>
      <c r="O82" s="96">
        <f>Amnt_Deposited!B77</f>
        <v>2063</v>
      </c>
      <c r="P82" s="99">
        <f>Amnt_Deposited!H77</f>
        <v>0</v>
      </c>
      <c r="Q82" s="284">
        <f>MCF!R81</f>
        <v>0.8</v>
      </c>
      <c r="R82" s="67">
        <f t="shared" si="13"/>
        <v>0</v>
      </c>
      <c r="S82" s="67">
        <f t="shared" si="7"/>
        <v>0</v>
      </c>
      <c r="T82" s="67">
        <f t="shared" si="8"/>
        <v>0</v>
      </c>
      <c r="U82" s="67">
        <f t="shared" si="9"/>
        <v>4.6122255586434062E-2</v>
      </c>
      <c r="V82" s="67">
        <f t="shared" si="10"/>
        <v>3.3442408679144569E-3</v>
      </c>
      <c r="W82" s="100">
        <f t="shared" si="11"/>
        <v>2.2294939119429712E-3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3.9241246787883752E-2</v>
      </c>
      <c r="J83" s="67">
        <f t="shared" ref="J83:J99" si="18">I82*(1-$K$10)+H83</f>
        <v>2.8453114347373131E-3</v>
      </c>
      <c r="K83" s="100">
        <f t="shared" si="6"/>
        <v>1.8968742898248753E-3</v>
      </c>
      <c r="O83" s="96">
        <f>Amnt_Deposited!B78</f>
        <v>2064</v>
      </c>
      <c r="P83" s="99">
        <f>Amnt_Deposited!H78</f>
        <v>0</v>
      </c>
      <c r="Q83" s="284">
        <f>MCF!R82</f>
        <v>0.8</v>
      </c>
      <c r="R83" s="67">
        <f t="shared" ref="R83:R99" si="19">P83*$W$6*DOCF*Q83</f>
        <v>0</v>
      </c>
      <c r="S83" s="67">
        <f t="shared" si="7"/>
        <v>0</v>
      </c>
      <c r="T83" s="67">
        <f t="shared" si="8"/>
        <v>0</v>
      </c>
      <c r="U83" s="67">
        <f t="shared" si="9"/>
        <v>4.3004106068913715E-2</v>
      </c>
      <c r="V83" s="67">
        <f t="shared" si="10"/>
        <v>3.1181495175203445E-3</v>
      </c>
      <c r="W83" s="100">
        <f t="shared" si="11"/>
        <v>2.078766345013563E-3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3.6588295990426956E-2</v>
      </c>
      <c r="J84" s="67">
        <f t="shared" si="18"/>
        <v>2.6529507974567979E-3</v>
      </c>
      <c r="K84" s="100">
        <f t="shared" si="6"/>
        <v>1.7686338649711985E-3</v>
      </c>
      <c r="O84" s="96">
        <f>Amnt_Deposited!B79</f>
        <v>2065</v>
      </c>
      <c r="P84" s="99">
        <f>Amnt_Deposited!H79</f>
        <v>0</v>
      </c>
      <c r="Q84" s="284">
        <f>MCF!R83</f>
        <v>0.8</v>
      </c>
      <c r="R84" s="67">
        <f t="shared" si="19"/>
        <v>0</v>
      </c>
      <c r="S84" s="67">
        <f t="shared" si="7"/>
        <v>0</v>
      </c>
      <c r="T84" s="67">
        <f t="shared" si="8"/>
        <v>0</v>
      </c>
      <c r="U84" s="67">
        <f t="shared" si="9"/>
        <v>4.0096762729235035E-2</v>
      </c>
      <c r="V84" s="67">
        <f t="shared" si="10"/>
        <v>2.9073433396786834E-3</v>
      </c>
      <c r="W84" s="100">
        <f t="shared" si="11"/>
        <v>1.9382288931191222E-3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3.4114701062363681E-2</v>
      </c>
      <c r="J85" s="67">
        <f t="shared" si="18"/>
        <v>2.4735949280632755E-3</v>
      </c>
      <c r="K85" s="100">
        <f t="shared" ref="K85:K99" si="20">J85*CH4_fraction*conv</f>
        <v>1.6490632853755169E-3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3.7385973766973911E-2</v>
      </c>
      <c r="V85" s="67">
        <f t="shared" ref="V85:V98" si="24">U84*(1-$W$10)+T85</f>
        <v>2.7107889622611249E-3</v>
      </c>
      <c r="W85" s="100">
        <f t="shared" ref="W85:W99" si="25">V85*CH4_fraction*conv</f>
        <v>1.8071926415074166E-3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3.1808336438486781E-2</v>
      </c>
      <c r="J86" s="67">
        <f t="shared" si="18"/>
        <v>2.3063646238768967E-3</v>
      </c>
      <c r="K86" s="100">
        <f t="shared" si="20"/>
        <v>1.5375764159179311E-3</v>
      </c>
      <c r="O86" s="96">
        <f>Amnt_Deposited!B81</f>
        <v>2067</v>
      </c>
      <c r="P86" s="99">
        <f>Amnt_Deposited!H81</f>
        <v>0</v>
      </c>
      <c r="Q86" s="284">
        <f>MCF!R85</f>
        <v>0.8</v>
      </c>
      <c r="R86" s="67">
        <f t="shared" si="19"/>
        <v>0</v>
      </c>
      <c r="S86" s="67">
        <f t="shared" si="21"/>
        <v>0</v>
      </c>
      <c r="T86" s="67">
        <f t="shared" si="22"/>
        <v>0</v>
      </c>
      <c r="U86" s="67">
        <f t="shared" si="23"/>
        <v>3.4858450891492379E-2</v>
      </c>
      <c r="V86" s="67">
        <f t="shared" si="24"/>
        <v>2.5275228754815318E-3</v>
      </c>
      <c r="W86" s="100">
        <f t="shared" si="25"/>
        <v>1.6850152503210211E-3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2.9657896316734256E-2</v>
      </c>
      <c r="J87" s="67">
        <f t="shared" si="18"/>
        <v>2.1504401217525252E-3</v>
      </c>
      <c r="K87" s="100">
        <f t="shared" si="20"/>
        <v>1.4336267478350167E-3</v>
      </c>
      <c r="O87" s="96">
        <f>Amnt_Deposited!B82</f>
        <v>2068</v>
      </c>
      <c r="P87" s="99">
        <f>Amnt_Deposited!H82</f>
        <v>0</v>
      </c>
      <c r="Q87" s="284">
        <f>MCF!R86</f>
        <v>0.8</v>
      </c>
      <c r="R87" s="67">
        <f t="shared" si="19"/>
        <v>0</v>
      </c>
      <c r="S87" s="67">
        <f t="shared" si="21"/>
        <v>0</v>
      </c>
      <c r="T87" s="67">
        <f t="shared" si="22"/>
        <v>0</v>
      </c>
      <c r="U87" s="67">
        <f t="shared" si="23"/>
        <v>3.2501804182722485E-2</v>
      </c>
      <c r="V87" s="67">
        <f t="shared" si="24"/>
        <v>2.3566467087698917E-3</v>
      </c>
      <c r="W87" s="100">
        <f t="shared" si="25"/>
        <v>1.5710978058465943E-3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2.7652839237134408E-2</v>
      </c>
      <c r="J88" s="67">
        <f t="shared" si="18"/>
        <v>2.0050570795998495E-3</v>
      </c>
      <c r="K88" s="100">
        <f t="shared" si="20"/>
        <v>1.3367047197332328E-3</v>
      </c>
      <c r="O88" s="96">
        <f>Amnt_Deposited!B83</f>
        <v>2069</v>
      </c>
      <c r="P88" s="99">
        <f>Amnt_Deposited!H83</f>
        <v>0</v>
      </c>
      <c r="Q88" s="284">
        <f>MCF!R87</f>
        <v>0.8</v>
      </c>
      <c r="R88" s="67">
        <f t="shared" si="19"/>
        <v>0</v>
      </c>
      <c r="S88" s="67">
        <f t="shared" si="21"/>
        <v>0</v>
      </c>
      <c r="T88" s="67">
        <f t="shared" si="22"/>
        <v>0</v>
      </c>
      <c r="U88" s="67">
        <f t="shared" si="23"/>
        <v>3.0304481355763746E-2</v>
      </c>
      <c r="V88" s="67">
        <f t="shared" si="24"/>
        <v>2.19732282695874E-3</v>
      </c>
      <c r="W88" s="100">
        <f t="shared" si="25"/>
        <v>1.46488188463916E-3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2.5783336407556839E-2</v>
      </c>
      <c r="J89" s="67">
        <f t="shared" si="18"/>
        <v>1.8695028295775686E-3</v>
      </c>
      <c r="K89" s="100">
        <f t="shared" si="20"/>
        <v>1.246335219718379E-3</v>
      </c>
      <c r="O89" s="96">
        <f>Amnt_Deposited!B84</f>
        <v>2070</v>
      </c>
      <c r="P89" s="99">
        <f>Amnt_Deposited!H84</f>
        <v>0</v>
      </c>
      <c r="Q89" s="284">
        <f>MCF!R88</f>
        <v>0.8</v>
      </c>
      <c r="R89" s="67">
        <f t="shared" si="19"/>
        <v>0</v>
      </c>
      <c r="S89" s="67">
        <f t="shared" si="21"/>
        <v>0</v>
      </c>
      <c r="T89" s="67">
        <f t="shared" si="22"/>
        <v>0</v>
      </c>
      <c r="U89" s="67">
        <f t="shared" si="23"/>
        <v>2.8255711131569151E-2</v>
      </c>
      <c r="V89" s="67">
        <f t="shared" si="24"/>
        <v>2.0487702241945966E-3</v>
      </c>
      <c r="W89" s="100">
        <f t="shared" si="25"/>
        <v>1.3658468161297311E-3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2.4040223522962031E-2</v>
      </c>
      <c r="J90" s="67">
        <f t="shared" si="18"/>
        <v>1.7431128845948084E-3</v>
      </c>
      <c r="K90" s="100">
        <f t="shared" si="20"/>
        <v>1.1620752563965388E-3</v>
      </c>
      <c r="O90" s="96">
        <f>Amnt_Deposited!B85</f>
        <v>2071</v>
      </c>
      <c r="P90" s="99">
        <f>Amnt_Deposited!H85</f>
        <v>0</v>
      </c>
      <c r="Q90" s="284">
        <f>MCF!R89</f>
        <v>0.8</v>
      </c>
      <c r="R90" s="67">
        <f t="shared" si="19"/>
        <v>0</v>
      </c>
      <c r="S90" s="67">
        <f t="shared" si="21"/>
        <v>0</v>
      </c>
      <c r="T90" s="67">
        <f t="shared" si="22"/>
        <v>0</v>
      </c>
      <c r="U90" s="67">
        <f t="shared" si="23"/>
        <v>2.6345450436122783E-2</v>
      </c>
      <c r="V90" s="67">
        <f t="shared" si="24"/>
        <v>1.9102606954463661E-3</v>
      </c>
      <c r="W90" s="100">
        <f t="shared" si="25"/>
        <v>1.2735071302975773E-3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2.2414955841967402E-2</v>
      </c>
      <c r="J91" s="67">
        <f t="shared" si="18"/>
        <v>1.6252676809946297E-3</v>
      </c>
      <c r="K91" s="100">
        <f t="shared" si="20"/>
        <v>1.0835117873297532E-3</v>
      </c>
      <c r="O91" s="96">
        <f>Amnt_Deposited!B86</f>
        <v>2072</v>
      </c>
      <c r="P91" s="99">
        <f>Amnt_Deposited!H86</f>
        <v>0</v>
      </c>
      <c r="Q91" s="284">
        <f>MCF!R90</f>
        <v>0.8</v>
      </c>
      <c r="R91" s="67">
        <f t="shared" si="19"/>
        <v>0</v>
      </c>
      <c r="S91" s="67">
        <f t="shared" si="21"/>
        <v>0</v>
      </c>
      <c r="T91" s="67">
        <f t="shared" si="22"/>
        <v>0</v>
      </c>
      <c r="U91" s="67">
        <f t="shared" si="23"/>
        <v>2.4564335169279354E-2</v>
      </c>
      <c r="V91" s="67">
        <f t="shared" si="24"/>
        <v>1.7811152668434304E-3</v>
      </c>
      <c r="W91" s="100">
        <f t="shared" si="25"/>
        <v>1.1874101778956202E-3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2.0899566300515138E-2</v>
      </c>
      <c r="J92" s="67">
        <f t="shared" si="18"/>
        <v>1.515389541452265E-3</v>
      </c>
      <c r="K92" s="100">
        <f t="shared" si="20"/>
        <v>1.0102596943015098E-3</v>
      </c>
      <c r="O92" s="96">
        <f>Amnt_Deposited!B87</f>
        <v>2073</v>
      </c>
      <c r="P92" s="99">
        <f>Amnt_Deposited!H87</f>
        <v>0</v>
      </c>
      <c r="Q92" s="284">
        <f>MCF!R91</f>
        <v>0.8</v>
      </c>
      <c r="R92" s="67">
        <f t="shared" si="19"/>
        <v>0</v>
      </c>
      <c r="S92" s="67">
        <f t="shared" si="21"/>
        <v>0</v>
      </c>
      <c r="T92" s="67">
        <f t="shared" si="22"/>
        <v>0</v>
      </c>
      <c r="U92" s="67">
        <f t="shared" si="23"/>
        <v>2.2903634301934407E-2</v>
      </c>
      <c r="V92" s="67">
        <f t="shared" si="24"/>
        <v>1.6607008673449487E-3</v>
      </c>
      <c r="W92" s="100">
        <f t="shared" si="25"/>
        <v>1.107133911563299E-3</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1.9486626457314939E-2</v>
      </c>
      <c r="J93" s="67">
        <f t="shared" si="18"/>
        <v>1.4129398432002008E-3</v>
      </c>
      <c r="K93" s="100">
        <f t="shared" si="20"/>
        <v>9.4195989546680056E-4</v>
      </c>
      <c r="O93" s="96">
        <f>Amnt_Deposited!B88</f>
        <v>2074</v>
      </c>
      <c r="P93" s="99">
        <f>Amnt_Deposited!H88</f>
        <v>0</v>
      </c>
      <c r="Q93" s="284">
        <f>MCF!R92</f>
        <v>0.8</v>
      </c>
      <c r="R93" s="67">
        <f t="shared" si="19"/>
        <v>0</v>
      </c>
      <c r="S93" s="67">
        <f t="shared" si="21"/>
        <v>0</v>
      </c>
      <c r="T93" s="67">
        <f t="shared" si="22"/>
        <v>0</v>
      </c>
      <c r="U93" s="67">
        <f t="shared" si="23"/>
        <v>2.1355207076509529E-2</v>
      </c>
      <c r="V93" s="67">
        <f t="shared" si="24"/>
        <v>1.5484272254248782E-3</v>
      </c>
      <c r="W93" s="100">
        <f t="shared" si="25"/>
        <v>1.0322848169499188E-3</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1.8169210079616194E-2</v>
      </c>
      <c r="J94" s="67">
        <f t="shared" si="18"/>
        <v>1.3174163776987469E-3</v>
      </c>
      <c r="K94" s="100">
        <f t="shared" si="20"/>
        <v>8.7827758513249791E-4</v>
      </c>
      <c r="O94" s="96">
        <f>Amnt_Deposited!B89</f>
        <v>2075</v>
      </c>
      <c r="P94" s="99">
        <f>Amnt_Deposited!H89</f>
        <v>0</v>
      </c>
      <c r="Q94" s="284">
        <f>MCF!R93</f>
        <v>0.8</v>
      </c>
      <c r="R94" s="67">
        <f t="shared" si="19"/>
        <v>0</v>
      </c>
      <c r="S94" s="67">
        <f t="shared" si="21"/>
        <v>0</v>
      </c>
      <c r="T94" s="67">
        <f t="shared" si="22"/>
        <v>0</v>
      </c>
      <c r="U94" s="67">
        <f t="shared" si="23"/>
        <v>1.9911463100949257E-2</v>
      </c>
      <c r="V94" s="67">
        <f t="shared" si="24"/>
        <v>1.4437439755602712E-3</v>
      </c>
      <c r="W94" s="100">
        <f t="shared" si="25"/>
        <v>9.6249598370684738E-4</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1.6940859190807001E-2</v>
      </c>
      <c r="J95" s="67">
        <f t="shared" si="18"/>
        <v>1.2283508888091923E-3</v>
      </c>
      <c r="K95" s="100">
        <f t="shared" si="20"/>
        <v>8.1890059253946152E-4</v>
      </c>
      <c r="O95" s="96">
        <f>Amnt_Deposited!B90</f>
        <v>2076</v>
      </c>
      <c r="P95" s="99">
        <f>Amnt_Deposited!H90</f>
        <v>0</v>
      </c>
      <c r="Q95" s="284">
        <f>MCF!R94</f>
        <v>0.8</v>
      </c>
      <c r="R95" s="67">
        <f t="shared" si="19"/>
        <v>0</v>
      </c>
      <c r="S95" s="67">
        <f t="shared" si="21"/>
        <v>0</v>
      </c>
      <c r="T95" s="67">
        <f t="shared" si="22"/>
        <v>0</v>
      </c>
      <c r="U95" s="67">
        <f t="shared" si="23"/>
        <v>1.8565325140610416E-2</v>
      </c>
      <c r="V95" s="67">
        <f t="shared" si="24"/>
        <v>1.3461379603388411E-3</v>
      </c>
      <c r="W95" s="100">
        <f t="shared" si="25"/>
        <v>8.9742530689256072E-4</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1.5795552413405332E-2</v>
      </c>
      <c r="J96" s="67">
        <f t="shared" si="18"/>
        <v>1.1453067774016695E-3</v>
      </c>
      <c r="K96" s="100">
        <f t="shared" si="20"/>
        <v>7.6353785160111298E-4</v>
      </c>
      <c r="O96" s="96">
        <f>Amnt_Deposited!B91</f>
        <v>2077</v>
      </c>
      <c r="P96" s="99">
        <f>Amnt_Deposited!H91</f>
        <v>0</v>
      </c>
      <c r="Q96" s="284">
        <f>MCF!R95</f>
        <v>0.8</v>
      </c>
      <c r="R96" s="67">
        <f t="shared" si="19"/>
        <v>0</v>
      </c>
      <c r="S96" s="67">
        <f t="shared" si="21"/>
        <v>0</v>
      </c>
      <c r="T96" s="67">
        <f t="shared" si="22"/>
        <v>0</v>
      </c>
      <c r="U96" s="67">
        <f t="shared" si="23"/>
        <v>1.7310194425649683E-2</v>
      </c>
      <c r="V96" s="67">
        <f t="shared" si="24"/>
        <v>1.255130714960734E-3</v>
      </c>
      <c r="W96" s="100">
        <f t="shared" si="25"/>
        <v>8.3675380997382258E-4</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1.4727675452259618E-2</v>
      </c>
      <c r="J97" s="67">
        <f t="shared" si="18"/>
        <v>1.0678769611457142E-3</v>
      </c>
      <c r="K97" s="100">
        <f t="shared" si="20"/>
        <v>7.1191797409714274E-4</v>
      </c>
      <c r="O97" s="96">
        <f>Amnt_Deposited!B92</f>
        <v>2078</v>
      </c>
      <c r="P97" s="99">
        <f>Amnt_Deposited!H92</f>
        <v>0</v>
      </c>
      <c r="Q97" s="284">
        <f>MCF!R96</f>
        <v>0.8</v>
      </c>
      <c r="R97" s="67">
        <f t="shared" si="19"/>
        <v>0</v>
      </c>
      <c r="S97" s="67">
        <f t="shared" si="21"/>
        <v>0</v>
      </c>
      <c r="T97" s="67">
        <f t="shared" si="22"/>
        <v>0</v>
      </c>
      <c r="U97" s="67">
        <f t="shared" si="23"/>
        <v>1.613991830384616E-2</v>
      </c>
      <c r="V97" s="67">
        <f t="shared" si="24"/>
        <v>1.1702761218035228E-3</v>
      </c>
      <c r="W97" s="100">
        <f t="shared" si="25"/>
        <v>7.8018408120234851E-4</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1.3731993573267409E-2</v>
      </c>
      <c r="J98" s="67">
        <f t="shared" si="18"/>
        <v>9.9568187899220844E-4</v>
      </c>
      <c r="K98" s="100">
        <f t="shared" si="20"/>
        <v>6.6378791932813889E-4</v>
      </c>
      <c r="O98" s="96">
        <f>Amnt_Deposited!B93</f>
        <v>2079</v>
      </c>
      <c r="P98" s="99">
        <f>Amnt_Deposited!H93</f>
        <v>0</v>
      </c>
      <c r="Q98" s="284">
        <f>MCF!R97</f>
        <v>0.8</v>
      </c>
      <c r="R98" s="67">
        <f t="shared" si="19"/>
        <v>0</v>
      </c>
      <c r="S98" s="67">
        <f t="shared" si="21"/>
        <v>0</v>
      </c>
      <c r="T98" s="67">
        <f t="shared" si="22"/>
        <v>0</v>
      </c>
      <c r="U98" s="67">
        <f t="shared" si="23"/>
        <v>1.5048760080293055E-2</v>
      </c>
      <c r="V98" s="67">
        <f t="shared" si="24"/>
        <v>1.0911582235531053E-3</v>
      </c>
      <c r="W98" s="100">
        <f t="shared" si="25"/>
        <v>7.2743881570207019E-4</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1.2803625942702731E-2</v>
      </c>
      <c r="J99" s="68">
        <f t="shared" si="18"/>
        <v>9.2836763056467733E-4</v>
      </c>
      <c r="K99" s="102">
        <f t="shared" si="20"/>
        <v>6.1891175370978489E-4</v>
      </c>
      <c r="O99" s="97">
        <f>Amnt_Deposited!B94</f>
        <v>2080</v>
      </c>
      <c r="P99" s="101">
        <f>Amnt_Deposited!H94</f>
        <v>0</v>
      </c>
      <c r="Q99" s="285">
        <f>MCF!R98</f>
        <v>0.8</v>
      </c>
      <c r="R99" s="68">
        <f t="shared" si="19"/>
        <v>0</v>
      </c>
      <c r="S99" s="68">
        <f>R99*$W$12</f>
        <v>0</v>
      </c>
      <c r="T99" s="68">
        <f>R99*(1-$W$12)</f>
        <v>0</v>
      </c>
      <c r="U99" s="68">
        <f>S99+U98*$W$10</f>
        <v>1.4031370896112587E-2</v>
      </c>
      <c r="V99" s="68">
        <f>U98*(1-$W$10)+T99</f>
        <v>1.0173891841804687E-3</v>
      </c>
      <c r="W99" s="102">
        <f t="shared" si="25"/>
        <v>6.7825945612031238E-4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E15" sqref="E15: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0" t="s">
        <v>342</v>
      </c>
      <c r="E2" s="781"/>
      <c r="F2" s="782"/>
    </row>
    <row r="3" spans="1:18" ht="16.5" thickBot="1">
      <c r="B3" s="12"/>
      <c r="C3" s="5" t="s">
        <v>276</v>
      </c>
      <c r="D3" s="780" t="s">
        <v>337</v>
      </c>
      <c r="E3" s="781"/>
      <c r="F3" s="782"/>
    </row>
    <row r="4" spans="1:18" ht="16.5" thickBot="1">
      <c r="B4" s="12"/>
      <c r="C4" s="5" t="s">
        <v>30</v>
      </c>
      <c r="D4" s="780" t="s">
        <v>266</v>
      </c>
      <c r="E4" s="781"/>
      <c r="F4" s="782"/>
    </row>
    <row r="5" spans="1:18" ht="16.5" thickBot="1">
      <c r="B5" s="12"/>
      <c r="C5" s="5" t="s">
        <v>117</v>
      </c>
      <c r="D5" s="783"/>
      <c r="E5" s="784"/>
      <c r="F5" s="785"/>
    </row>
    <row r="6" spans="1:18">
      <c r="B6" s="13" t="s">
        <v>201</v>
      </c>
    </row>
    <row r="7" spans="1:18">
      <c r="B7" s="20" t="s">
        <v>31</v>
      </c>
    </row>
    <row r="8" spans="1:18" ht="13.5" thickBot="1">
      <c r="B8" s="20"/>
    </row>
    <row r="9" spans="1:18" ht="12.75" customHeight="1">
      <c r="A9" s="1"/>
      <c r="C9" s="778" t="s">
        <v>18</v>
      </c>
      <c r="D9" s="779"/>
      <c r="E9" s="776" t="s">
        <v>100</v>
      </c>
      <c r="F9" s="777"/>
      <c r="H9" s="778" t="s">
        <v>18</v>
      </c>
      <c r="I9" s="779"/>
      <c r="J9" s="776" t="s">
        <v>100</v>
      </c>
      <c r="K9" s="77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74" t="s">
        <v>250</v>
      </c>
      <c r="D12" s="775"/>
      <c r="E12" s="774" t="s">
        <v>250</v>
      </c>
      <c r="F12" s="775"/>
      <c r="H12" s="774" t="s">
        <v>251</v>
      </c>
      <c r="I12" s="775"/>
      <c r="J12" s="774" t="s">
        <v>251</v>
      </c>
      <c r="K12" s="77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709">
        <f>INDEX(DOC_table,IF(Select2=1,1,14),1)</f>
        <v>0.38</v>
      </c>
      <c r="E15" s="713">
        <f>D15</f>
        <v>0.38</v>
      </c>
      <c r="F15" s="711"/>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709">
        <f>INDEX(DOC_table,IF(Select2=1,2,13),1)</f>
        <v>0.44</v>
      </c>
      <c r="E16" s="713">
        <f t="shared" ref="E16:E25" si="0">D16</f>
        <v>0.44</v>
      </c>
      <c r="F16" s="712"/>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709">
        <f>INDEX(DOC_table,IF(Select2=1,3,15),1)</f>
        <v>0.49</v>
      </c>
      <c r="E17" s="713">
        <f t="shared" si="0"/>
        <v>0.49</v>
      </c>
      <c r="F17" s="712"/>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276">
        <f>IF(Select2=1,INDEX(DOC_table,4,1),"")</f>
        <v>0.3</v>
      </c>
      <c r="E18" s="713">
        <f t="shared" si="0"/>
        <v>0.3</v>
      </c>
      <c r="F18" s="712"/>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276">
        <f>IF(Select2=1,INDEX(DOC_table,5,1),"")</f>
        <v>0.47</v>
      </c>
      <c r="E19" s="713">
        <f t="shared" si="0"/>
        <v>0.47</v>
      </c>
      <c r="F19" s="712"/>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276">
        <f>IF(Select2=1,INDEX(DOC_table,6,1),"")</f>
        <v>0.5</v>
      </c>
      <c r="E20" s="713">
        <f t="shared" si="0"/>
        <v>0.5</v>
      </c>
      <c r="F20" s="712"/>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276">
        <f>IF(Select2=1,INDEX(DOC_table,7,1),"")</f>
        <v>0.6</v>
      </c>
      <c r="E21" s="713">
        <f t="shared" si="0"/>
        <v>0.6</v>
      </c>
      <c r="F21" s="712"/>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710">
        <f>IF(Select2=1,INDEX(DOC_table,9,1),"")</f>
        <v>0</v>
      </c>
      <c r="E22" s="713">
        <f t="shared" si="0"/>
        <v>0</v>
      </c>
      <c r="F22" s="712"/>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710">
        <f>IF(Select2=1,INDEX(DOC_table,10,1),"")</f>
        <v>0</v>
      </c>
      <c r="E23" s="713">
        <f t="shared" si="0"/>
        <v>0</v>
      </c>
      <c r="F23" s="712"/>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710">
        <f>IF(Select2=1,INDEX(DOC_table,11,1),"")</f>
        <v>0</v>
      </c>
      <c r="E24" s="713">
        <f t="shared" si="0"/>
        <v>0</v>
      </c>
      <c r="F24" s="712"/>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710">
        <f>IF(Select2=1,INDEX(DOC_table,12,1),"")</f>
        <v>0</v>
      </c>
      <c r="E25" s="713">
        <f t="shared" si="0"/>
        <v>0</v>
      </c>
      <c r="F25" s="712"/>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71" t="s">
        <v>250</v>
      </c>
      <c r="E61" s="772"/>
      <c r="F61" s="773"/>
      <c r="H61" s="38"/>
      <c r="I61" s="771" t="s">
        <v>251</v>
      </c>
      <c r="J61" s="772"/>
      <c r="K61" s="77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86" t="s">
        <v>317</v>
      </c>
      <c r="C71" s="786"/>
      <c r="D71" s="787" t="s">
        <v>318</v>
      </c>
      <c r="E71" s="787"/>
      <c r="F71" s="787"/>
      <c r="G71" s="787"/>
      <c r="H71" s="787"/>
    </row>
    <row r="72" spans="2:8">
      <c r="B72" s="786" t="s">
        <v>319</v>
      </c>
      <c r="C72" s="786"/>
      <c r="D72" s="787" t="s">
        <v>320</v>
      </c>
      <c r="E72" s="787"/>
      <c r="F72" s="787"/>
      <c r="G72" s="787"/>
      <c r="H72" s="787"/>
    </row>
    <row r="73" spans="2:8">
      <c r="B73" s="786" t="s">
        <v>321</v>
      </c>
      <c r="C73" s="786"/>
      <c r="D73" s="787" t="s">
        <v>322</v>
      </c>
      <c r="E73" s="787"/>
      <c r="F73" s="787"/>
      <c r="G73" s="787"/>
      <c r="H73" s="787"/>
    </row>
    <row r="74" spans="2:8">
      <c r="B74" s="786" t="s">
        <v>323</v>
      </c>
      <c r="C74" s="786"/>
      <c r="D74" s="787" t="s">
        <v>324</v>
      </c>
      <c r="E74" s="787"/>
      <c r="F74" s="787"/>
      <c r="G74" s="787"/>
      <c r="H74" s="787"/>
    </row>
    <row r="75" spans="2:8">
      <c r="B75" s="561"/>
      <c r="C75" s="562"/>
      <c r="D75" s="562"/>
      <c r="E75" s="562"/>
      <c r="F75" s="562"/>
      <c r="G75" s="562"/>
      <c r="H75" s="562"/>
    </row>
    <row r="76" spans="2:8">
      <c r="B76" s="564"/>
      <c r="C76" s="565" t="s">
        <v>325</v>
      </c>
      <c r="D76" s="566" t="s">
        <v>87</v>
      </c>
      <c r="E76" s="566" t="s">
        <v>88</v>
      </c>
    </row>
    <row r="77" spans="2:8">
      <c r="B77" s="792" t="s">
        <v>133</v>
      </c>
      <c r="C77" s="567" t="s">
        <v>326</v>
      </c>
      <c r="D77" s="568" t="s">
        <v>327</v>
      </c>
      <c r="E77" s="568" t="s">
        <v>9</v>
      </c>
      <c r="F77" s="488"/>
      <c r="G77" s="547"/>
      <c r="H77" s="6"/>
    </row>
    <row r="78" spans="2:8">
      <c r="B78" s="793"/>
      <c r="C78" s="569"/>
      <c r="D78" s="570"/>
      <c r="E78" s="571"/>
      <c r="F78" s="6"/>
      <c r="G78" s="488"/>
      <c r="H78" s="6"/>
    </row>
    <row r="79" spans="2:8">
      <c r="B79" s="793"/>
      <c r="C79" s="569"/>
      <c r="D79" s="570"/>
      <c r="E79" s="571"/>
      <c r="F79" s="6"/>
      <c r="G79" s="488"/>
      <c r="H79" s="6"/>
    </row>
    <row r="80" spans="2:8">
      <c r="B80" s="793"/>
      <c r="C80" s="569"/>
      <c r="D80" s="570"/>
      <c r="E80" s="571"/>
      <c r="F80" s="6"/>
      <c r="G80" s="488"/>
      <c r="H80" s="6"/>
    </row>
    <row r="81" spans="2:8">
      <c r="B81" s="793"/>
      <c r="C81" s="569"/>
      <c r="D81" s="570"/>
      <c r="E81" s="571"/>
      <c r="F81" s="6"/>
      <c r="G81" s="488"/>
      <c r="H81" s="6"/>
    </row>
    <row r="82" spans="2:8">
      <c r="B82" s="793"/>
      <c r="C82" s="569"/>
      <c r="D82" s="570" t="s">
        <v>328</v>
      </c>
      <c r="E82" s="571"/>
      <c r="F82" s="6"/>
      <c r="G82" s="488"/>
      <c r="H82" s="6"/>
    </row>
    <row r="83" spans="2:8" ht="13.5" thickBot="1">
      <c r="B83" s="794"/>
      <c r="C83" s="572"/>
      <c r="D83" s="572"/>
      <c r="E83" s="573" t="s">
        <v>329</v>
      </c>
      <c r="F83" s="6"/>
      <c r="G83" s="6"/>
      <c r="H83" s="6"/>
    </row>
    <row r="84" spans="2:8" ht="13.5" thickTop="1">
      <c r="B84" s="564"/>
      <c r="C84" s="571"/>
      <c r="D84" s="564"/>
      <c r="E84" s="574"/>
      <c r="F84" s="6"/>
      <c r="G84" s="6"/>
      <c r="H84" s="6"/>
    </row>
    <row r="85" spans="2:8">
      <c r="B85" s="788" t="s">
        <v>330</v>
      </c>
      <c r="C85" s="789"/>
      <c r="D85" s="789"/>
      <c r="E85" s="790"/>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91" t="s">
        <v>333</v>
      </c>
      <c r="C95" s="791"/>
      <c r="D95" s="791"/>
      <c r="E95" s="578">
        <f>SUM(E86:E94)</f>
        <v>0.13702</v>
      </c>
    </row>
    <row r="96" spans="2:8">
      <c r="B96" s="788" t="s">
        <v>334</v>
      </c>
      <c r="C96" s="789"/>
      <c r="D96" s="789"/>
      <c r="E96" s="790"/>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91" t="s">
        <v>333</v>
      </c>
      <c r="C106" s="791"/>
      <c r="D106" s="791"/>
      <c r="E106" s="578">
        <f>SUM(E97:E105)</f>
        <v>0.15982100000000002</v>
      </c>
    </row>
    <row r="107" spans="2:5">
      <c r="B107" s="788" t="s">
        <v>335</v>
      </c>
      <c r="C107" s="789"/>
      <c r="D107" s="789"/>
      <c r="E107" s="790"/>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91" t="s">
        <v>333</v>
      </c>
      <c r="C117" s="791"/>
      <c r="D117" s="791"/>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7.2405809520000002</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7.2405809520000002</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7.6422532559999992</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7.6422532559999992</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8.0746242720000012</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8.0746242720000012</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8.2224465840000001</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8.2224465840000001</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8.6752217639999998</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8.6752217639999998</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9.2991206880000004</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9.2991206880000004</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9.6775532039999987</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9.6775532039999987</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10.067019996000001</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10.067019996000001</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10.466719692</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10.466719692</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10.875357768000001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10.875357768000001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11.039145875999999</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11.039145875999999</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10.422655440000002</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10.422655440000002</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10.735919040000001</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10.735919040000001</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11.061623520000001</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11.061623520000001</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11.38861692</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11.38861692</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11.706363720000001</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11.706363720000001</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12.038961120000003</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12.038961120000003</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12.457647168000003</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12.457647168000003</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12.799709724</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12.799709724</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13.141772280000001</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13.141772280000001</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13.483834836</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13.483834836</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13.825897392</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13.825897392</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14.167959947999998</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14.167959947999998</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14.510022503999998</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14.510022503999998</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14.852085060000002</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14.852085060000002</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15.194147616000004</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15.194147616000004</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15.536210172000001</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15.536210172000001</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15.878272727999997</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15.878272727999997</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16.220335284000001</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16.220335284000001</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16.562397839999999</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16.562397839999999</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16.904460396000005</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16.904460396000005</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I15" sqref="I15:N15"/>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14" t="s">
        <v>106</v>
      </c>
      <c r="Q2" s="798" t="s">
        <v>107</v>
      </c>
      <c r="R2" s="798"/>
      <c r="S2" s="798"/>
      <c r="T2" s="798"/>
    </row>
    <row r="4" spans="2:20">
      <c r="C4" s="587" t="s">
        <v>26</v>
      </c>
    </row>
    <row r="5" spans="2:20">
      <c r="C5" s="587" t="s">
        <v>281</v>
      </c>
    </row>
    <row r="6" spans="2:20">
      <c r="C6" s="587" t="s">
        <v>29</v>
      </c>
    </row>
    <row r="7" spans="2:20">
      <c r="C7" s="587" t="s">
        <v>109</v>
      </c>
    </row>
    <row r="8" spans="2:20" ht="13.5" thickBot="1"/>
    <row r="9" spans="2:20" ht="13.5" thickBot="1">
      <c r="C9" s="799" t="s">
        <v>95</v>
      </c>
      <c r="D9" s="800"/>
      <c r="E9" s="800"/>
      <c r="F9" s="800"/>
      <c r="G9" s="800"/>
      <c r="H9" s="801"/>
      <c r="I9" s="807" t="s">
        <v>308</v>
      </c>
      <c r="J9" s="808"/>
      <c r="K9" s="808"/>
      <c r="L9" s="808"/>
      <c r="M9" s="808"/>
      <c r="N9" s="809"/>
      <c r="R9" s="715" t="s">
        <v>95</v>
      </c>
      <c r="S9" s="708" t="s">
        <v>308</v>
      </c>
    </row>
    <row r="10" spans="2:20" s="723" customFormat="1" ht="38.25" customHeight="1">
      <c r="B10" s="716"/>
      <c r="C10" s="717" t="s">
        <v>341</v>
      </c>
      <c r="D10" s="718" t="s">
        <v>340</v>
      </c>
      <c r="E10" s="718" t="s">
        <v>338</v>
      </c>
      <c r="F10" s="718" t="s">
        <v>206</v>
      </c>
      <c r="G10" s="718" t="s">
        <v>339</v>
      </c>
      <c r="H10" s="719" t="s">
        <v>161</v>
      </c>
      <c r="I10" s="720" t="s">
        <v>104</v>
      </c>
      <c r="J10" s="721" t="s">
        <v>105</v>
      </c>
      <c r="K10" s="721" t="s">
        <v>0</v>
      </c>
      <c r="L10" s="721" t="s">
        <v>206</v>
      </c>
      <c r="M10" s="721" t="s">
        <v>103</v>
      </c>
      <c r="N10" s="722" t="s">
        <v>161</v>
      </c>
      <c r="O10" s="707" t="s">
        <v>28</v>
      </c>
      <c r="R10" s="802" t="s">
        <v>147</v>
      </c>
      <c r="S10" s="802" t="s">
        <v>315</v>
      </c>
    </row>
    <row r="11" spans="2:20" s="728" customFormat="1" ht="13.5" thickBot="1">
      <c r="B11" s="724"/>
      <c r="C11" s="724" t="s">
        <v>11</v>
      </c>
      <c r="D11" s="725" t="s">
        <v>11</v>
      </c>
      <c r="E11" s="725" t="s">
        <v>11</v>
      </c>
      <c r="F11" s="725" t="s">
        <v>11</v>
      </c>
      <c r="G11" s="725" t="s">
        <v>11</v>
      </c>
      <c r="H11" s="726"/>
      <c r="I11" s="724" t="s">
        <v>11</v>
      </c>
      <c r="J11" s="725" t="s">
        <v>11</v>
      </c>
      <c r="K11" s="725" t="s">
        <v>11</v>
      </c>
      <c r="L11" s="725" t="s">
        <v>11</v>
      </c>
      <c r="M11" s="725" t="s">
        <v>11</v>
      </c>
      <c r="N11" s="726"/>
      <c r="O11" s="727"/>
      <c r="R11" s="803"/>
      <c r="S11" s="803"/>
    </row>
    <row r="12" spans="2:20" s="728" customFormat="1" ht="13.5" thickBot="1">
      <c r="B12" s="729" t="s">
        <v>25</v>
      </c>
      <c r="C12" s="730">
        <v>0.4</v>
      </c>
      <c r="D12" s="731">
        <v>0.8</v>
      </c>
      <c r="E12" s="731">
        <v>1</v>
      </c>
      <c r="F12" s="731">
        <v>0.5</v>
      </c>
      <c r="G12" s="731">
        <v>0.6</v>
      </c>
      <c r="H12" s="732"/>
      <c r="I12" s="730">
        <v>0.4</v>
      </c>
      <c r="J12" s="731">
        <v>0.8</v>
      </c>
      <c r="K12" s="731">
        <v>1</v>
      </c>
      <c r="L12" s="731">
        <v>0.5</v>
      </c>
      <c r="M12" s="731">
        <v>0.6</v>
      </c>
      <c r="N12" s="732"/>
      <c r="O12" s="733"/>
      <c r="R12" s="803"/>
      <c r="S12" s="803"/>
    </row>
    <row r="13" spans="2:20" s="728" customFormat="1" ht="26.25" thickBot="1">
      <c r="B13" s="729" t="s">
        <v>159</v>
      </c>
      <c r="C13" s="734">
        <f>C12</f>
        <v>0.4</v>
      </c>
      <c r="D13" s="735">
        <f>D12</f>
        <v>0.8</v>
      </c>
      <c r="E13" s="735">
        <f>E12</f>
        <v>1</v>
      </c>
      <c r="F13" s="735">
        <f>F12</f>
        <v>0.5</v>
      </c>
      <c r="G13" s="735">
        <f>G12</f>
        <v>0.6</v>
      </c>
      <c r="H13" s="736"/>
      <c r="I13" s="734">
        <v>0.4</v>
      </c>
      <c r="J13" s="735">
        <v>0.8</v>
      </c>
      <c r="K13" s="735">
        <v>1</v>
      </c>
      <c r="L13" s="735">
        <v>0.5</v>
      </c>
      <c r="M13" s="735">
        <v>0.6</v>
      </c>
      <c r="N13" s="736"/>
      <c r="O13" s="737"/>
      <c r="R13" s="803"/>
      <c r="S13" s="803"/>
    </row>
    <row r="14" spans="2:20" s="728" customFormat="1" ht="13.5" thickBot="1">
      <c r="B14" s="738"/>
      <c r="C14" s="738"/>
      <c r="D14" s="739"/>
      <c r="E14" s="739"/>
      <c r="F14" s="739"/>
      <c r="G14" s="739"/>
      <c r="H14" s="740"/>
      <c r="I14" s="738"/>
      <c r="J14" s="739"/>
      <c r="K14" s="739"/>
      <c r="L14" s="739"/>
      <c r="M14" s="739"/>
      <c r="N14" s="740"/>
      <c r="O14" s="741"/>
      <c r="R14" s="803"/>
      <c r="S14" s="803"/>
    </row>
    <row r="15" spans="2:20" s="728" customFormat="1" ht="12.75" customHeight="1" thickBot="1">
      <c r="B15" s="742"/>
      <c r="C15" s="795" t="s">
        <v>158</v>
      </c>
      <c r="D15" s="796"/>
      <c r="E15" s="796"/>
      <c r="F15" s="796"/>
      <c r="G15" s="796"/>
      <c r="H15" s="797"/>
      <c r="I15" s="795" t="s">
        <v>158</v>
      </c>
      <c r="J15" s="796"/>
      <c r="K15" s="796"/>
      <c r="L15" s="796"/>
      <c r="M15" s="796"/>
      <c r="N15" s="797"/>
      <c r="O15" s="743"/>
      <c r="R15" s="803"/>
      <c r="S15" s="803"/>
    </row>
    <row r="16" spans="2:20" s="728" customFormat="1" ht="26.25" thickBot="1">
      <c r="B16" s="729" t="s">
        <v>160</v>
      </c>
      <c r="C16" s="744">
        <v>0</v>
      </c>
      <c r="D16" s="745">
        <v>1</v>
      </c>
      <c r="E16" s="745">
        <v>0</v>
      </c>
      <c r="F16" s="745">
        <v>0</v>
      </c>
      <c r="G16" s="745">
        <v>0</v>
      </c>
      <c r="H16" s="805" t="s">
        <v>36</v>
      </c>
      <c r="I16" s="746">
        <v>0.2</v>
      </c>
      <c r="J16" s="747">
        <v>0.3</v>
      </c>
      <c r="K16" s="747">
        <v>0.25</v>
      </c>
      <c r="L16" s="747">
        <v>0.05</v>
      </c>
      <c r="M16" s="747">
        <v>0.2</v>
      </c>
      <c r="N16" s="805" t="s">
        <v>36</v>
      </c>
      <c r="O16" s="748"/>
      <c r="R16" s="804"/>
      <c r="S16" s="804"/>
    </row>
    <row r="17" spans="2:19" s="728" customFormat="1" ht="13.5" thickBot="1">
      <c r="B17" s="749" t="s">
        <v>1</v>
      </c>
      <c r="C17" s="749" t="s">
        <v>24</v>
      </c>
      <c r="D17" s="750" t="s">
        <v>24</v>
      </c>
      <c r="E17" s="750" t="s">
        <v>24</v>
      </c>
      <c r="F17" s="750" t="s">
        <v>24</v>
      </c>
      <c r="G17" s="750" t="s">
        <v>24</v>
      </c>
      <c r="H17" s="806"/>
      <c r="I17" s="749" t="s">
        <v>24</v>
      </c>
      <c r="J17" s="750" t="s">
        <v>24</v>
      </c>
      <c r="K17" s="750" t="s">
        <v>24</v>
      </c>
      <c r="L17" s="750" t="s">
        <v>24</v>
      </c>
      <c r="M17" s="750" t="s">
        <v>24</v>
      </c>
      <c r="N17" s="806"/>
      <c r="O17" s="727"/>
      <c r="R17" s="729" t="s">
        <v>157</v>
      </c>
      <c r="S17" s="751" t="s">
        <v>157</v>
      </c>
    </row>
    <row r="18" spans="2:19">
      <c r="B18" s="752">
        <f>year</f>
        <v>2000</v>
      </c>
      <c r="C18" s="753">
        <f>C$16</f>
        <v>0</v>
      </c>
      <c r="D18" s="754">
        <f t="shared" ref="D18:G33" si="0">D$16</f>
        <v>1</v>
      </c>
      <c r="E18" s="754">
        <f t="shared" si="0"/>
        <v>0</v>
      </c>
      <c r="F18" s="754">
        <f t="shared" si="0"/>
        <v>0</v>
      </c>
      <c r="G18" s="754">
        <f t="shared" si="0"/>
        <v>0</v>
      </c>
      <c r="H18" s="755">
        <f>SUM(C18:G18)</f>
        <v>1</v>
      </c>
      <c r="I18" s="753">
        <f>I$16</f>
        <v>0.2</v>
      </c>
      <c r="J18" s="754">
        <f t="shared" ref="J18:M33" si="1">J$16</f>
        <v>0.3</v>
      </c>
      <c r="K18" s="754">
        <f t="shared" si="1"/>
        <v>0.25</v>
      </c>
      <c r="L18" s="754">
        <f t="shared" si="1"/>
        <v>0.05</v>
      </c>
      <c r="M18" s="754">
        <f t="shared" si="1"/>
        <v>0.2</v>
      </c>
      <c r="N18" s="755">
        <f>SUM(I18:M18)</f>
        <v>1</v>
      </c>
      <c r="O18" s="620"/>
      <c r="R18" s="756">
        <f>C18*C$13+D18*D$13+E18*E$13+F18*F$13+G18*G$13</f>
        <v>0.8</v>
      </c>
      <c r="S18" s="757">
        <f>I18*I$13+J18*J$13+K18*K$13+L18*L$13+M18*M$13</f>
        <v>0.71500000000000008</v>
      </c>
    </row>
    <row r="19" spans="2:19">
      <c r="B19" s="758">
        <f t="shared" ref="B19:B50" si="2">B18+1</f>
        <v>2001</v>
      </c>
      <c r="C19" s="759">
        <f t="shared" ref="C19:G50" si="3">C$16</f>
        <v>0</v>
      </c>
      <c r="D19" s="760">
        <f t="shared" si="0"/>
        <v>1</v>
      </c>
      <c r="E19" s="760">
        <f t="shared" si="0"/>
        <v>0</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0.8</v>
      </c>
      <c r="S19" s="757">
        <f t="shared" ref="S19:S82" si="8">I19*I$13+J19*J$13+K19*K$13+L19*L$13+M19*M$13</f>
        <v>0.71500000000000008</v>
      </c>
    </row>
    <row r="20" spans="2:19">
      <c r="B20" s="758">
        <f t="shared" si="2"/>
        <v>2002</v>
      </c>
      <c r="C20" s="759">
        <f t="shared" si="3"/>
        <v>0</v>
      </c>
      <c r="D20" s="760">
        <f t="shared" si="0"/>
        <v>1</v>
      </c>
      <c r="E20" s="760">
        <f t="shared" si="0"/>
        <v>0</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0.8</v>
      </c>
      <c r="S20" s="757">
        <f t="shared" si="8"/>
        <v>0.71500000000000008</v>
      </c>
    </row>
    <row r="21" spans="2:19">
      <c r="B21" s="758">
        <f t="shared" si="2"/>
        <v>2003</v>
      </c>
      <c r="C21" s="759">
        <f t="shared" si="3"/>
        <v>0</v>
      </c>
      <c r="D21" s="760">
        <f t="shared" si="0"/>
        <v>1</v>
      </c>
      <c r="E21" s="760">
        <f t="shared" si="0"/>
        <v>0</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0.8</v>
      </c>
      <c r="S21" s="757">
        <f t="shared" si="8"/>
        <v>0.71500000000000008</v>
      </c>
    </row>
    <row r="22" spans="2:19">
      <c r="B22" s="758">
        <f t="shared" si="2"/>
        <v>2004</v>
      </c>
      <c r="C22" s="759">
        <f t="shared" si="3"/>
        <v>0</v>
      </c>
      <c r="D22" s="760">
        <f t="shared" si="0"/>
        <v>1</v>
      </c>
      <c r="E22" s="760">
        <f t="shared" si="0"/>
        <v>0</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0.8</v>
      </c>
      <c r="S22" s="757">
        <f t="shared" si="8"/>
        <v>0.71500000000000008</v>
      </c>
    </row>
    <row r="23" spans="2:19">
      <c r="B23" s="758">
        <f t="shared" si="2"/>
        <v>2005</v>
      </c>
      <c r="C23" s="759">
        <f t="shared" si="3"/>
        <v>0</v>
      </c>
      <c r="D23" s="760">
        <f t="shared" si="0"/>
        <v>1</v>
      </c>
      <c r="E23" s="760">
        <f t="shared" si="0"/>
        <v>0</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0.8</v>
      </c>
      <c r="S23" s="757">
        <f t="shared" si="8"/>
        <v>0.71500000000000008</v>
      </c>
    </row>
    <row r="24" spans="2:19">
      <c r="B24" s="758">
        <f t="shared" si="2"/>
        <v>2006</v>
      </c>
      <c r="C24" s="759">
        <f t="shared" si="3"/>
        <v>0</v>
      </c>
      <c r="D24" s="760">
        <f t="shared" si="0"/>
        <v>1</v>
      </c>
      <c r="E24" s="760">
        <f t="shared" si="0"/>
        <v>0</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0.8</v>
      </c>
      <c r="S24" s="757">
        <f t="shared" si="8"/>
        <v>0.71500000000000008</v>
      </c>
    </row>
    <row r="25" spans="2:19">
      <c r="B25" s="758">
        <f t="shared" si="2"/>
        <v>2007</v>
      </c>
      <c r="C25" s="759">
        <f t="shared" si="3"/>
        <v>0</v>
      </c>
      <c r="D25" s="760">
        <f t="shared" si="0"/>
        <v>1</v>
      </c>
      <c r="E25" s="760">
        <f t="shared" si="0"/>
        <v>0</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0.8</v>
      </c>
      <c r="S25" s="757">
        <f t="shared" si="8"/>
        <v>0.71500000000000008</v>
      </c>
    </row>
    <row r="26" spans="2:19">
      <c r="B26" s="758">
        <f t="shared" si="2"/>
        <v>2008</v>
      </c>
      <c r="C26" s="759">
        <f t="shared" si="3"/>
        <v>0</v>
      </c>
      <c r="D26" s="760">
        <f t="shared" si="0"/>
        <v>1</v>
      </c>
      <c r="E26" s="760">
        <f t="shared" si="0"/>
        <v>0</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0.8</v>
      </c>
      <c r="S26" s="757">
        <f t="shared" si="8"/>
        <v>0.71500000000000008</v>
      </c>
    </row>
    <row r="27" spans="2:19">
      <c r="B27" s="758">
        <f t="shared" si="2"/>
        <v>2009</v>
      </c>
      <c r="C27" s="759">
        <f t="shared" si="3"/>
        <v>0</v>
      </c>
      <c r="D27" s="760">
        <f t="shared" si="0"/>
        <v>1</v>
      </c>
      <c r="E27" s="760">
        <f t="shared" si="0"/>
        <v>0</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0.8</v>
      </c>
      <c r="S27" s="757">
        <f t="shared" si="8"/>
        <v>0.71500000000000008</v>
      </c>
    </row>
    <row r="28" spans="2:19">
      <c r="B28" s="758">
        <f t="shared" si="2"/>
        <v>2010</v>
      </c>
      <c r="C28" s="759">
        <f t="shared" si="3"/>
        <v>0</v>
      </c>
      <c r="D28" s="760">
        <f t="shared" si="0"/>
        <v>1</v>
      </c>
      <c r="E28" s="760">
        <f t="shared" si="0"/>
        <v>0</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0.8</v>
      </c>
      <c r="S28" s="757">
        <f t="shared" si="8"/>
        <v>0.71500000000000008</v>
      </c>
    </row>
    <row r="29" spans="2:19">
      <c r="B29" s="758">
        <f t="shared" si="2"/>
        <v>2011</v>
      </c>
      <c r="C29" s="759">
        <f t="shared" si="3"/>
        <v>0</v>
      </c>
      <c r="D29" s="760">
        <f t="shared" si="0"/>
        <v>1</v>
      </c>
      <c r="E29" s="760">
        <f t="shared" si="0"/>
        <v>0</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0.8</v>
      </c>
      <c r="S29" s="757">
        <f t="shared" si="8"/>
        <v>0.71500000000000008</v>
      </c>
    </row>
    <row r="30" spans="2:19">
      <c r="B30" s="758">
        <f t="shared" si="2"/>
        <v>2012</v>
      </c>
      <c r="C30" s="759">
        <f t="shared" si="3"/>
        <v>0</v>
      </c>
      <c r="D30" s="760">
        <f t="shared" si="0"/>
        <v>1</v>
      </c>
      <c r="E30" s="760">
        <f t="shared" si="0"/>
        <v>0</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0.8</v>
      </c>
      <c r="S30" s="757">
        <f t="shared" si="8"/>
        <v>0.71500000000000008</v>
      </c>
    </row>
    <row r="31" spans="2:19">
      <c r="B31" s="758">
        <f t="shared" si="2"/>
        <v>2013</v>
      </c>
      <c r="C31" s="759">
        <f t="shared" si="3"/>
        <v>0</v>
      </c>
      <c r="D31" s="760">
        <f t="shared" si="0"/>
        <v>1</v>
      </c>
      <c r="E31" s="760">
        <f t="shared" si="0"/>
        <v>0</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0.8</v>
      </c>
      <c r="S31" s="757">
        <f t="shared" si="8"/>
        <v>0.71500000000000008</v>
      </c>
    </row>
    <row r="32" spans="2:19">
      <c r="B32" s="758">
        <f t="shared" si="2"/>
        <v>2014</v>
      </c>
      <c r="C32" s="759">
        <f t="shared" si="3"/>
        <v>0</v>
      </c>
      <c r="D32" s="760">
        <f t="shared" si="0"/>
        <v>1</v>
      </c>
      <c r="E32" s="760">
        <f t="shared" si="0"/>
        <v>0</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0.8</v>
      </c>
      <c r="S32" s="757">
        <f t="shared" si="8"/>
        <v>0.71500000000000008</v>
      </c>
    </row>
    <row r="33" spans="2:19">
      <c r="B33" s="758">
        <f t="shared" si="2"/>
        <v>2015</v>
      </c>
      <c r="C33" s="759">
        <f t="shared" si="3"/>
        <v>0</v>
      </c>
      <c r="D33" s="760">
        <f t="shared" si="0"/>
        <v>1</v>
      </c>
      <c r="E33" s="760">
        <f t="shared" si="0"/>
        <v>0</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0.8</v>
      </c>
      <c r="S33" s="757">
        <f t="shared" si="8"/>
        <v>0.71500000000000008</v>
      </c>
    </row>
    <row r="34" spans="2:19">
      <c r="B34" s="758">
        <f t="shared" si="2"/>
        <v>2016</v>
      </c>
      <c r="C34" s="759">
        <f t="shared" si="3"/>
        <v>0</v>
      </c>
      <c r="D34" s="760">
        <f t="shared" si="3"/>
        <v>1</v>
      </c>
      <c r="E34" s="760">
        <f t="shared" si="3"/>
        <v>0</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0.8</v>
      </c>
      <c r="S34" s="757">
        <f t="shared" si="8"/>
        <v>0.71500000000000008</v>
      </c>
    </row>
    <row r="35" spans="2:19">
      <c r="B35" s="758">
        <f t="shared" si="2"/>
        <v>2017</v>
      </c>
      <c r="C35" s="759">
        <f t="shared" si="3"/>
        <v>0</v>
      </c>
      <c r="D35" s="760">
        <f t="shared" si="3"/>
        <v>1</v>
      </c>
      <c r="E35" s="760">
        <f t="shared" si="3"/>
        <v>0</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0.8</v>
      </c>
      <c r="S35" s="757">
        <f t="shared" si="8"/>
        <v>0.71500000000000008</v>
      </c>
    </row>
    <row r="36" spans="2:19">
      <c r="B36" s="758">
        <f t="shared" si="2"/>
        <v>2018</v>
      </c>
      <c r="C36" s="759">
        <f t="shared" si="3"/>
        <v>0</v>
      </c>
      <c r="D36" s="760">
        <f t="shared" si="3"/>
        <v>1</v>
      </c>
      <c r="E36" s="760">
        <f t="shared" si="3"/>
        <v>0</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0.8</v>
      </c>
      <c r="S36" s="757">
        <f t="shared" si="8"/>
        <v>0.71500000000000008</v>
      </c>
    </row>
    <row r="37" spans="2:19">
      <c r="B37" s="758">
        <f t="shared" si="2"/>
        <v>2019</v>
      </c>
      <c r="C37" s="759">
        <f t="shared" si="3"/>
        <v>0</v>
      </c>
      <c r="D37" s="760">
        <f t="shared" si="3"/>
        <v>1</v>
      </c>
      <c r="E37" s="760">
        <f t="shared" si="3"/>
        <v>0</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0.8</v>
      </c>
      <c r="S37" s="757">
        <f t="shared" si="8"/>
        <v>0.71500000000000008</v>
      </c>
    </row>
    <row r="38" spans="2:19">
      <c r="B38" s="758">
        <f t="shared" si="2"/>
        <v>2020</v>
      </c>
      <c r="C38" s="759">
        <f t="shared" si="3"/>
        <v>0</v>
      </c>
      <c r="D38" s="760">
        <f t="shared" si="3"/>
        <v>1</v>
      </c>
      <c r="E38" s="760">
        <f t="shared" si="3"/>
        <v>0</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0.8</v>
      </c>
      <c r="S38" s="757">
        <f t="shared" si="8"/>
        <v>0.71500000000000008</v>
      </c>
    </row>
    <row r="39" spans="2:19">
      <c r="B39" s="758">
        <f t="shared" si="2"/>
        <v>2021</v>
      </c>
      <c r="C39" s="759">
        <f t="shared" si="3"/>
        <v>0</v>
      </c>
      <c r="D39" s="760">
        <f t="shared" si="3"/>
        <v>1</v>
      </c>
      <c r="E39" s="760">
        <f t="shared" si="3"/>
        <v>0</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0.8</v>
      </c>
      <c r="S39" s="757">
        <f t="shared" si="8"/>
        <v>0.71500000000000008</v>
      </c>
    </row>
    <row r="40" spans="2:19">
      <c r="B40" s="758">
        <f t="shared" si="2"/>
        <v>2022</v>
      </c>
      <c r="C40" s="759">
        <f t="shared" si="3"/>
        <v>0</v>
      </c>
      <c r="D40" s="760">
        <f t="shared" si="3"/>
        <v>1</v>
      </c>
      <c r="E40" s="760">
        <f t="shared" si="3"/>
        <v>0</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0.8</v>
      </c>
      <c r="S40" s="757">
        <f t="shared" si="8"/>
        <v>0.71500000000000008</v>
      </c>
    </row>
    <row r="41" spans="2:19">
      <c r="B41" s="758">
        <f t="shared" si="2"/>
        <v>2023</v>
      </c>
      <c r="C41" s="759">
        <f t="shared" si="3"/>
        <v>0</v>
      </c>
      <c r="D41" s="760">
        <f t="shared" si="3"/>
        <v>1</v>
      </c>
      <c r="E41" s="760">
        <f t="shared" si="3"/>
        <v>0</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0.8</v>
      </c>
      <c r="S41" s="757">
        <f t="shared" si="8"/>
        <v>0.71500000000000008</v>
      </c>
    </row>
    <row r="42" spans="2:19">
      <c r="B42" s="758">
        <f t="shared" si="2"/>
        <v>2024</v>
      </c>
      <c r="C42" s="759">
        <f t="shared" si="3"/>
        <v>0</v>
      </c>
      <c r="D42" s="760">
        <f t="shared" si="3"/>
        <v>1</v>
      </c>
      <c r="E42" s="760">
        <f t="shared" si="3"/>
        <v>0</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0.8</v>
      </c>
      <c r="S42" s="757">
        <f t="shared" si="8"/>
        <v>0.71500000000000008</v>
      </c>
    </row>
    <row r="43" spans="2:19">
      <c r="B43" s="758">
        <f t="shared" si="2"/>
        <v>2025</v>
      </c>
      <c r="C43" s="759">
        <f t="shared" si="3"/>
        <v>0</v>
      </c>
      <c r="D43" s="760">
        <f t="shared" si="3"/>
        <v>1</v>
      </c>
      <c r="E43" s="760">
        <f t="shared" si="3"/>
        <v>0</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0.8</v>
      </c>
      <c r="S43" s="757">
        <f t="shared" si="8"/>
        <v>0.71500000000000008</v>
      </c>
    </row>
    <row r="44" spans="2:19">
      <c r="B44" s="758">
        <f t="shared" si="2"/>
        <v>2026</v>
      </c>
      <c r="C44" s="759">
        <f t="shared" si="3"/>
        <v>0</v>
      </c>
      <c r="D44" s="760">
        <f t="shared" si="3"/>
        <v>1</v>
      </c>
      <c r="E44" s="760">
        <f t="shared" si="3"/>
        <v>0</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0.8</v>
      </c>
      <c r="S44" s="757">
        <f t="shared" si="8"/>
        <v>0.71500000000000008</v>
      </c>
    </row>
    <row r="45" spans="2:19">
      <c r="B45" s="758">
        <f t="shared" si="2"/>
        <v>2027</v>
      </c>
      <c r="C45" s="759">
        <f t="shared" si="3"/>
        <v>0</v>
      </c>
      <c r="D45" s="760">
        <f t="shared" si="3"/>
        <v>1</v>
      </c>
      <c r="E45" s="760">
        <f t="shared" si="3"/>
        <v>0</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0.8</v>
      </c>
      <c r="S45" s="757">
        <f t="shared" si="8"/>
        <v>0.71500000000000008</v>
      </c>
    </row>
    <row r="46" spans="2:19">
      <c r="B46" s="758">
        <f t="shared" si="2"/>
        <v>2028</v>
      </c>
      <c r="C46" s="759">
        <f t="shared" si="3"/>
        <v>0</v>
      </c>
      <c r="D46" s="760">
        <f t="shared" si="3"/>
        <v>1</v>
      </c>
      <c r="E46" s="760">
        <f t="shared" si="3"/>
        <v>0</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0.8</v>
      </c>
      <c r="S46" s="757">
        <f t="shared" si="8"/>
        <v>0.71500000000000008</v>
      </c>
    </row>
    <row r="47" spans="2:19">
      <c r="B47" s="758">
        <f t="shared" si="2"/>
        <v>2029</v>
      </c>
      <c r="C47" s="759">
        <f t="shared" si="3"/>
        <v>0</v>
      </c>
      <c r="D47" s="760">
        <f t="shared" si="3"/>
        <v>1</v>
      </c>
      <c r="E47" s="760">
        <f t="shared" si="3"/>
        <v>0</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0.8</v>
      </c>
      <c r="S47" s="757">
        <f t="shared" si="8"/>
        <v>0.71500000000000008</v>
      </c>
    </row>
    <row r="48" spans="2:19">
      <c r="B48" s="758">
        <f t="shared" si="2"/>
        <v>2030</v>
      </c>
      <c r="C48" s="759">
        <f t="shared" si="3"/>
        <v>0</v>
      </c>
      <c r="D48" s="760">
        <f t="shared" si="3"/>
        <v>1</v>
      </c>
      <c r="E48" s="760">
        <f t="shared" si="3"/>
        <v>0</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0.8</v>
      </c>
      <c r="S48" s="757">
        <f t="shared" si="8"/>
        <v>0.71500000000000008</v>
      </c>
    </row>
    <row r="49" spans="2:19">
      <c r="B49" s="758">
        <f t="shared" si="2"/>
        <v>2031</v>
      </c>
      <c r="C49" s="759">
        <f t="shared" si="3"/>
        <v>0</v>
      </c>
      <c r="D49" s="760">
        <f t="shared" si="3"/>
        <v>1</v>
      </c>
      <c r="E49" s="760">
        <f t="shared" si="3"/>
        <v>0</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0.8</v>
      </c>
      <c r="S49" s="757">
        <f t="shared" si="8"/>
        <v>0.71500000000000008</v>
      </c>
    </row>
    <row r="50" spans="2:19">
      <c r="B50" s="758">
        <f t="shared" si="2"/>
        <v>2032</v>
      </c>
      <c r="C50" s="759">
        <f t="shared" si="3"/>
        <v>0</v>
      </c>
      <c r="D50" s="760">
        <f t="shared" si="3"/>
        <v>1</v>
      </c>
      <c r="E50" s="760">
        <f t="shared" si="3"/>
        <v>0</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0.8</v>
      </c>
      <c r="S50" s="757">
        <f t="shared" si="8"/>
        <v>0.71500000000000008</v>
      </c>
    </row>
    <row r="51" spans="2:19">
      <c r="B51" s="758">
        <f t="shared" ref="B51:B82" si="9">B50+1</f>
        <v>2033</v>
      </c>
      <c r="C51" s="759">
        <f t="shared" ref="C51:G98" si="10">C$16</f>
        <v>0</v>
      </c>
      <c r="D51" s="760">
        <f t="shared" si="10"/>
        <v>1</v>
      </c>
      <c r="E51" s="760">
        <f t="shared" si="10"/>
        <v>0</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0.8</v>
      </c>
      <c r="S51" s="757">
        <f t="shared" si="8"/>
        <v>0.71500000000000008</v>
      </c>
    </row>
    <row r="52" spans="2:19">
      <c r="B52" s="758">
        <f t="shared" si="9"/>
        <v>2034</v>
      </c>
      <c r="C52" s="759">
        <f t="shared" si="10"/>
        <v>0</v>
      </c>
      <c r="D52" s="760">
        <f t="shared" si="10"/>
        <v>1</v>
      </c>
      <c r="E52" s="760">
        <f t="shared" si="10"/>
        <v>0</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0.8</v>
      </c>
      <c r="S52" s="757">
        <f t="shared" si="8"/>
        <v>0.71500000000000008</v>
      </c>
    </row>
    <row r="53" spans="2:19">
      <c r="B53" s="758">
        <f t="shared" si="9"/>
        <v>2035</v>
      </c>
      <c r="C53" s="759">
        <f t="shared" si="10"/>
        <v>0</v>
      </c>
      <c r="D53" s="760">
        <f t="shared" si="10"/>
        <v>1</v>
      </c>
      <c r="E53" s="760">
        <f t="shared" si="10"/>
        <v>0</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0.8</v>
      </c>
      <c r="S53" s="757">
        <f t="shared" si="8"/>
        <v>0.71500000000000008</v>
      </c>
    </row>
    <row r="54" spans="2:19">
      <c r="B54" s="758">
        <f t="shared" si="9"/>
        <v>2036</v>
      </c>
      <c r="C54" s="759">
        <f t="shared" si="10"/>
        <v>0</v>
      </c>
      <c r="D54" s="760">
        <f t="shared" si="10"/>
        <v>1</v>
      </c>
      <c r="E54" s="760">
        <f t="shared" si="10"/>
        <v>0</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0.8</v>
      </c>
      <c r="S54" s="757">
        <f t="shared" si="8"/>
        <v>0.71500000000000008</v>
      </c>
    </row>
    <row r="55" spans="2:19">
      <c r="B55" s="758">
        <f t="shared" si="9"/>
        <v>2037</v>
      </c>
      <c r="C55" s="759">
        <f t="shared" si="10"/>
        <v>0</v>
      </c>
      <c r="D55" s="760">
        <f t="shared" si="10"/>
        <v>1</v>
      </c>
      <c r="E55" s="760">
        <f t="shared" si="10"/>
        <v>0</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0.8</v>
      </c>
      <c r="S55" s="757">
        <f t="shared" si="8"/>
        <v>0.71500000000000008</v>
      </c>
    </row>
    <row r="56" spans="2:19">
      <c r="B56" s="758">
        <f t="shared" si="9"/>
        <v>2038</v>
      </c>
      <c r="C56" s="759">
        <f t="shared" si="10"/>
        <v>0</v>
      </c>
      <c r="D56" s="760">
        <f t="shared" si="10"/>
        <v>1</v>
      </c>
      <c r="E56" s="760">
        <f t="shared" si="10"/>
        <v>0</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0.8</v>
      </c>
      <c r="S56" s="757">
        <f t="shared" si="8"/>
        <v>0.71500000000000008</v>
      </c>
    </row>
    <row r="57" spans="2:19">
      <c r="B57" s="758">
        <f t="shared" si="9"/>
        <v>2039</v>
      </c>
      <c r="C57" s="759">
        <f t="shared" si="10"/>
        <v>0</v>
      </c>
      <c r="D57" s="760">
        <f t="shared" si="10"/>
        <v>1</v>
      </c>
      <c r="E57" s="760">
        <f t="shared" si="10"/>
        <v>0</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0.8</v>
      </c>
      <c r="S57" s="757">
        <f t="shared" si="8"/>
        <v>0.71500000000000008</v>
      </c>
    </row>
    <row r="58" spans="2:19">
      <c r="B58" s="758">
        <f t="shared" si="9"/>
        <v>2040</v>
      </c>
      <c r="C58" s="759">
        <f t="shared" si="10"/>
        <v>0</v>
      </c>
      <c r="D58" s="760">
        <f t="shared" si="10"/>
        <v>1</v>
      </c>
      <c r="E58" s="760">
        <f t="shared" si="10"/>
        <v>0</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0.8</v>
      </c>
      <c r="S58" s="757">
        <f t="shared" si="8"/>
        <v>0.71500000000000008</v>
      </c>
    </row>
    <row r="59" spans="2:19">
      <c r="B59" s="758">
        <f t="shared" si="9"/>
        <v>2041</v>
      </c>
      <c r="C59" s="759">
        <f t="shared" si="10"/>
        <v>0</v>
      </c>
      <c r="D59" s="760">
        <f t="shared" si="10"/>
        <v>1</v>
      </c>
      <c r="E59" s="760">
        <f t="shared" si="10"/>
        <v>0</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0.8</v>
      </c>
      <c r="S59" s="757">
        <f t="shared" si="8"/>
        <v>0.71500000000000008</v>
      </c>
    </row>
    <row r="60" spans="2:19">
      <c r="B60" s="758">
        <f t="shared" si="9"/>
        <v>2042</v>
      </c>
      <c r="C60" s="759">
        <f t="shared" si="10"/>
        <v>0</v>
      </c>
      <c r="D60" s="760">
        <f t="shared" si="10"/>
        <v>1</v>
      </c>
      <c r="E60" s="760">
        <f t="shared" si="10"/>
        <v>0</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0.8</v>
      </c>
      <c r="S60" s="757">
        <f t="shared" si="8"/>
        <v>0.71500000000000008</v>
      </c>
    </row>
    <row r="61" spans="2:19">
      <c r="B61" s="758">
        <f t="shared" si="9"/>
        <v>2043</v>
      </c>
      <c r="C61" s="759">
        <f t="shared" si="10"/>
        <v>0</v>
      </c>
      <c r="D61" s="760">
        <f t="shared" si="10"/>
        <v>1</v>
      </c>
      <c r="E61" s="760">
        <f t="shared" si="10"/>
        <v>0</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0.8</v>
      </c>
      <c r="S61" s="757">
        <f t="shared" si="8"/>
        <v>0.71500000000000008</v>
      </c>
    </row>
    <row r="62" spans="2:19">
      <c r="B62" s="758">
        <f t="shared" si="9"/>
        <v>2044</v>
      </c>
      <c r="C62" s="759">
        <f t="shared" si="10"/>
        <v>0</v>
      </c>
      <c r="D62" s="760">
        <f t="shared" si="10"/>
        <v>1</v>
      </c>
      <c r="E62" s="760">
        <f t="shared" si="10"/>
        <v>0</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0.8</v>
      </c>
      <c r="S62" s="757">
        <f t="shared" si="8"/>
        <v>0.71500000000000008</v>
      </c>
    </row>
    <row r="63" spans="2:19">
      <c r="B63" s="758">
        <f t="shared" si="9"/>
        <v>2045</v>
      </c>
      <c r="C63" s="759">
        <f t="shared" si="10"/>
        <v>0</v>
      </c>
      <c r="D63" s="760">
        <f t="shared" si="10"/>
        <v>1</v>
      </c>
      <c r="E63" s="760">
        <f t="shared" si="10"/>
        <v>0</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0.8</v>
      </c>
      <c r="S63" s="757">
        <f t="shared" si="8"/>
        <v>0.71500000000000008</v>
      </c>
    </row>
    <row r="64" spans="2:19">
      <c r="B64" s="758">
        <f t="shared" si="9"/>
        <v>2046</v>
      </c>
      <c r="C64" s="759">
        <f t="shared" si="10"/>
        <v>0</v>
      </c>
      <c r="D64" s="760">
        <f t="shared" si="10"/>
        <v>1</v>
      </c>
      <c r="E64" s="760">
        <f t="shared" si="10"/>
        <v>0</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0.8</v>
      </c>
      <c r="S64" s="757">
        <f t="shared" si="8"/>
        <v>0.71500000000000008</v>
      </c>
    </row>
    <row r="65" spans="2:19">
      <c r="B65" s="758">
        <f t="shared" si="9"/>
        <v>2047</v>
      </c>
      <c r="C65" s="759">
        <f t="shared" si="10"/>
        <v>0</v>
      </c>
      <c r="D65" s="760">
        <f t="shared" si="10"/>
        <v>1</v>
      </c>
      <c r="E65" s="760">
        <f t="shared" si="10"/>
        <v>0</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0.8</v>
      </c>
      <c r="S65" s="757">
        <f t="shared" si="8"/>
        <v>0.71500000000000008</v>
      </c>
    </row>
    <row r="66" spans="2:19">
      <c r="B66" s="758">
        <f t="shared" si="9"/>
        <v>2048</v>
      </c>
      <c r="C66" s="759">
        <f t="shared" si="10"/>
        <v>0</v>
      </c>
      <c r="D66" s="760">
        <f t="shared" si="10"/>
        <v>1</v>
      </c>
      <c r="E66" s="760">
        <f t="shared" si="10"/>
        <v>0</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0.8</v>
      </c>
      <c r="S66" s="757">
        <f t="shared" si="8"/>
        <v>0.71500000000000008</v>
      </c>
    </row>
    <row r="67" spans="2:19">
      <c r="B67" s="758">
        <f t="shared" si="9"/>
        <v>2049</v>
      </c>
      <c r="C67" s="759">
        <f t="shared" si="10"/>
        <v>0</v>
      </c>
      <c r="D67" s="760">
        <f t="shared" si="10"/>
        <v>1</v>
      </c>
      <c r="E67" s="760">
        <f t="shared" si="10"/>
        <v>0</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0.8</v>
      </c>
      <c r="S67" s="757">
        <f t="shared" si="8"/>
        <v>0.71500000000000008</v>
      </c>
    </row>
    <row r="68" spans="2:19">
      <c r="B68" s="758">
        <f t="shared" si="9"/>
        <v>2050</v>
      </c>
      <c r="C68" s="759">
        <f t="shared" si="10"/>
        <v>0</v>
      </c>
      <c r="D68" s="760">
        <f t="shared" si="10"/>
        <v>1</v>
      </c>
      <c r="E68" s="760">
        <f t="shared" si="10"/>
        <v>0</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0.8</v>
      </c>
      <c r="S68" s="757">
        <f t="shared" si="8"/>
        <v>0.71500000000000008</v>
      </c>
    </row>
    <row r="69" spans="2:19">
      <c r="B69" s="758">
        <f t="shared" si="9"/>
        <v>2051</v>
      </c>
      <c r="C69" s="759">
        <f t="shared" si="10"/>
        <v>0</v>
      </c>
      <c r="D69" s="760">
        <f t="shared" si="10"/>
        <v>1</v>
      </c>
      <c r="E69" s="760">
        <f t="shared" si="10"/>
        <v>0</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0.8</v>
      </c>
      <c r="S69" s="757">
        <f t="shared" si="8"/>
        <v>0.71500000000000008</v>
      </c>
    </row>
    <row r="70" spans="2:19">
      <c r="B70" s="758">
        <f t="shared" si="9"/>
        <v>2052</v>
      </c>
      <c r="C70" s="759">
        <f t="shared" si="10"/>
        <v>0</v>
      </c>
      <c r="D70" s="760">
        <f t="shared" si="10"/>
        <v>1</v>
      </c>
      <c r="E70" s="760">
        <f t="shared" si="10"/>
        <v>0</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0.8</v>
      </c>
      <c r="S70" s="757">
        <f t="shared" si="8"/>
        <v>0.71500000000000008</v>
      </c>
    </row>
    <row r="71" spans="2:19">
      <c r="B71" s="758">
        <f t="shared" si="9"/>
        <v>2053</v>
      </c>
      <c r="C71" s="759">
        <f t="shared" si="10"/>
        <v>0</v>
      </c>
      <c r="D71" s="760">
        <f t="shared" si="10"/>
        <v>1</v>
      </c>
      <c r="E71" s="760">
        <f t="shared" si="10"/>
        <v>0</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0.8</v>
      </c>
      <c r="S71" s="757">
        <f t="shared" si="8"/>
        <v>0.71500000000000008</v>
      </c>
    </row>
    <row r="72" spans="2:19">
      <c r="B72" s="758">
        <f t="shared" si="9"/>
        <v>2054</v>
      </c>
      <c r="C72" s="759">
        <f t="shared" si="10"/>
        <v>0</v>
      </c>
      <c r="D72" s="760">
        <f t="shared" si="10"/>
        <v>1</v>
      </c>
      <c r="E72" s="760">
        <f t="shared" si="10"/>
        <v>0</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0.8</v>
      </c>
      <c r="S72" s="757">
        <f t="shared" si="8"/>
        <v>0.71500000000000008</v>
      </c>
    </row>
    <row r="73" spans="2:19">
      <c r="B73" s="758">
        <f t="shared" si="9"/>
        <v>2055</v>
      </c>
      <c r="C73" s="759">
        <f t="shared" si="10"/>
        <v>0</v>
      </c>
      <c r="D73" s="760">
        <f t="shared" si="10"/>
        <v>1</v>
      </c>
      <c r="E73" s="760">
        <f t="shared" si="10"/>
        <v>0</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0.8</v>
      </c>
      <c r="S73" s="757">
        <f t="shared" si="8"/>
        <v>0.71500000000000008</v>
      </c>
    </row>
    <row r="74" spans="2:19">
      <c r="B74" s="758">
        <f t="shared" si="9"/>
        <v>2056</v>
      </c>
      <c r="C74" s="759">
        <f t="shared" si="10"/>
        <v>0</v>
      </c>
      <c r="D74" s="760">
        <f t="shared" si="10"/>
        <v>1</v>
      </c>
      <c r="E74" s="760">
        <f t="shared" si="10"/>
        <v>0</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0.8</v>
      </c>
      <c r="S74" s="757">
        <f t="shared" si="8"/>
        <v>0.71500000000000008</v>
      </c>
    </row>
    <row r="75" spans="2:19">
      <c r="B75" s="758">
        <f t="shared" si="9"/>
        <v>2057</v>
      </c>
      <c r="C75" s="759">
        <f t="shared" si="10"/>
        <v>0</v>
      </c>
      <c r="D75" s="760">
        <f t="shared" si="10"/>
        <v>1</v>
      </c>
      <c r="E75" s="760">
        <f t="shared" si="10"/>
        <v>0</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0.8</v>
      </c>
      <c r="S75" s="757">
        <f t="shared" si="8"/>
        <v>0.71500000000000008</v>
      </c>
    </row>
    <row r="76" spans="2:19">
      <c r="B76" s="758">
        <f t="shared" si="9"/>
        <v>2058</v>
      </c>
      <c r="C76" s="759">
        <f t="shared" si="10"/>
        <v>0</v>
      </c>
      <c r="D76" s="760">
        <f t="shared" si="10"/>
        <v>1</v>
      </c>
      <c r="E76" s="760">
        <f t="shared" si="10"/>
        <v>0</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0.8</v>
      </c>
      <c r="S76" s="757">
        <f t="shared" si="8"/>
        <v>0.71500000000000008</v>
      </c>
    </row>
    <row r="77" spans="2:19">
      <c r="B77" s="758">
        <f t="shared" si="9"/>
        <v>2059</v>
      </c>
      <c r="C77" s="759">
        <f t="shared" si="10"/>
        <v>0</v>
      </c>
      <c r="D77" s="760">
        <f t="shared" si="10"/>
        <v>1</v>
      </c>
      <c r="E77" s="760">
        <f t="shared" si="10"/>
        <v>0</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0.8</v>
      </c>
      <c r="S77" s="757">
        <f t="shared" si="8"/>
        <v>0.71500000000000008</v>
      </c>
    </row>
    <row r="78" spans="2:19">
      <c r="B78" s="758">
        <f t="shared" si="9"/>
        <v>2060</v>
      </c>
      <c r="C78" s="759">
        <f t="shared" si="10"/>
        <v>0</v>
      </c>
      <c r="D78" s="760">
        <f t="shared" si="10"/>
        <v>1</v>
      </c>
      <c r="E78" s="760">
        <f t="shared" si="10"/>
        <v>0</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0.8</v>
      </c>
      <c r="S78" s="757">
        <f t="shared" si="8"/>
        <v>0.71500000000000008</v>
      </c>
    </row>
    <row r="79" spans="2:19">
      <c r="B79" s="758">
        <f t="shared" si="9"/>
        <v>2061</v>
      </c>
      <c r="C79" s="759">
        <f t="shared" si="10"/>
        <v>0</v>
      </c>
      <c r="D79" s="760">
        <f t="shared" si="10"/>
        <v>1</v>
      </c>
      <c r="E79" s="760">
        <f t="shared" si="10"/>
        <v>0</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0.8</v>
      </c>
      <c r="S79" s="757">
        <f t="shared" si="8"/>
        <v>0.71500000000000008</v>
      </c>
    </row>
    <row r="80" spans="2:19">
      <c r="B80" s="758">
        <f t="shared" si="9"/>
        <v>2062</v>
      </c>
      <c r="C80" s="759">
        <f t="shared" si="10"/>
        <v>0</v>
      </c>
      <c r="D80" s="760">
        <f t="shared" si="10"/>
        <v>1</v>
      </c>
      <c r="E80" s="760">
        <f t="shared" si="10"/>
        <v>0</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0.8</v>
      </c>
      <c r="S80" s="757">
        <f t="shared" si="8"/>
        <v>0.71500000000000008</v>
      </c>
    </row>
    <row r="81" spans="2:19">
      <c r="B81" s="758">
        <f t="shared" si="9"/>
        <v>2063</v>
      </c>
      <c r="C81" s="759">
        <f t="shared" si="10"/>
        <v>0</v>
      </c>
      <c r="D81" s="760">
        <f t="shared" si="10"/>
        <v>1</v>
      </c>
      <c r="E81" s="760">
        <f t="shared" si="10"/>
        <v>0</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0.8</v>
      </c>
      <c r="S81" s="757">
        <f t="shared" si="8"/>
        <v>0.71500000000000008</v>
      </c>
    </row>
    <row r="82" spans="2:19">
      <c r="B82" s="758">
        <f t="shared" si="9"/>
        <v>2064</v>
      </c>
      <c r="C82" s="759">
        <f t="shared" si="10"/>
        <v>0</v>
      </c>
      <c r="D82" s="760">
        <f t="shared" si="10"/>
        <v>1</v>
      </c>
      <c r="E82" s="760">
        <f t="shared" si="10"/>
        <v>0</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0.8</v>
      </c>
      <c r="S82" s="757">
        <f t="shared" si="8"/>
        <v>0.71500000000000008</v>
      </c>
    </row>
    <row r="83" spans="2:19">
      <c r="B83" s="758">
        <f t="shared" ref="B83:B98" si="12">B82+1</f>
        <v>2065</v>
      </c>
      <c r="C83" s="759">
        <f t="shared" si="10"/>
        <v>0</v>
      </c>
      <c r="D83" s="760">
        <f t="shared" si="10"/>
        <v>1</v>
      </c>
      <c r="E83" s="760">
        <f t="shared" si="10"/>
        <v>0</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0.8</v>
      </c>
      <c r="S83" s="757">
        <f t="shared" ref="S83:S98" si="16">I83*I$13+J83*J$13+K83*K$13+L83*L$13+M83*M$13</f>
        <v>0.71500000000000008</v>
      </c>
    </row>
    <row r="84" spans="2:19">
      <c r="B84" s="758">
        <f t="shared" si="12"/>
        <v>2066</v>
      </c>
      <c r="C84" s="759">
        <f t="shared" si="10"/>
        <v>0</v>
      </c>
      <c r="D84" s="760">
        <f t="shared" si="10"/>
        <v>1</v>
      </c>
      <c r="E84" s="760">
        <f t="shared" si="10"/>
        <v>0</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0.8</v>
      </c>
      <c r="S84" s="757">
        <f t="shared" si="16"/>
        <v>0.71500000000000008</v>
      </c>
    </row>
    <row r="85" spans="2:19">
      <c r="B85" s="758">
        <f t="shared" si="12"/>
        <v>2067</v>
      </c>
      <c r="C85" s="759">
        <f t="shared" si="10"/>
        <v>0</v>
      </c>
      <c r="D85" s="760">
        <f t="shared" si="10"/>
        <v>1</v>
      </c>
      <c r="E85" s="760">
        <f t="shared" si="10"/>
        <v>0</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0.8</v>
      </c>
      <c r="S85" s="757">
        <f t="shared" si="16"/>
        <v>0.71500000000000008</v>
      </c>
    </row>
    <row r="86" spans="2:19">
      <c r="B86" s="758">
        <f t="shared" si="12"/>
        <v>2068</v>
      </c>
      <c r="C86" s="759">
        <f t="shared" si="10"/>
        <v>0</v>
      </c>
      <c r="D86" s="760">
        <f t="shared" si="10"/>
        <v>1</v>
      </c>
      <c r="E86" s="760">
        <f t="shared" si="10"/>
        <v>0</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0.8</v>
      </c>
      <c r="S86" s="757">
        <f t="shared" si="16"/>
        <v>0.71500000000000008</v>
      </c>
    </row>
    <row r="87" spans="2:19">
      <c r="B87" s="758">
        <f t="shared" si="12"/>
        <v>2069</v>
      </c>
      <c r="C87" s="759">
        <f t="shared" si="10"/>
        <v>0</v>
      </c>
      <c r="D87" s="760">
        <f t="shared" si="10"/>
        <v>1</v>
      </c>
      <c r="E87" s="760">
        <f t="shared" si="10"/>
        <v>0</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0.8</v>
      </c>
      <c r="S87" s="757">
        <f t="shared" si="16"/>
        <v>0.71500000000000008</v>
      </c>
    </row>
    <row r="88" spans="2:19">
      <c r="B88" s="758">
        <f t="shared" si="12"/>
        <v>2070</v>
      </c>
      <c r="C88" s="759">
        <f t="shared" si="10"/>
        <v>0</v>
      </c>
      <c r="D88" s="760">
        <f t="shared" si="10"/>
        <v>1</v>
      </c>
      <c r="E88" s="760">
        <f t="shared" si="10"/>
        <v>0</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0.8</v>
      </c>
      <c r="S88" s="757">
        <f t="shared" si="16"/>
        <v>0.71500000000000008</v>
      </c>
    </row>
    <row r="89" spans="2:19">
      <c r="B89" s="758">
        <f t="shared" si="12"/>
        <v>2071</v>
      </c>
      <c r="C89" s="759">
        <f t="shared" si="10"/>
        <v>0</v>
      </c>
      <c r="D89" s="760">
        <f t="shared" si="10"/>
        <v>1</v>
      </c>
      <c r="E89" s="760">
        <f t="shared" si="10"/>
        <v>0</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0.8</v>
      </c>
      <c r="S89" s="757">
        <f t="shared" si="16"/>
        <v>0.71500000000000008</v>
      </c>
    </row>
    <row r="90" spans="2:19">
      <c r="B90" s="758">
        <f t="shared" si="12"/>
        <v>2072</v>
      </c>
      <c r="C90" s="759">
        <f t="shared" si="10"/>
        <v>0</v>
      </c>
      <c r="D90" s="760">
        <f t="shared" si="10"/>
        <v>1</v>
      </c>
      <c r="E90" s="760">
        <f t="shared" si="10"/>
        <v>0</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0.8</v>
      </c>
      <c r="S90" s="757">
        <f t="shared" si="16"/>
        <v>0.71500000000000008</v>
      </c>
    </row>
    <row r="91" spans="2:19">
      <c r="B91" s="758">
        <f t="shared" si="12"/>
        <v>2073</v>
      </c>
      <c r="C91" s="759">
        <f t="shared" si="10"/>
        <v>0</v>
      </c>
      <c r="D91" s="760">
        <f t="shared" si="10"/>
        <v>1</v>
      </c>
      <c r="E91" s="760">
        <f t="shared" si="10"/>
        <v>0</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0.8</v>
      </c>
      <c r="S91" s="757">
        <f t="shared" si="16"/>
        <v>0.71500000000000008</v>
      </c>
    </row>
    <row r="92" spans="2:19">
      <c r="B92" s="758">
        <f t="shared" si="12"/>
        <v>2074</v>
      </c>
      <c r="C92" s="759">
        <f t="shared" si="10"/>
        <v>0</v>
      </c>
      <c r="D92" s="760">
        <f t="shared" si="10"/>
        <v>1</v>
      </c>
      <c r="E92" s="760">
        <f t="shared" si="10"/>
        <v>0</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0.8</v>
      </c>
      <c r="S92" s="757">
        <f t="shared" si="16"/>
        <v>0.71500000000000008</v>
      </c>
    </row>
    <row r="93" spans="2:19">
      <c r="B93" s="758">
        <f t="shared" si="12"/>
        <v>2075</v>
      </c>
      <c r="C93" s="759">
        <f t="shared" si="10"/>
        <v>0</v>
      </c>
      <c r="D93" s="760">
        <f t="shared" si="10"/>
        <v>1</v>
      </c>
      <c r="E93" s="760">
        <f t="shared" si="10"/>
        <v>0</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0.8</v>
      </c>
      <c r="S93" s="757">
        <f t="shared" si="16"/>
        <v>0.71500000000000008</v>
      </c>
    </row>
    <row r="94" spans="2:19">
      <c r="B94" s="758">
        <f t="shared" si="12"/>
        <v>2076</v>
      </c>
      <c r="C94" s="759">
        <f t="shared" si="10"/>
        <v>0</v>
      </c>
      <c r="D94" s="760">
        <f t="shared" si="10"/>
        <v>1</v>
      </c>
      <c r="E94" s="760">
        <f t="shared" si="10"/>
        <v>0</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0.8</v>
      </c>
      <c r="S94" s="757">
        <f t="shared" si="16"/>
        <v>0.71500000000000008</v>
      </c>
    </row>
    <row r="95" spans="2:19">
      <c r="B95" s="758">
        <f t="shared" si="12"/>
        <v>2077</v>
      </c>
      <c r="C95" s="759">
        <f t="shared" si="10"/>
        <v>0</v>
      </c>
      <c r="D95" s="760">
        <f t="shared" si="10"/>
        <v>1</v>
      </c>
      <c r="E95" s="760">
        <f t="shared" si="10"/>
        <v>0</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0.8</v>
      </c>
      <c r="S95" s="757">
        <f t="shared" si="16"/>
        <v>0.71500000000000008</v>
      </c>
    </row>
    <row r="96" spans="2:19">
      <c r="B96" s="758">
        <f t="shared" si="12"/>
        <v>2078</v>
      </c>
      <c r="C96" s="759">
        <f t="shared" si="10"/>
        <v>0</v>
      </c>
      <c r="D96" s="760">
        <f t="shared" si="10"/>
        <v>1</v>
      </c>
      <c r="E96" s="760">
        <f t="shared" si="10"/>
        <v>0</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0.8</v>
      </c>
      <c r="S96" s="757">
        <f t="shared" si="16"/>
        <v>0.71500000000000008</v>
      </c>
    </row>
    <row r="97" spans="2:19">
      <c r="B97" s="758">
        <f t="shared" si="12"/>
        <v>2079</v>
      </c>
      <c r="C97" s="759">
        <f t="shared" si="10"/>
        <v>0</v>
      </c>
      <c r="D97" s="760">
        <f t="shared" si="10"/>
        <v>1</v>
      </c>
      <c r="E97" s="760">
        <f t="shared" si="10"/>
        <v>0</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0.8</v>
      </c>
      <c r="S97" s="757">
        <f t="shared" si="16"/>
        <v>0.71500000000000008</v>
      </c>
    </row>
    <row r="98" spans="2:19" ht="13.5" thickBot="1">
      <c r="B98" s="763">
        <f t="shared" si="12"/>
        <v>2080</v>
      </c>
      <c r="C98" s="764">
        <f t="shared" si="10"/>
        <v>0</v>
      </c>
      <c r="D98" s="765">
        <f t="shared" si="10"/>
        <v>1</v>
      </c>
      <c r="E98" s="765">
        <f t="shared" si="10"/>
        <v>0</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630"/>
      <c r="R98" s="767">
        <f t="shared" si="15"/>
        <v>0.8</v>
      </c>
      <c r="S98" s="767">
        <f t="shared" si="16"/>
        <v>0.71500000000000008</v>
      </c>
    </row>
    <row r="99" spans="2:19">
      <c r="H99" s="768"/>
    </row>
    <row r="100" spans="2:19">
      <c r="H100" s="768"/>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6"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6">
        <v>0.435</v>
      </c>
    </row>
    <row r="3" spans="2:30">
      <c r="B3" s="589"/>
      <c r="C3" s="589"/>
      <c r="S3" s="589"/>
      <c r="AC3" s="587" t="s">
        <v>256</v>
      </c>
      <c r="AD3" s="706">
        <v>0.129</v>
      </c>
    </row>
    <row r="4" spans="2:30">
      <c r="B4" s="589"/>
      <c r="C4" s="589" t="s">
        <v>38</v>
      </c>
      <c r="S4" s="589" t="s">
        <v>301</v>
      </c>
      <c r="AC4" s="587" t="s">
        <v>2</v>
      </c>
      <c r="AD4" s="706">
        <v>9.9000000000000005E-2</v>
      </c>
    </row>
    <row r="5" spans="2:30">
      <c r="B5" s="589"/>
      <c r="C5" s="589"/>
      <c r="S5" s="589" t="s">
        <v>38</v>
      </c>
      <c r="AC5" s="587" t="s">
        <v>16</v>
      </c>
      <c r="AD5" s="706">
        <v>2.7E-2</v>
      </c>
    </row>
    <row r="6" spans="2:30">
      <c r="B6" s="589"/>
      <c r="S6" s="589"/>
      <c r="AC6" s="587" t="s">
        <v>331</v>
      </c>
      <c r="AD6" s="706">
        <v>8.9999999999999993E-3</v>
      </c>
    </row>
    <row r="7" spans="2:30" ht="13.5" thickBot="1">
      <c r="B7" s="589"/>
      <c r="C7" s="590"/>
      <c r="S7" s="589"/>
      <c r="AC7" s="587" t="s">
        <v>332</v>
      </c>
      <c r="AD7" s="706">
        <v>7.1999999999999995E-2</v>
      </c>
    </row>
    <row r="8" spans="2:30" ht="13.5" thickBot="1">
      <c r="B8" s="589"/>
      <c r="D8" s="591">
        <v>6.2100000000000002E-2</v>
      </c>
      <c r="E8" s="704">
        <f>AD2</f>
        <v>0.435</v>
      </c>
      <c r="F8" s="705">
        <f>AD3</f>
        <v>0.129</v>
      </c>
      <c r="G8" s="705">
        <v>0</v>
      </c>
      <c r="H8" s="705">
        <v>0</v>
      </c>
      <c r="I8" s="705">
        <f>AD4</f>
        <v>9.9000000000000005E-2</v>
      </c>
      <c r="J8" s="705">
        <f>AD5</f>
        <v>2.7E-2</v>
      </c>
      <c r="K8" s="705">
        <f>AD6</f>
        <v>8.9999999999999993E-3</v>
      </c>
      <c r="L8" s="705">
        <f>AD7</f>
        <v>7.1999999999999995E-2</v>
      </c>
      <c r="M8" s="705">
        <f>AD8</f>
        <v>3.3000000000000002E-2</v>
      </c>
      <c r="N8" s="705">
        <f>AD9</f>
        <v>0.04</v>
      </c>
      <c r="O8" s="705">
        <f>AD10</f>
        <v>0.156</v>
      </c>
      <c r="P8" s="592">
        <f>SUM(E8:O8)</f>
        <v>1</v>
      </c>
      <c r="S8" s="589"/>
      <c r="T8" s="589"/>
      <c r="AC8" s="587" t="s">
        <v>231</v>
      </c>
      <c r="AD8" s="706">
        <v>3.3000000000000002E-2</v>
      </c>
    </row>
    <row r="9" spans="2:30" ht="13.5" thickBot="1">
      <c r="B9" s="593"/>
      <c r="C9" s="594"/>
      <c r="D9" s="595"/>
      <c r="E9" s="810" t="s">
        <v>41</v>
      </c>
      <c r="F9" s="811"/>
      <c r="G9" s="811"/>
      <c r="H9" s="811"/>
      <c r="I9" s="811"/>
      <c r="J9" s="811"/>
      <c r="K9" s="811"/>
      <c r="L9" s="811"/>
      <c r="M9" s="811"/>
      <c r="N9" s="811"/>
      <c r="O9" s="811"/>
      <c r="P9" s="596"/>
      <c r="AC9" s="587" t="s">
        <v>232</v>
      </c>
      <c r="AD9" s="706">
        <v>0.04</v>
      </c>
    </row>
    <row r="10" spans="2:30" ht="21.75" customHeight="1" thickBot="1">
      <c r="B10" s="812" t="s">
        <v>1</v>
      </c>
      <c r="C10" s="812" t="s">
        <v>33</v>
      </c>
      <c r="D10" s="812" t="s">
        <v>40</v>
      </c>
      <c r="E10" s="812" t="s">
        <v>228</v>
      </c>
      <c r="F10" s="812" t="s">
        <v>271</v>
      </c>
      <c r="G10" s="802" t="s">
        <v>267</v>
      </c>
      <c r="H10" s="812" t="s">
        <v>270</v>
      </c>
      <c r="I10" s="802" t="s">
        <v>2</v>
      </c>
      <c r="J10" s="812" t="s">
        <v>16</v>
      </c>
      <c r="K10" s="802" t="s">
        <v>229</v>
      </c>
      <c r="L10" s="799" t="s">
        <v>273</v>
      </c>
      <c r="M10" s="800"/>
      <c r="N10" s="800"/>
      <c r="O10" s="801"/>
      <c r="P10" s="812" t="s">
        <v>27</v>
      </c>
      <c r="AC10" s="587" t="s">
        <v>233</v>
      </c>
      <c r="AD10" s="706">
        <v>0.156</v>
      </c>
    </row>
    <row r="11" spans="2:30" s="598" customFormat="1" ht="42" customHeight="1" thickBot="1">
      <c r="B11" s="813"/>
      <c r="C11" s="813"/>
      <c r="D11" s="813"/>
      <c r="E11" s="813"/>
      <c r="F11" s="813"/>
      <c r="G11" s="804"/>
      <c r="H11" s="813"/>
      <c r="I11" s="804"/>
      <c r="J11" s="813"/>
      <c r="K11" s="804"/>
      <c r="L11" s="597" t="s">
        <v>230</v>
      </c>
      <c r="M11" s="597" t="s">
        <v>231</v>
      </c>
      <c r="N11" s="597" t="s">
        <v>232</v>
      </c>
      <c r="O11" s="597" t="s">
        <v>233</v>
      </c>
      <c r="P11" s="813"/>
      <c r="S11" s="365" t="s">
        <v>1</v>
      </c>
      <c r="T11" s="369" t="s">
        <v>302</v>
      </c>
      <c r="U11" s="365" t="s">
        <v>303</v>
      </c>
      <c r="V11" s="369" t="s">
        <v>304</v>
      </c>
      <c r="W11" s="365" t="s">
        <v>40</v>
      </c>
      <c r="X11" s="369" t="s">
        <v>305</v>
      </c>
    </row>
    <row r="12" spans="2:30" s="605" customFormat="1" ht="26.25" thickBot="1">
      <c r="B12" s="599"/>
      <c r="C12" s="600" t="s">
        <v>15</v>
      </c>
      <c r="D12" s="600" t="s">
        <v>24</v>
      </c>
      <c r="E12" s="601" t="s">
        <v>24</v>
      </c>
      <c r="F12" s="602" t="s">
        <v>24</v>
      </c>
      <c r="G12" s="602" t="s">
        <v>24</v>
      </c>
      <c r="H12" s="602" t="s">
        <v>24</v>
      </c>
      <c r="I12" s="602" t="s">
        <v>24</v>
      </c>
      <c r="J12" s="602" t="s">
        <v>24</v>
      </c>
      <c r="K12" s="602" t="s">
        <v>24</v>
      </c>
      <c r="L12" s="602" t="s">
        <v>24</v>
      </c>
      <c r="M12" s="602" t="s">
        <v>24</v>
      </c>
      <c r="N12" s="602" t="s">
        <v>24</v>
      </c>
      <c r="O12" s="603" t="s">
        <v>24</v>
      </c>
      <c r="P12" s="604" t="s">
        <v>39</v>
      </c>
      <c r="S12" s="606"/>
      <c r="T12" s="607" t="s">
        <v>306</v>
      </c>
      <c r="U12" s="606" t="s">
        <v>307</v>
      </c>
      <c r="V12" s="607" t="s">
        <v>15</v>
      </c>
      <c r="W12" s="608" t="s">
        <v>24</v>
      </c>
      <c r="X12" s="607" t="s">
        <v>15</v>
      </c>
    </row>
    <row r="13" spans="2:30">
      <c r="B13" s="609">
        <f>year</f>
        <v>2000</v>
      </c>
      <c r="C13" s="610">
        <f>'[2]Fraksi pengelolaan sampah BaU'!C30</f>
        <v>7.2405809520000002</v>
      </c>
      <c r="D13" s="611">
        <v>1</v>
      </c>
      <c r="E13" s="612">
        <f t="shared" ref="E13:O28" si="0">E$8</f>
        <v>0.435</v>
      </c>
      <c r="F13" s="612">
        <f t="shared" si="0"/>
        <v>0.129</v>
      </c>
      <c r="G13" s="612">
        <f t="shared" si="0"/>
        <v>0</v>
      </c>
      <c r="H13" s="612">
        <f t="shared" si="0"/>
        <v>0</v>
      </c>
      <c r="I13" s="612">
        <f t="shared" si="0"/>
        <v>9.9000000000000005E-2</v>
      </c>
      <c r="J13" s="612">
        <f t="shared" si="0"/>
        <v>2.7E-2</v>
      </c>
      <c r="K13" s="612">
        <f t="shared" si="0"/>
        <v>8.9999999999999993E-3</v>
      </c>
      <c r="L13" s="612">
        <f t="shared" si="0"/>
        <v>7.1999999999999995E-2</v>
      </c>
      <c r="M13" s="612">
        <f t="shared" si="0"/>
        <v>3.3000000000000002E-2</v>
      </c>
      <c r="N13" s="612">
        <f t="shared" si="0"/>
        <v>0.04</v>
      </c>
      <c r="O13" s="612">
        <f t="shared" si="0"/>
        <v>0.156</v>
      </c>
      <c r="P13" s="613">
        <f t="shared" ref="P13:P44" si="1">SUM(E13:O13)</f>
        <v>1</v>
      </c>
      <c r="S13" s="609">
        <f>year</f>
        <v>2000</v>
      </c>
      <c r="T13" s="614">
        <v>0</v>
      </c>
      <c r="U13" s="614">
        <v>5</v>
      </c>
      <c r="V13" s="615">
        <f>T13*U13</f>
        <v>0</v>
      </c>
      <c r="W13" s="616">
        <v>1</v>
      </c>
      <c r="X13" s="617">
        <f t="shared" ref="X13:X44" si="2">V13*W13</f>
        <v>0</v>
      </c>
    </row>
    <row r="14" spans="2:30">
      <c r="B14" s="618">
        <f t="shared" ref="B14:B45" si="3">B13+1</f>
        <v>2001</v>
      </c>
      <c r="C14" s="610">
        <f>'[2]Fraksi pengelolaan sampah BaU'!C31</f>
        <v>7.6422532559999992</v>
      </c>
      <c r="D14" s="611">
        <v>1</v>
      </c>
      <c r="E14" s="612">
        <f t="shared" si="0"/>
        <v>0.435</v>
      </c>
      <c r="F14" s="612">
        <f t="shared" si="0"/>
        <v>0.129</v>
      </c>
      <c r="G14" s="612">
        <f t="shared" si="0"/>
        <v>0</v>
      </c>
      <c r="H14" s="612">
        <f t="shared" si="0"/>
        <v>0</v>
      </c>
      <c r="I14" s="612">
        <f t="shared" si="0"/>
        <v>9.9000000000000005E-2</v>
      </c>
      <c r="J14" s="612">
        <f t="shared" si="0"/>
        <v>2.7E-2</v>
      </c>
      <c r="K14" s="612">
        <f t="shared" si="0"/>
        <v>8.9999999999999993E-3</v>
      </c>
      <c r="L14" s="612">
        <f t="shared" si="0"/>
        <v>7.1999999999999995E-2</v>
      </c>
      <c r="M14" s="612">
        <f t="shared" si="0"/>
        <v>3.3000000000000002E-2</v>
      </c>
      <c r="N14" s="612">
        <f t="shared" si="0"/>
        <v>0.04</v>
      </c>
      <c r="O14" s="612">
        <f t="shared" si="0"/>
        <v>0.156</v>
      </c>
      <c r="P14" s="619">
        <f t="shared" si="1"/>
        <v>1</v>
      </c>
      <c r="S14" s="618">
        <f t="shared" ref="S14:S77" si="4">S13+1</f>
        <v>2001</v>
      </c>
      <c r="T14" s="620">
        <v>0</v>
      </c>
      <c r="U14" s="620">
        <v>5</v>
      </c>
      <c r="V14" s="621">
        <f>T14*U14</f>
        <v>0</v>
      </c>
      <c r="W14" s="622">
        <v>1</v>
      </c>
      <c r="X14" s="623">
        <f t="shared" si="2"/>
        <v>0</v>
      </c>
    </row>
    <row r="15" spans="2:30">
      <c r="B15" s="618">
        <f t="shared" si="3"/>
        <v>2002</v>
      </c>
      <c r="C15" s="610">
        <f>'[2]Fraksi pengelolaan sampah BaU'!C32</f>
        <v>8.0746242720000012</v>
      </c>
      <c r="D15" s="611">
        <v>1</v>
      </c>
      <c r="E15" s="612">
        <f t="shared" si="0"/>
        <v>0.435</v>
      </c>
      <c r="F15" s="612">
        <f t="shared" si="0"/>
        <v>0.129</v>
      </c>
      <c r="G15" s="612">
        <f t="shared" si="0"/>
        <v>0</v>
      </c>
      <c r="H15" s="612">
        <f t="shared" si="0"/>
        <v>0</v>
      </c>
      <c r="I15" s="612">
        <f t="shared" si="0"/>
        <v>9.9000000000000005E-2</v>
      </c>
      <c r="J15" s="612">
        <f t="shared" si="0"/>
        <v>2.7E-2</v>
      </c>
      <c r="K15" s="612">
        <f t="shared" si="0"/>
        <v>8.9999999999999993E-3</v>
      </c>
      <c r="L15" s="612">
        <f t="shared" si="0"/>
        <v>7.1999999999999995E-2</v>
      </c>
      <c r="M15" s="612">
        <f t="shared" si="0"/>
        <v>3.3000000000000002E-2</v>
      </c>
      <c r="N15" s="612">
        <f t="shared" si="0"/>
        <v>0.04</v>
      </c>
      <c r="O15" s="612">
        <f t="shared" si="0"/>
        <v>0.156</v>
      </c>
      <c r="P15" s="619">
        <f t="shared" si="1"/>
        <v>1</v>
      </c>
      <c r="S15" s="618">
        <f t="shared" si="4"/>
        <v>2002</v>
      </c>
      <c r="T15" s="620">
        <v>0</v>
      </c>
      <c r="U15" s="620">
        <v>5</v>
      </c>
      <c r="V15" s="621">
        <f t="shared" ref="V15:V78" si="5">T15*U15</f>
        <v>0</v>
      </c>
      <c r="W15" s="622">
        <v>1</v>
      </c>
      <c r="X15" s="623">
        <f t="shared" si="2"/>
        <v>0</v>
      </c>
    </row>
    <row r="16" spans="2:30">
      <c r="B16" s="618">
        <f t="shared" si="3"/>
        <v>2003</v>
      </c>
      <c r="C16" s="610">
        <f>'[2]Fraksi pengelolaan sampah BaU'!C33</f>
        <v>8.2224465840000001</v>
      </c>
      <c r="D16" s="611">
        <v>1</v>
      </c>
      <c r="E16" s="612">
        <f t="shared" si="0"/>
        <v>0.435</v>
      </c>
      <c r="F16" s="612">
        <f t="shared" si="0"/>
        <v>0.129</v>
      </c>
      <c r="G16" s="612">
        <f t="shared" si="0"/>
        <v>0</v>
      </c>
      <c r="H16" s="612">
        <f t="shared" si="0"/>
        <v>0</v>
      </c>
      <c r="I16" s="612">
        <f t="shared" si="0"/>
        <v>9.9000000000000005E-2</v>
      </c>
      <c r="J16" s="612">
        <f t="shared" si="0"/>
        <v>2.7E-2</v>
      </c>
      <c r="K16" s="612">
        <f t="shared" si="0"/>
        <v>8.9999999999999993E-3</v>
      </c>
      <c r="L16" s="612">
        <f t="shared" si="0"/>
        <v>7.1999999999999995E-2</v>
      </c>
      <c r="M16" s="612">
        <f t="shared" si="0"/>
        <v>3.3000000000000002E-2</v>
      </c>
      <c r="N16" s="612">
        <f t="shared" si="0"/>
        <v>0.04</v>
      </c>
      <c r="O16" s="612">
        <f t="shared" si="0"/>
        <v>0.156</v>
      </c>
      <c r="P16" s="619">
        <f t="shared" si="1"/>
        <v>1</v>
      </c>
      <c r="S16" s="618">
        <f t="shared" si="4"/>
        <v>2003</v>
      </c>
      <c r="T16" s="620">
        <v>0</v>
      </c>
      <c r="U16" s="620">
        <v>5</v>
      </c>
      <c r="V16" s="621">
        <f t="shared" si="5"/>
        <v>0</v>
      </c>
      <c r="W16" s="622">
        <v>1</v>
      </c>
      <c r="X16" s="623">
        <f t="shared" si="2"/>
        <v>0</v>
      </c>
    </row>
    <row r="17" spans="2:24">
      <c r="B17" s="618">
        <f t="shared" si="3"/>
        <v>2004</v>
      </c>
      <c r="C17" s="610">
        <f>'[2]Fraksi pengelolaan sampah BaU'!C34</f>
        <v>8.6752217639999998</v>
      </c>
      <c r="D17" s="611">
        <v>1</v>
      </c>
      <c r="E17" s="612">
        <f t="shared" si="0"/>
        <v>0.435</v>
      </c>
      <c r="F17" s="612">
        <f t="shared" si="0"/>
        <v>0.129</v>
      </c>
      <c r="G17" s="612">
        <f t="shared" si="0"/>
        <v>0</v>
      </c>
      <c r="H17" s="612">
        <f t="shared" si="0"/>
        <v>0</v>
      </c>
      <c r="I17" s="612">
        <f t="shared" si="0"/>
        <v>9.9000000000000005E-2</v>
      </c>
      <c r="J17" s="612">
        <f t="shared" si="0"/>
        <v>2.7E-2</v>
      </c>
      <c r="K17" s="612">
        <f t="shared" si="0"/>
        <v>8.9999999999999993E-3</v>
      </c>
      <c r="L17" s="612">
        <f t="shared" si="0"/>
        <v>7.1999999999999995E-2</v>
      </c>
      <c r="M17" s="612">
        <f t="shared" si="0"/>
        <v>3.3000000000000002E-2</v>
      </c>
      <c r="N17" s="612">
        <f t="shared" si="0"/>
        <v>0.04</v>
      </c>
      <c r="O17" s="612">
        <f t="shared" si="0"/>
        <v>0.156</v>
      </c>
      <c r="P17" s="619">
        <f t="shared" si="1"/>
        <v>1</v>
      </c>
      <c r="S17" s="618">
        <f t="shared" si="4"/>
        <v>2004</v>
      </c>
      <c r="T17" s="620">
        <v>0</v>
      </c>
      <c r="U17" s="620">
        <v>5</v>
      </c>
      <c r="V17" s="621">
        <f t="shared" si="5"/>
        <v>0</v>
      </c>
      <c r="W17" s="622">
        <v>1</v>
      </c>
      <c r="X17" s="623">
        <f t="shared" si="2"/>
        <v>0</v>
      </c>
    </row>
    <row r="18" spans="2:24">
      <c r="B18" s="618">
        <f t="shared" si="3"/>
        <v>2005</v>
      </c>
      <c r="C18" s="610">
        <f>'[2]Fraksi pengelolaan sampah BaU'!C35</f>
        <v>9.2991206880000004</v>
      </c>
      <c r="D18" s="611">
        <v>1</v>
      </c>
      <c r="E18" s="612">
        <f t="shared" si="0"/>
        <v>0.435</v>
      </c>
      <c r="F18" s="612">
        <f t="shared" si="0"/>
        <v>0.129</v>
      </c>
      <c r="G18" s="612">
        <f t="shared" si="0"/>
        <v>0</v>
      </c>
      <c r="H18" s="612">
        <f t="shared" si="0"/>
        <v>0</v>
      </c>
      <c r="I18" s="612">
        <f t="shared" si="0"/>
        <v>9.9000000000000005E-2</v>
      </c>
      <c r="J18" s="612">
        <f t="shared" si="0"/>
        <v>2.7E-2</v>
      </c>
      <c r="K18" s="612">
        <f t="shared" si="0"/>
        <v>8.9999999999999993E-3</v>
      </c>
      <c r="L18" s="612">
        <f t="shared" si="0"/>
        <v>7.1999999999999995E-2</v>
      </c>
      <c r="M18" s="612">
        <f t="shared" si="0"/>
        <v>3.3000000000000002E-2</v>
      </c>
      <c r="N18" s="612">
        <f t="shared" si="0"/>
        <v>0.04</v>
      </c>
      <c r="O18" s="612">
        <f t="shared" si="0"/>
        <v>0.156</v>
      </c>
      <c r="P18" s="619">
        <f t="shared" si="1"/>
        <v>1</v>
      </c>
      <c r="S18" s="618">
        <f t="shared" si="4"/>
        <v>2005</v>
      </c>
      <c r="T18" s="620">
        <v>0</v>
      </c>
      <c r="U18" s="620">
        <v>5</v>
      </c>
      <c r="V18" s="621">
        <f t="shared" si="5"/>
        <v>0</v>
      </c>
      <c r="W18" s="622">
        <v>1</v>
      </c>
      <c r="X18" s="623">
        <f t="shared" si="2"/>
        <v>0</v>
      </c>
    </row>
    <row r="19" spans="2:24">
      <c r="B19" s="618">
        <f t="shared" si="3"/>
        <v>2006</v>
      </c>
      <c r="C19" s="610">
        <f>'[2]Fraksi pengelolaan sampah BaU'!C36</f>
        <v>9.6775532039999987</v>
      </c>
      <c r="D19" s="611">
        <v>1</v>
      </c>
      <c r="E19" s="612">
        <f t="shared" si="0"/>
        <v>0.435</v>
      </c>
      <c r="F19" s="612">
        <f t="shared" si="0"/>
        <v>0.129</v>
      </c>
      <c r="G19" s="612">
        <f t="shared" si="0"/>
        <v>0</v>
      </c>
      <c r="H19" s="612">
        <f t="shared" si="0"/>
        <v>0</v>
      </c>
      <c r="I19" s="612">
        <f t="shared" si="0"/>
        <v>9.9000000000000005E-2</v>
      </c>
      <c r="J19" s="612">
        <f t="shared" si="0"/>
        <v>2.7E-2</v>
      </c>
      <c r="K19" s="612">
        <f t="shared" si="0"/>
        <v>8.9999999999999993E-3</v>
      </c>
      <c r="L19" s="612">
        <f t="shared" si="0"/>
        <v>7.1999999999999995E-2</v>
      </c>
      <c r="M19" s="612">
        <f t="shared" si="0"/>
        <v>3.3000000000000002E-2</v>
      </c>
      <c r="N19" s="612">
        <f t="shared" si="0"/>
        <v>0.04</v>
      </c>
      <c r="O19" s="612">
        <f t="shared" si="0"/>
        <v>0.156</v>
      </c>
      <c r="P19" s="619">
        <f t="shared" si="1"/>
        <v>1</v>
      </c>
      <c r="S19" s="618">
        <f t="shared" si="4"/>
        <v>2006</v>
      </c>
      <c r="T19" s="620">
        <v>0</v>
      </c>
      <c r="U19" s="620">
        <v>5</v>
      </c>
      <c r="V19" s="621">
        <f t="shared" si="5"/>
        <v>0</v>
      </c>
      <c r="W19" s="622">
        <v>1</v>
      </c>
      <c r="X19" s="623">
        <f t="shared" si="2"/>
        <v>0</v>
      </c>
    </row>
    <row r="20" spans="2:24">
      <c r="B20" s="618">
        <f t="shared" si="3"/>
        <v>2007</v>
      </c>
      <c r="C20" s="610">
        <f>'[2]Fraksi pengelolaan sampah BaU'!C37</f>
        <v>10.067019996000001</v>
      </c>
      <c r="D20" s="611">
        <v>1</v>
      </c>
      <c r="E20" s="612">
        <f t="shared" si="0"/>
        <v>0.435</v>
      </c>
      <c r="F20" s="612">
        <f t="shared" si="0"/>
        <v>0.129</v>
      </c>
      <c r="G20" s="612">
        <f t="shared" si="0"/>
        <v>0</v>
      </c>
      <c r="H20" s="612">
        <f t="shared" si="0"/>
        <v>0</v>
      </c>
      <c r="I20" s="612">
        <f t="shared" si="0"/>
        <v>9.9000000000000005E-2</v>
      </c>
      <c r="J20" s="612">
        <f t="shared" si="0"/>
        <v>2.7E-2</v>
      </c>
      <c r="K20" s="612">
        <f t="shared" si="0"/>
        <v>8.9999999999999993E-3</v>
      </c>
      <c r="L20" s="612">
        <f t="shared" si="0"/>
        <v>7.1999999999999995E-2</v>
      </c>
      <c r="M20" s="612">
        <f t="shared" si="0"/>
        <v>3.3000000000000002E-2</v>
      </c>
      <c r="N20" s="612">
        <f t="shared" si="0"/>
        <v>0.04</v>
      </c>
      <c r="O20" s="612">
        <f t="shared" si="0"/>
        <v>0.156</v>
      </c>
      <c r="P20" s="619">
        <f t="shared" si="1"/>
        <v>1</v>
      </c>
      <c r="S20" s="618">
        <f t="shared" si="4"/>
        <v>2007</v>
      </c>
      <c r="T20" s="620">
        <v>0</v>
      </c>
      <c r="U20" s="620">
        <v>5</v>
      </c>
      <c r="V20" s="621">
        <f t="shared" si="5"/>
        <v>0</v>
      </c>
      <c r="W20" s="622">
        <v>1</v>
      </c>
      <c r="X20" s="623">
        <f t="shared" si="2"/>
        <v>0</v>
      </c>
    </row>
    <row r="21" spans="2:24">
      <c r="B21" s="618">
        <f t="shared" si="3"/>
        <v>2008</v>
      </c>
      <c r="C21" s="610">
        <f>'[2]Fraksi pengelolaan sampah BaU'!C38</f>
        <v>10.466719692</v>
      </c>
      <c r="D21" s="611">
        <v>1</v>
      </c>
      <c r="E21" s="612">
        <f t="shared" si="0"/>
        <v>0.435</v>
      </c>
      <c r="F21" s="612">
        <f t="shared" si="0"/>
        <v>0.129</v>
      </c>
      <c r="G21" s="612">
        <f t="shared" si="0"/>
        <v>0</v>
      </c>
      <c r="H21" s="612">
        <f t="shared" si="0"/>
        <v>0</v>
      </c>
      <c r="I21" s="612">
        <f t="shared" si="0"/>
        <v>9.9000000000000005E-2</v>
      </c>
      <c r="J21" s="612">
        <f t="shared" si="0"/>
        <v>2.7E-2</v>
      </c>
      <c r="K21" s="612">
        <f t="shared" si="0"/>
        <v>8.9999999999999993E-3</v>
      </c>
      <c r="L21" s="612">
        <f t="shared" si="0"/>
        <v>7.1999999999999995E-2</v>
      </c>
      <c r="M21" s="612">
        <f t="shared" si="0"/>
        <v>3.3000000000000002E-2</v>
      </c>
      <c r="N21" s="612">
        <f t="shared" si="0"/>
        <v>0.04</v>
      </c>
      <c r="O21" s="612">
        <f t="shared" si="0"/>
        <v>0.156</v>
      </c>
      <c r="P21" s="619">
        <f t="shared" si="1"/>
        <v>1</v>
      </c>
      <c r="S21" s="618">
        <f t="shared" si="4"/>
        <v>2008</v>
      </c>
      <c r="T21" s="620">
        <v>0</v>
      </c>
      <c r="U21" s="620">
        <v>5</v>
      </c>
      <c r="V21" s="621">
        <f t="shared" si="5"/>
        <v>0</v>
      </c>
      <c r="W21" s="622">
        <v>1</v>
      </c>
      <c r="X21" s="623">
        <f t="shared" si="2"/>
        <v>0</v>
      </c>
    </row>
    <row r="22" spans="2:24">
      <c r="B22" s="618">
        <f t="shared" si="3"/>
        <v>2009</v>
      </c>
      <c r="C22" s="610">
        <f>'[2]Fraksi pengelolaan sampah BaU'!C39</f>
        <v>10.875357768000001</v>
      </c>
      <c r="D22" s="611">
        <v>1</v>
      </c>
      <c r="E22" s="612">
        <f t="shared" si="0"/>
        <v>0.435</v>
      </c>
      <c r="F22" s="612">
        <f t="shared" si="0"/>
        <v>0.129</v>
      </c>
      <c r="G22" s="612">
        <f t="shared" si="0"/>
        <v>0</v>
      </c>
      <c r="H22" s="612">
        <f t="shared" si="0"/>
        <v>0</v>
      </c>
      <c r="I22" s="612">
        <f t="shared" si="0"/>
        <v>9.9000000000000005E-2</v>
      </c>
      <c r="J22" s="612">
        <f t="shared" si="0"/>
        <v>2.7E-2</v>
      </c>
      <c r="K22" s="612">
        <f t="shared" si="0"/>
        <v>8.9999999999999993E-3</v>
      </c>
      <c r="L22" s="612">
        <f t="shared" si="0"/>
        <v>7.1999999999999995E-2</v>
      </c>
      <c r="M22" s="612">
        <f t="shared" si="0"/>
        <v>3.3000000000000002E-2</v>
      </c>
      <c r="N22" s="612">
        <f t="shared" si="0"/>
        <v>0.04</v>
      </c>
      <c r="O22" s="612">
        <f t="shared" si="0"/>
        <v>0.156</v>
      </c>
      <c r="P22" s="619">
        <f t="shared" si="1"/>
        <v>1</v>
      </c>
      <c r="S22" s="618">
        <f t="shared" si="4"/>
        <v>2009</v>
      </c>
      <c r="T22" s="620">
        <v>0</v>
      </c>
      <c r="U22" s="620">
        <v>5</v>
      </c>
      <c r="V22" s="621">
        <f t="shared" si="5"/>
        <v>0</v>
      </c>
      <c r="W22" s="622">
        <v>1</v>
      </c>
      <c r="X22" s="623">
        <f t="shared" si="2"/>
        <v>0</v>
      </c>
    </row>
    <row r="23" spans="2:24">
      <c r="B23" s="618">
        <f t="shared" si="3"/>
        <v>2010</v>
      </c>
      <c r="C23" s="610">
        <f>'[2]Fraksi pengelolaan sampah BaU'!C40</f>
        <v>11.039145875999999</v>
      </c>
      <c r="D23" s="611">
        <v>1</v>
      </c>
      <c r="E23" s="612">
        <f t="shared" ref="E23:O38" si="6">E$8</f>
        <v>0.435</v>
      </c>
      <c r="F23" s="612">
        <f t="shared" si="6"/>
        <v>0.129</v>
      </c>
      <c r="G23" s="612">
        <f t="shared" si="0"/>
        <v>0</v>
      </c>
      <c r="H23" s="612">
        <f t="shared" si="6"/>
        <v>0</v>
      </c>
      <c r="I23" s="612">
        <f t="shared" si="0"/>
        <v>9.9000000000000005E-2</v>
      </c>
      <c r="J23" s="612">
        <f t="shared" si="6"/>
        <v>2.7E-2</v>
      </c>
      <c r="K23" s="612">
        <f t="shared" si="6"/>
        <v>8.9999999999999993E-3</v>
      </c>
      <c r="L23" s="612">
        <f t="shared" si="6"/>
        <v>7.1999999999999995E-2</v>
      </c>
      <c r="M23" s="612">
        <f t="shared" si="6"/>
        <v>3.3000000000000002E-2</v>
      </c>
      <c r="N23" s="612">
        <f t="shared" si="6"/>
        <v>0.04</v>
      </c>
      <c r="O23" s="612">
        <f t="shared" si="6"/>
        <v>0.156</v>
      </c>
      <c r="P23" s="619">
        <f t="shared" si="1"/>
        <v>1</v>
      </c>
      <c r="S23" s="618">
        <f t="shared" si="4"/>
        <v>2010</v>
      </c>
      <c r="T23" s="620">
        <v>0</v>
      </c>
      <c r="U23" s="620">
        <v>5</v>
      </c>
      <c r="V23" s="621">
        <f t="shared" si="5"/>
        <v>0</v>
      </c>
      <c r="W23" s="622">
        <v>1</v>
      </c>
      <c r="X23" s="623">
        <f t="shared" si="2"/>
        <v>0</v>
      </c>
    </row>
    <row r="24" spans="2:24">
      <c r="B24" s="618">
        <f t="shared" si="3"/>
        <v>2011</v>
      </c>
      <c r="C24" s="610">
        <f>'[3]Fraksi pengelolaan sampah BaU'!C29</f>
        <v>10.422655440000002</v>
      </c>
      <c r="D24" s="611">
        <v>1</v>
      </c>
      <c r="E24" s="612">
        <f t="shared" si="6"/>
        <v>0.435</v>
      </c>
      <c r="F24" s="612">
        <f t="shared" si="6"/>
        <v>0.129</v>
      </c>
      <c r="G24" s="612">
        <f t="shared" si="0"/>
        <v>0</v>
      </c>
      <c r="H24" s="612">
        <f t="shared" si="6"/>
        <v>0</v>
      </c>
      <c r="I24" s="612">
        <f t="shared" si="0"/>
        <v>9.9000000000000005E-2</v>
      </c>
      <c r="J24" s="612">
        <f t="shared" si="6"/>
        <v>2.7E-2</v>
      </c>
      <c r="K24" s="612">
        <f t="shared" si="6"/>
        <v>8.9999999999999993E-3</v>
      </c>
      <c r="L24" s="612">
        <f t="shared" si="6"/>
        <v>7.1999999999999995E-2</v>
      </c>
      <c r="M24" s="612">
        <f t="shared" si="6"/>
        <v>3.3000000000000002E-2</v>
      </c>
      <c r="N24" s="612">
        <f t="shared" si="6"/>
        <v>0.04</v>
      </c>
      <c r="O24" s="612">
        <f t="shared" si="6"/>
        <v>0.156</v>
      </c>
      <c r="P24" s="619">
        <f t="shared" si="1"/>
        <v>1</v>
      </c>
      <c r="S24" s="618">
        <f t="shared" si="4"/>
        <v>2011</v>
      </c>
      <c r="T24" s="620">
        <v>0</v>
      </c>
      <c r="U24" s="620">
        <v>5</v>
      </c>
      <c r="V24" s="621">
        <f t="shared" si="5"/>
        <v>0</v>
      </c>
      <c r="W24" s="622">
        <v>1</v>
      </c>
      <c r="X24" s="623">
        <f t="shared" si="2"/>
        <v>0</v>
      </c>
    </row>
    <row r="25" spans="2:24">
      <c r="B25" s="618">
        <f t="shared" si="3"/>
        <v>2012</v>
      </c>
      <c r="C25" s="610">
        <f>'[3]Fraksi pengelolaan sampah BaU'!C30</f>
        <v>10.735919040000001</v>
      </c>
      <c r="D25" s="611">
        <v>1</v>
      </c>
      <c r="E25" s="612">
        <f t="shared" si="6"/>
        <v>0.435</v>
      </c>
      <c r="F25" s="612">
        <f t="shared" si="6"/>
        <v>0.129</v>
      </c>
      <c r="G25" s="612">
        <f t="shared" si="0"/>
        <v>0</v>
      </c>
      <c r="H25" s="612">
        <f t="shared" si="6"/>
        <v>0</v>
      </c>
      <c r="I25" s="612">
        <f t="shared" si="0"/>
        <v>9.9000000000000005E-2</v>
      </c>
      <c r="J25" s="612">
        <f t="shared" si="6"/>
        <v>2.7E-2</v>
      </c>
      <c r="K25" s="612">
        <f t="shared" si="6"/>
        <v>8.9999999999999993E-3</v>
      </c>
      <c r="L25" s="612">
        <f t="shared" si="6"/>
        <v>7.1999999999999995E-2</v>
      </c>
      <c r="M25" s="612">
        <f t="shared" si="6"/>
        <v>3.3000000000000002E-2</v>
      </c>
      <c r="N25" s="612">
        <f t="shared" si="6"/>
        <v>0.04</v>
      </c>
      <c r="O25" s="612">
        <f t="shared" si="6"/>
        <v>0.156</v>
      </c>
      <c r="P25" s="619">
        <f t="shared" si="1"/>
        <v>1</v>
      </c>
      <c r="S25" s="618">
        <f t="shared" si="4"/>
        <v>2012</v>
      </c>
      <c r="T25" s="620">
        <v>0</v>
      </c>
      <c r="U25" s="620">
        <v>5</v>
      </c>
      <c r="V25" s="621">
        <f t="shared" si="5"/>
        <v>0</v>
      </c>
      <c r="W25" s="622">
        <v>1</v>
      </c>
      <c r="X25" s="623">
        <f t="shared" si="2"/>
        <v>0</v>
      </c>
    </row>
    <row r="26" spans="2:24">
      <c r="B26" s="618">
        <f t="shared" si="3"/>
        <v>2013</v>
      </c>
      <c r="C26" s="610">
        <f>'[3]Fraksi pengelolaan sampah BaU'!C31</f>
        <v>11.061623520000001</v>
      </c>
      <c r="D26" s="611">
        <v>1</v>
      </c>
      <c r="E26" s="612">
        <f t="shared" si="6"/>
        <v>0.435</v>
      </c>
      <c r="F26" s="612">
        <f t="shared" si="6"/>
        <v>0.129</v>
      </c>
      <c r="G26" s="612">
        <f t="shared" si="0"/>
        <v>0</v>
      </c>
      <c r="H26" s="612">
        <f t="shared" si="6"/>
        <v>0</v>
      </c>
      <c r="I26" s="612">
        <f t="shared" si="0"/>
        <v>9.9000000000000005E-2</v>
      </c>
      <c r="J26" s="612">
        <f t="shared" si="6"/>
        <v>2.7E-2</v>
      </c>
      <c r="K26" s="612">
        <f t="shared" si="6"/>
        <v>8.9999999999999993E-3</v>
      </c>
      <c r="L26" s="612">
        <f t="shared" si="6"/>
        <v>7.1999999999999995E-2</v>
      </c>
      <c r="M26" s="612">
        <f t="shared" si="6"/>
        <v>3.3000000000000002E-2</v>
      </c>
      <c r="N26" s="612">
        <f t="shared" si="6"/>
        <v>0.04</v>
      </c>
      <c r="O26" s="612">
        <f t="shared" si="6"/>
        <v>0.156</v>
      </c>
      <c r="P26" s="619">
        <f t="shared" si="1"/>
        <v>1</v>
      </c>
      <c r="S26" s="618">
        <f t="shared" si="4"/>
        <v>2013</v>
      </c>
      <c r="T26" s="620">
        <v>0</v>
      </c>
      <c r="U26" s="620">
        <v>5</v>
      </c>
      <c r="V26" s="621">
        <f t="shared" si="5"/>
        <v>0</v>
      </c>
      <c r="W26" s="622">
        <v>1</v>
      </c>
      <c r="X26" s="623">
        <f t="shared" si="2"/>
        <v>0</v>
      </c>
    </row>
    <row r="27" spans="2:24">
      <c r="B27" s="618">
        <f t="shared" si="3"/>
        <v>2014</v>
      </c>
      <c r="C27" s="610">
        <f>'[3]Fraksi pengelolaan sampah BaU'!C32</f>
        <v>11.38861692</v>
      </c>
      <c r="D27" s="611">
        <v>1</v>
      </c>
      <c r="E27" s="612">
        <f t="shared" si="6"/>
        <v>0.435</v>
      </c>
      <c r="F27" s="612">
        <f t="shared" si="6"/>
        <v>0.129</v>
      </c>
      <c r="G27" s="612">
        <f t="shared" si="0"/>
        <v>0</v>
      </c>
      <c r="H27" s="612">
        <f t="shared" si="6"/>
        <v>0</v>
      </c>
      <c r="I27" s="612">
        <f t="shared" si="0"/>
        <v>9.9000000000000005E-2</v>
      </c>
      <c r="J27" s="612">
        <f t="shared" si="6"/>
        <v>2.7E-2</v>
      </c>
      <c r="K27" s="612">
        <f t="shared" si="6"/>
        <v>8.9999999999999993E-3</v>
      </c>
      <c r="L27" s="612">
        <f t="shared" si="6"/>
        <v>7.1999999999999995E-2</v>
      </c>
      <c r="M27" s="612">
        <f t="shared" si="6"/>
        <v>3.3000000000000002E-2</v>
      </c>
      <c r="N27" s="612">
        <f t="shared" si="6"/>
        <v>0.04</v>
      </c>
      <c r="O27" s="612">
        <f t="shared" si="6"/>
        <v>0.156</v>
      </c>
      <c r="P27" s="619">
        <f t="shared" si="1"/>
        <v>1</v>
      </c>
      <c r="S27" s="618">
        <f t="shared" si="4"/>
        <v>2014</v>
      </c>
      <c r="T27" s="620">
        <v>0</v>
      </c>
      <c r="U27" s="620">
        <v>5</v>
      </c>
      <c r="V27" s="621">
        <f t="shared" si="5"/>
        <v>0</v>
      </c>
      <c r="W27" s="622">
        <v>1</v>
      </c>
      <c r="X27" s="623">
        <f t="shared" si="2"/>
        <v>0</v>
      </c>
    </row>
    <row r="28" spans="2:24">
      <c r="B28" s="618">
        <f t="shared" si="3"/>
        <v>2015</v>
      </c>
      <c r="C28" s="610">
        <f>'[3]Fraksi pengelolaan sampah BaU'!C33</f>
        <v>11.706363720000001</v>
      </c>
      <c r="D28" s="611">
        <v>1</v>
      </c>
      <c r="E28" s="612">
        <f t="shared" si="6"/>
        <v>0.435</v>
      </c>
      <c r="F28" s="612">
        <f t="shared" si="6"/>
        <v>0.129</v>
      </c>
      <c r="G28" s="612">
        <f t="shared" si="0"/>
        <v>0</v>
      </c>
      <c r="H28" s="612">
        <f t="shared" si="6"/>
        <v>0</v>
      </c>
      <c r="I28" s="612">
        <f t="shared" si="0"/>
        <v>9.9000000000000005E-2</v>
      </c>
      <c r="J28" s="612">
        <f t="shared" si="6"/>
        <v>2.7E-2</v>
      </c>
      <c r="K28" s="612">
        <f t="shared" si="6"/>
        <v>8.9999999999999993E-3</v>
      </c>
      <c r="L28" s="612">
        <f t="shared" si="6"/>
        <v>7.1999999999999995E-2</v>
      </c>
      <c r="M28" s="612">
        <f t="shared" si="6"/>
        <v>3.3000000000000002E-2</v>
      </c>
      <c r="N28" s="612">
        <f t="shared" si="6"/>
        <v>0.04</v>
      </c>
      <c r="O28" s="612">
        <f t="shared" si="6"/>
        <v>0.156</v>
      </c>
      <c r="P28" s="619">
        <f t="shared" si="1"/>
        <v>1</v>
      </c>
      <c r="S28" s="618">
        <f t="shared" si="4"/>
        <v>2015</v>
      </c>
      <c r="T28" s="620">
        <v>0</v>
      </c>
      <c r="U28" s="620">
        <v>5</v>
      </c>
      <c r="V28" s="621">
        <f t="shared" si="5"/>
        <v>0</v>
      </c>
      <c r="W28" s="622">
        <v>1</v>
      </c>
      <c r="X28" s="623">
        <f t="shared" si="2"/>
        <v>0</v>
      </c>
    </row>
    <row r="29" spans="2:24">
      <c r="B29" s="618">
        <f t="shared" si="3"/>
        <v>2016</v>
      </c>
      <c r="C29" s="610">
        <f>'[3]Fraksi pengelolaan sampah BaU'!C34</f>
        <v>12.038961120000003</v>
      </c>
      <c r="D29" s="611">
        <v>1</v>
      </c>
      <c r="E29" s="612">
        <f t="shared" si="6"/>
        <v>0.435</v>
      </c>
      <c r="F29" s="612">
        <f t="shared" si="6"/>
        <v>0.129</v>
      </c>
      <c r="G29" s="612">
        <f t="shared" si="6"/>
        <v>0</v>
      </c>
      <c r="H29" s="612">
        <f t="shared" si="6"/>
        <v>0</v>
      </c>
      <c r="I29" s="612">
        <f t="shared" si="6"/>
        <v>9.9000000000000005E-2</v>
      </c>
      <c r="J29" s="612">
        <f t="shared" si="6"/>
        <v>2.7E-2</v>
      </c>
      <c r="K29" s="612">
        <f t="shared" si="6"/>
        <v>8.9999999999999993E-3</v>
      </c>
      <c r="L29" s="612">
        <f t="shared" si="6"/>
        <v>7.1999999999999995E-2</v>
      </c>
      <c r="M29" s="612">
        <f t="shared" si="6"/>
        <v>3.3000000000000002E-2</v>
      </c>
      <c r="N29" s="612">
        <f t="shared" si="6"/>
        <v>0.04</v>
      </c>
      <c r="O29" s="612">
        <f t="shared" si="6"/>
        <v>0.156</v>
      </c>
      <c r="P29" s="619">
        <f t="shared" si="1"/>
        <v>1</v>
      </c>
      <c r="S29" s="618">
        <f t="shared" si="4"/>
        <v>2016</v>
      </c>
      <c r="T29" s="620">
        <v>0</v>
      </c>
      <c r="U29" s="620">
        <v>5</v>
      </c>
      <c r="V29" s="621">
        <f t="shared" si="5"/>
        <v>0</v>
      </c>
      <c r="W29" s="622">
        <v>1</v>
      </c>
      <c r="X29" s="623">
        <f t="shared" si="2"/>
        <v>0</v>
      </c>
    </row>
    <row r="30" spans="2:24">
      <c r="B30" s="618">
        <f t="shared" si="3"/>
        <v>2017</v>
      </c>
      <c r="C30" s="610">
        <f>'[3]Fraksi pengelolaan sampah BaU'!C35</f>
        <v>12.457647168000003</v>
      </c>
      <c r="D30" s="611">
        <v>1</v>
      </c>
      <c r="E30" s="612">
        <f t="shared" si="6"/>
        <v>0.435</v>
      </c>
      <c r="F30" s="612">
        <f t="shared" si="6"/>
        <v>0.129</v>
      </c>
      <c r="G30" s="612">
        <f t="shared" si="6"/>
        <v>0</v>
      </c>
      <c r="H30" s="612">
        <f t="shared" si="6"/>
        <v>0</v>
      </c>
      <c r="I30" s="612">
        <f t="shared" si="6"/>
        <v>9.9000000000000005E-2</v>
      </c>
      <c r="J30" s="612">
        <f t="shared" si="6"/>
        <v>2.7E-2</v>
      </c>
      <c r="K30" s="612">
        <f t="shared" si="6"/>
        <v>8.9999999999999993E-3</v>
      </c>
      <c r="L30" s="612">
        <f t="shared" si="6"/>
        <v>7.1999999999999995E-2</v>
      </c>
      <c r="M30" s="612">
        <f t="shared" si="6"/>
        <v>3.3000000000000002E-2</v>
      </c>
      <c r="N30" s="612">
        <f t="shared" si="6"/>
        <v>0.04</v>
      </c>
      <c r="O30" s="612">
        <f t="shared" si="6"/>
        <v>0.156</v>
      </c>
      <c r="P30" s="619">
        <f t="shared" si="1"/>
        <v>1</v>
      </c>
      <c r="S30" s="618">
        <f t="shared" si="4"/>
        <v>2017</v>
      </c>
      <c r="T30" s="620">
        <v>0</v>
      </c>
      <c r="U30" s="620">
        <v>5</v>
      </c>
      <c r="V30" s="621">
        <f t="shared" si="5"/>
        <v>0</v>
      </c>
      <c r="W30" s="622">
        <v>1</v>
      </c>
      <c r="X30" s="623">
        <f t="shared" si="2"/>
        <v>0</v>
      </c>
    </row>
    <row r="31" spans="2:24">
      <c r="B31" s="618">
        <f t="shared" si="3"/>
        <v>2018</v>
      </c>
      <c r="C31" s="610">
        <f>'[3]Fraksi pengelolaan sampah BaU'!C36</f>
        <v>12.799709724</v>
      </c>
      <c r="D31" s="611">
        <v>1</v>
      </c>
      <c r="E31" s="612">
        <f t="shared" si="6"/>
        <v>0.435</v>
      </c>
      <c r="F31" s="612">
        <f t="shared" si="6"/>
        <v>0.129</v>
      </c>
      <c r="G31" s="612">
        <f t="shared" si="6"/>
        <v>0</v>
      </c>
      <c r="H31" s="612">
        <f t="shared" si="6"/>
        <v>0</v>
      </c>
      <c r="I31" s="612">
        <f t="shared" si="6"/>
        <v>9.9000000000000005E-2</v>
      </c>
      <c r="J31" s="612">
        <f t="shared" si="6"/>
        <v>2.7E-2</v>
      </c>
      <c r="K31" s="612">
        <f t="shared" si="6"/>
        <v>8.9999999999999993E-3</v>
      </c>
      <c r="L31" s="612">
        <f t="shared" si="6"/>
        <v>7.1999999999999995E-2</v>
      </c>
      <c r="M31" s="612">
        <f t="shared" si="6"/>
        <v>3.3000000000000002E-2</v>
      </c>
      <c r="N31" s="612">
        <f t="shared" si="6"/>
        <v>0.04</v>
      </c>
      <c r="O31" s="612">
        <f t="shared" si="6"/>
        <v>0.156</v>
      </c>
      <c r="P31" s="619">
        <f t="shared" si="1"/>
        <v>1</v>
      </c>
      <c r="S31" s="618">
        <f t="shared" si="4"/>
        <v>2018</v>
      </c>
      <c r="T31" s="620">
        <v>0</v>
      </c>
      <c r="U31" s="620">
        <v>5</v>
      </c>
      <c r="V31" s="621">
        <f t="shared" si="5"/>
        <v>0</v>
      </c>
      <c r="W31" s="622">
        <v>1</v>
      </c>
      <c r="X31" s="623">
        <f t="shared" si="2"/>
        <v>0</v>
      </c>
    </row>
    <row r="32" spans="2:24">
      <c r="B32" s="618">
        <f t="shared" si="3"/>
        <v>2019</v>
      </c>
      <c r="C32" s="610">
        <f>'[3]Fraksi pengelolaan sampah BaU'!C37</f>
        <v>13.141772280000001</v>
      </c>
      <c r="D32" s="611">
        <v>1</v>
      </c>
      <c r="E32" s="612">
        <f t="shared" si="6"/>
        <v>0.435</v>
      </c>
      <c r="F32" s="612">
        <f t="shared" si="6"/>
        <v>0.129</v>
      </c>
      <c r="G32" s="612">
        <f t="shared" si="6"/>
        <v>0</v>
      </c>
      <c r="H32" s="612">
        <f t="shared" si="6"/>
        <v>0</v>
      </c>
      <c r="I32" s="612">
        <f t="shared" si="6"/>
        <v>9.9000000000000005E-2</v>
      </c>
      <c r="J32" s="612">
        <f t="shared" si="6"/>
        <v>2.7E-2</v>
      </c>
      <c r="K32" s="612">
        <f t="shared" si="6"/>
        <v>8.9999999999999993E-3</v>
      </c>
      <c r="L32" s="612">
        <f t="shared" si="6"/>
        <v>7.1999999999999995E-2</v>
      </c>
      <c r="M32" s="612">
        <f t="shared" si="6"/>
        <v>3.3000000000000002E-2</v>
      </c>
      <c r="N32" s="612">
        <f t="shared" si="6"/>
        <v>0.04</v>
      </c>
      <c r="O32" s="612">
        <f t="shared" si="6"/>
        <v>0.156</v>
      </c>
      <c r="P32" s="619">
        <f t="shared" si="1"/>
        <v>1</v>
      </c>
      <c r="S32" s="618">
        <f t="shared" si="4"/>
        <v>2019</v>
      </c>
      <c r="T32" s="620">
        <v>0</v>
      </c>
      <c r="U32" s="620">
        <v>5</v>
      </c>
      <c r="V32" s="621">
        <f t="shared" si="5"/>
        <v>0</v>
      </c>
      <c r="W32" s="622">
        <v>1</v>
      </c>
      <c r="X32" s="623">
        <f t="shared" si="2"/>
        <v>0</v>
      </c>
    </row>
    <row r="33" spans="2:24">
      <c r="B33" s="618">
        <f t="shared" si="3"/>
        <v>2020</v>
      </c>
      <c r="C33" s="610">
        <f>'[3]Fraksi pengelolaan sampah BaU'!C38</f>
        <v>13.483834836</v>
      </c>
      <c r="D33" s="611">
        <v>1</v>
      </c>
      <c r="E33" s="612">
        <f t="shared" ref="E33:O48" si="7">E$8</f>
        <v>0.435</v>
      </c>
      <c r="F33" s="612">
        <f t="shared" si="7"/>
        <v>0.129</v>
      </c>
      <c r="G33" s="612">
        <f t="shared" si="6"/>
        <v>0</v>
      </c>
      <c r="H33" s="612">
        <f t="shared" si="7"/>
        <v>0</v>
      </c>
      <c r="I33" s="612">
        <f t="shared" si="6"/>
        <v>9.9000000000000005E-2</v>
      </c>
      <c r="J33" s="612">
        <f t="shared" si="7"/>
        <v>2.7E-2</v>
      </c>
      <c r="K33" s="612">
        <f t="shared" si="7"/>
        <v>8.9999999999999993E-3</v>
      </c>
      <c r="L33" s="612">
        <f t="shared" si="7"/>
        <v>7.1999999999999995E-2</v>
      </c>
      <c r="M33" s="612">
        <f t="shared" si="7"/>
        <v>3.3000000000000002E-2</v>
      </c>
      <c r="N33" s="612">
        <f t="shared" si="7"/>
        <v>0.04</v>
      </c>
      <c r="O33" s="612">
        <f t="shared" si="7"/>
        <v>0.156</v>
      </c>
      <c r="P33" s="619">
        <f t="shared" si="1"/>
        <v>1</v>
      </c>
      <c r="S33" s="618">
        <f t="shared" si="4"/>
        <v>2020</v>
      </c>
      <c r="T33" s="620">
        <v>0</v>
      </c>
      <c r="U33" s="620">
        <v>5</v>
      </c>
      <c r="V33" s="621">
        <f t="shared" si="5"/>
        <v>0</v>
      </c>
      <c r="W33" s="622">
        <v>1</v>
      </c>
      <c r="X33" s="623">
        <f t="shared" si="2"/>
        <v>0</v>
      </c>
    </row>
    <row r="34" spans="2:24">
      <c r="B34" s="618">
        <f t="shared" si="3"/>
        <v>2021</v>
      </c>
      <c r="C34" s="610">
        <f>'[3]Fraksi pengelolaan sampah BaU'!C39</f>
        <v>13.825897392</v>
      </c>
      <c r="D34" s="611">
        <v>1</v>
      </c>
      <c r="E34" s="612">
        <f t="shared" si="7"/>
        <v>0.435</v>
      </c>
      <c r="F34" s="612">
        <f t="shared" si="7"/>
        <v>0.129</v>
      </c>
      <c r="G34" s="612">
        <f t="shared" si="6"/>
        <v>0</v>
      </c>
      <c r="H34" s="612">
        <f t="shared" si="7"/>
        <v>0</v>
      </c>
      <c r="I34" s="612">
        <f t="shared" si="6"/>
        <v>9.9000000000000005E-2</v>
      </c>
      <c r="J34" s="612">
        <f t="shared" si="7"/>
        <v>2.7E-2</v>
      </c>
      <c r="K34" s="612">
        <f t="shared" si="7"/>
        <v>8.9999999999999993E-3</v>
      </c>
      <c r="L34" s="612">
        <f t="shared" si="7"/>
        <v>7.1999999999999995E-2</v>
      </c>
      <c r="M34" s="612">
        <f t="shared" si="7"/>
        <v>3.3000000000000002E-2</v>
      </c>
      <c r="N34" s="612">
        <f t="shared" si="7"/>
        <v>0.04</v>
      </c>
      <c r="O34" s="612">
        <f t="shared" si="7"/>
        <v>0.156</v>
      </c>
      <c r="P34" s="619">
        <f t="shared" si="1"/>
        <v>1</v>
      </c>
      <c r="S34" s="618">
        <f t="shared" si="4"/>
        <v>2021</v>
      </c>
      <c r="T34" s="620">
        <v>0</v>
      </c>
      <c r="U34" s="620">
        <v>5</v>
      </c>
      <c r="V34" s="621">
        <f t="shared" si="5"/>
        <v>0</v>
      </c>
      <c r="W34" s="622">
        <v>1</v>
      </c>
      <c r="X34" s="623">
        <f t="shared" si="2"/>
        <v>0</v>
      </c>
    </row>
    <row r="35" spans="2:24">
      <c r="B35" s="618">
        <f t="shared" si="3"/>
        <v>2022</v>
      </c>
      <c r="C35" s="610">
        <f>'[3]Fraksi pengelolaan sampah BaU'!C40</f>
        <v>14.167959947999998</v>
      </c>
      <c r="D35" s="611">
        <v>1</v>
      </c>
      <c r="E35" s="612">
        <f t="shared" si="7"/>
        <v>0.435</v>
      </c>
      <c r="F35" s="612">
        <f t="shared" si="7"/>
        <v>0.129</v>
      </c>
      <c r="G35" s="612">
        <f t="shared" si="6"/>
        <v>0</v>
      </c>
      <c r="H35" s="612">
        <f t="shared" si="7"/>
        <v>0</v>
      </c>
      <c r="I35" s="612">
        <f t="shared" si="6"/>
        <v>9.9000000000000005E-2</v>
      </c>
      <c r="J35" s="612">
        <f t="shared" si="7"/>
        <v>2.7E-2</v>
      </c>
      <c r="K35" s="612">
        <f t="shared" si="7"/>
        <v>8.9999999999999993E-3</v>
      </c>
      <c r="L35" s="612">
        <f t="shared" si="7"/>
        <v>7.1999999999999995E-2</v>
      </c>
      <c r="M35" s="612">
        <f t="shared" si="7"/>
        <v>3.3000000000000002E-2</v>
      </c>
      <c r="N35" s="612">
        <f t="shared" si="7"/>
        <v>0.04</v>
      </c>
      <c r="O35" s="612">
        <f t="shared" si="7"/>
        <v>0.156</v>
      </c>
      <c r="P35" s="619">
        <f t="shared" si="1"/>
        <v>1</v>
      </c>
      <c r="S35" s="618">
        <f t="shared" si="4"/>
        <v>2022</v>
      </c>
      <c r="T35" s="620">
        <v>0</v>
      </c>
      <c r="U35" s="620">
        <v>5</v>
      </c>
      <c r="V35" s="621">
        <f t="shared" si="5"/>
        <v>0</v>
      </c>
      <c r="W35" s="622">
        <v>1</v>
      </c>
      <c r="X35" s="623">
        <f t="shared" si="2"/>
        <v>0</v>
      </c>
    </row>
    <row r="36" spans="2:24">
      <c r="B36" s="618">
        <f t="shared" si="3"/>
        <v>2023</v>
      </c>
      <c r="C36" s="610">
        <f>'[3]Fraksi pengelolaan sampah BaU'!C41</f>
        <v>14.510022503999998</v>
      </c>
      <c r="D36" s="611">
        <v>1</v>
      </c>
      <c r="E36" s="612">
        <f t="shared" si="7"/>
        <v>0.435</v>
      </c>
      <c r="F36" s="612">
        <f t="shared" si="7"/>
        <v>0.129</v>
      </c>
      <c r="G36" s="612">
        <f t="shared" si="6"/>
        <v>0</v>
      </c>
      <c r="H36" s="612">
        <f t="shared" si="7"/>
        <v>0</v>
      </c>
      <c r="I36" s="612">
        <f t="shared" si="6"/>
        <v>9.9000000000000005E-2</v>
      </c>
      <c r="J36" s="612">
        <f t="shared" si="7"/>
        <v>2.7E-2</v>
      </c>
      <c r="K36" s="612">
        <f t="shared" si="7"/>
        <v>8.9999999999999993E-3</v>
      </c>
      <c r="L36" s="612">
        <f t="shared" si="7"/>
        <v>7.1999999999999995E-2</v>
      </c>
      <c r="M36" s="612">
        <f t="shared" si="7"/>
        <v>3.3000000000000002E-2</v>
      </c>
      <c r="N36" s="612">
        <f t="shared" si="7"/>
        <v>0.04</v>
      </c>
      <c r="O36" s="612">
        <f t="shared" si="7"/>
        <v>0.156</v>
      </c>
      <c r="P36" s="619">
        <f t="shared" si="1"/>
        <v>1</v>
      </c>
      <c r="S36" s="618">
        <f t="shared" si="4"/>
        <v>2023</v>
      </c>
      <c r="T36" s="620">
        <v>0</v>
      </c>
      <c r="U36" s="620">
        <v>5</v>
      </c>
      <c r="V36" s="621">
        <f t="shared" si="5"/>
        <v>0</v>
      </c>
      <c r="W36" s="622">
        <v>1</v>
      </c>
      <c r="X36" s="623">
        <f t="shared" si="2"/>
        <v>0</v>
      </c>
    </row>
    <row r="37" spans="2:24">
      <c r="B37" s="618">
        <f t="shared" si="3"/>
        <v>2024</v>
      </c>
      <c r="C37" s="610">
        <f>'[3]Fraksi pengelolaan sampah BaU'!C42</f>
        <v>14.852085060000002</v>
      </c>
      <c r="D37" s="611">
        <v>1</v>
      </c>
      <c r="E37" s="612">
        <f t="shared" si="7"/>
        <v>0.435</v>
      </c>
      <c r="F37" s="612">
        <f t="shared" si="7"/>
        <v>0.129</v>
      </c>
      <c r="G37" s="612">
        <f t="shared" si="6"/>
        <v>0</v>
      </c>
      <c r="H37" s="612">
        <f t="shared" si="7"/>
        <v>0</v>
      </c>
      <c r="I37" s="612">
        <f t="shared" si="6"/>
        <v>9.9000000000000005E-2</v>
      </c>
      <c r="J37" s="612">
        <f t="shared" si="7"/>
        <v>2.7E-2</v>
      </c>
      <c r="K37" s="612">
        <f t="shared" si="7"/>
        <v>8.9999999999999993E-3</v>
      </c>
      <c r="L37" s="612">
        <f t="shared" si="7"/>
        <v>7.1999999999999995E-2</v>
      </c>
      <c r="M37" s="612">
        <f t="shared" si="7"/>
        <v>3.3000000000000002E-2</v>
      </c>
      <c r="N37" s="612">
        <f t="shared" si="7"/>
        <v>0.04</v>
      </c>
      <c r="O37" s="612">
        <f t="shared" si="7"/>
        <v>0.156</v>
      </c>
      <c r="P37" s="619">
        <f t="shared" si="1"/>
        <v>1</v>
      </c>
      <c r="S37" s="618">
        <f t="shared" si="4"/>
        <v>2024</v>
      </c>
      <c r="T37" s="620">
        <v>0</v>
      </c>
      <c r="U37" s="620">
        <v>5</v>
      </c>
      <c r="V37" s="621">
        <f t="shared" si="5"/>
        <v>0</v>
      </c>
      <c r="W37" s="622">
        <v>1</v>
      </c>
      <c r="X37" s="623">
        <f t="shared" si="2"/>
        <v>0</v>
      </c>
    </row>
    <row r="38" spans="2:24">
      <c r="B38" s="618">
        <f t="shared" si="3"/>
        <v>2025</v>
      </c>
      <c r="C38" s="610">
        <f>'[3]Fraksi pengelolaan sampah BaU'!C43</f>
        <v>15.194147616000004</v>
      </c>
      <c r="D38" s="611">
        <v>1</v>
      </c>
      <c r="E38" s="612">
        <f t="shared" si="7"/>
        <v>0.435</v>
      </c>
      <c r="F38" s="612">
        <f t="shared" si="7"/>
        <v>0.129</v>
      </c>
      <c r="G38" s="612">
        <f t="shared" si="6"/>
        <v>0</v>
      </c>
      <c r="H38" s="612">
        <f t="shared" si="7"/>
        <v>0</v>
      </c>
      <c r="I38" s="612">
        <f t="shared" si="6"/>
        <v>9.9000000000000005E-2</v>
      </c>
      <c r="J38" s="612">
        <f t="shared" si="7"/>
        <v>2.7E-2</v>
      </c>
      <c r="K38" s="612">
        <f t="shared" si="7"/>
        <v>8.9999999999999993E-3</v>
      </c>
      <c r="L38" s="612">
        <f t="shared" si="7"/>
        <v>7.1999999999999995E-2</v>
      </c>
      <c r="M38" s="612">
        <f t="shared" si="7"/>
        <v>3.3000000000000002E-2</v>
      </c>
      <c r="N38" s="612">
        <f t="shared" si="7"/>
        <v>0.04</v>
      </c>
      <c r="O38" s="612">
        <f t="shared" si="7"/>
        <v>0.156</v>
      </c>
      <c r="P38" s="619">
        <f t="shared" si="1"/>
        <v>1</v>
      </c>
      <c r="S38" s="618">
        <f t="shared" si="4"/>
        <v>2025</v>
      </c>
      <c r="T38" s="620">
        <v>0</v>
      </c>
      <c r="U38" s="620">
        <v>5</v>
      </c>
      <c r="V38" s="621">
        <f t="shared" si="5"/>
        <v>0</v>
      </c>
      <c r="W38" s="622">
        <v>1</v>
      </c>
      <c r="X38" s="623">
        <f t="shared" si="2"/>
        <v>0</v>
      </c>
    </row>
    <row r="39" spans="2:24">
      <c r="B39" s="618">
        <f t="shared" si="3"/>
        <v>2026</v>
      </c>
      <c r="C39" s="610">
        <f>'[3]Fraksi pengelolaan sampah BaU'!C44</f>
        <v>15.536210172000001</v>
      </c>
      <c r="D39" s="611">
        <v>1</v>
      </c>
      <c r="E39" s="612">
        <f t="shared" si="7"/>
        <v>0.435</v>
      </c>
      <c r="F39" s="612">
        <f t="shared" si="7"/>
        <v>0.129</v>
      </c>
      <c r="G39" s="612">
        <f t="shared" si="7"/>
        <v>0</v>
      </c>
      <c r="H39" s="612">
        <f t="shared" si="7"/>
        <v>0</v>
      </c>
      <c r="I39" s="612">
        <f t="shared" si="7"/>
        <v>9.9000000000000005E-2</v>
      </c>
      <c r="J39" s="612">
        <f t="shared" si="7"/>
        <v>2.7E-2</v>
      </c>
      <c r="K39" s="612">
        <f t="shared" si="7"/>
        <v>8.9999999999999993E-3</v>
      </c>
      <c r="L39" s="612">
        <f t="shared" si="7"/>
        <v>7.1999999999999995E-2</v>
      </c>
      <c r="M39" s="612">
        <f t="shared" si="7"/>
        <v>3.3000000000000002E-2</v>
      </c>
      <c r="N39" s="612">
        <f t="shared" si="7"/>
        <v>0.04</v>
      </c>
      <c r="O39" s="612">
        <f t="shared" si="7"/>
        <v>0.156</v>
      </c>
      <c r="P39" s="619">
        <f t="shared" si="1"/>
        <v>1</v>
      </c>
      <c r="S39" s="618">
        <f t="shared" si="4"/>
        <v>2026</v>
      </c>
      <c r="T39" s="620">
        <v>0</v>
      </c>
      <c r="U39" s="620">
        <v>5</v>
      </c>
      <c r="V39" s="621">
        <f t="shared" si="5"/>
        <v>0</v>
      </c>
      <c r="W39" s="622">
        <v>1</v>
      </c>
      <c r="X39" s="623">
        <f t="shared" si="2"/>
        <v>0</v>
      </c>
    </row>
    <row r="40" spans="2:24">
      <c r="B40" s="618">
        <f t="shared" si="3"/>
        <v>2027</v>
      </c>
      <c r="C40" s="610">
        <f>'[3]Fraksi pengelolaan sampah BaU'!C45</f>
        <v>15.878272727999997</v>
      </c>
      <c r="D40" s="611">
        <v>1</v>
      </c>
      <c r="E40" s="612">
        <f t="shared" si="7"/>
        <v>0.435</v>
      </c>
      <c r="F40" s="612">
        <f t="shared" si="7"/>
        <v>0.129</v>
      </c>
      <c r="G40" s="612">
        <f t="shared" si="7"/>
        <v>0</v>
      </c>
      <c r="H40" s="612">
        <f t="shared" si="7"/>
        <v>0</v>
      </c>
      <c r="I40" s="612">
        <f t="shared" si="7"/>
        <v>9.9000000000000005E-2</v>
      </c>
      <c r="J40" s="612">
        <f t="shared" si="7"/>
        <v>2.7E-2</v>
      </c>
      <c r="K40" s="612">
        <f t="shared" si="7"/>
        <v>8.9999999999999993E-3</v>
      </c>
      <c r="L40" s="612">
        <f t="shared" si="7"/>
        <v>7.1999999999999995E-2</v>
      </c>
      <c r="M40" s="612">
        <f t="shared" si="7"/>
        <v>3.3000000000000002E-2</v>
      </c>
      <c r="N40" s="612">
        <f t="shared" si="7"/>
        <v>0.04</v>
      </c>
      <c r="O40" s="612">
        <f t="shared" si="7"/>
        <v>0.156</v>
      </c>
      <c r="P40" s="619">
        <f t="shared" si="1"/>
        <v>1</v>
      </c>
      <c r="S40" s="618">
        <f t="shared" si="4"/>
        <v>2027</v>
      </c>
      <c r="T40" s="620">
        <v>0</v>
      </c>
      <c r="U40" s="620">
        <v>5</v>
      </c>
      <c r="V40" s="621">
        <f t="shared" si="5"/>
        <v>0</v>
      </c>
      <c r="W40" s="622">
        <v>1</v>
      </c>
      <c r="X40" s="623">
        <f t="shared" si="2"/>
        <v>0</v>
      </c>
    </row>
    <row r="41" spans="2:24">
      <c r="B41" s="618">
        <f t="shared" si="3"/>
        <v>2028</v>
      </c>
      <c r="C41" s="610">
        <f>'[3]Fraksi pengelolaan sampah BaU'!C46</f>
        <v>16.220335284000001</v>
      </c>
      <c r="D41" s="611">
        <v>1</v>
      </c>
      <c r="E41" s="612">
        <f t="shared" si="7"/>
        <v>0.435</v>
      </c>
      <c r="F41" s="612">
        <f t="shared" si="7"/>
        <v>0.129</v>
      </c>
      <c r="G41" s="612">
        <f t="shared" si="7"/>
        <v>0</v>
      </c>
      <c r="H41" s="612">
        <f t="shared" si="7"/>
        <v>0</v>
      </c>
      <c r="I41" s="612">
        <f t="shared" si="7"/>
        <v>9.9000000000000005E-2</v>
      </c>
      <c r="J41" s="612">
        <f t="shared" si="7"/>
        <v>2.7E-2</v>
      </c>
      <c r="K41" s="612">
        <f t="shared" si="7"/>
        <v>8.9999999999999993E-3</v>
      </c>
      <c r="L41" s="612">
        <f t="shared" si="7"/>
        <v>7.1999999999999995E-2</v>
      </c>
      <c r="M41" s="612">
        <f t="shared" si="7"/>
        <v>3.3000000000000002E-2</v>
      </c>
      <c r="N41" s="612">
        <f t="shared" si="7"/>
        <v>0.04</v>
      </c>
      <c r="O41" s="612">
        <f t="shared" si="7"/>
        <v>0.156</v>
      </c>
      <c r="P41" s="619">
        <f t="shared" si="1"/>
        <v>1</v>
      </c>
      <c r="S41" s="618">
        <f t="shared" si="4"/>
        <v>2028</v>
      </c>
      <c r="T41" s="620">
        <v>0</v>
      </c>
      <c r="U41" s="620">
        <v>5</v>
      </c>
      <c r="V41" s="621">
        <f t="shared" si="5"/>
        <v>0</v>
      </c>
      <c r="W41" s="622">
        <v>1</v>
      </c>
      <c r="X41" s="623">
        <f t="shared" si="2"/>
        <v>0</v>
      </c>
    </row>
    <row r="42" spans="2:24">
      <c r="B42" s="618">
        <f t="shared" si="3"/>
        <v>2029</v>
      </c>
      <c r="C42" s="610">
        <f>'[3]Fraksi pengelolaan sampah BaU'!C47</f>
        <v>16.562397839999999</v>
      </c>
      <c r="D42" s="611">
        <v>1</v>
      </c>
      <c r="E42" s="612">
        <f t="shared" si="7"/>
        <v>0.435</v>
      </c>
      <c r="F42" s="612">
        <f t="shared" si="7"/>
        <v>0.129</v>
      </c>
      <c r="G42" s="612">
        <f t="shared" si="7"/>
        <v>0</v>
      </c>
      <c r="H42" s="612">
        <f t="shared" si="7"/>
        <v>0</v>
      </c>
      <c r="I42" s="612">
        <f t="shared" si="7"/>
        <v>9.9000000000000005E-2</v>
      </c>
      <c r="J42" s="612">
        <f t="shared" si="7"/>
        <v>2.7E-2</v>
      </c>
      <c r="K42" s="612">
        <f t="shared" si="7"/>
        <v>8.9999999999999993E-3</v>
      </c>
      <c r="L42" s="612">
        <f t="shared" si="7"/>
        <v>7.1999999999999995E-2</v>
      </c>
      <c r="M42" s="612">
        <f t="shared" si="7"/>
        <v>3.3000000000000002E-2</v>
      </c>
      <c r="N42" s="612">
        <f t="shared" si="7"/>
        <v>0.04</v>
      </c>
      <c r="O42" s="612">
        <f t="shared" si="7"/>
        <v>0.156</v>
      </c>
      <c r="P42" s="619">
        <f t="shared" si="1"/>
        <v>1</v>
      </c>
      <c r="S42" s="618">
        <f t="shared" si="4"/>
        <v>2029</v>
      </c>
      <c r="T42" s="620">
        <v>0</v>
      </c>
      <c r="U42" s="620">
        <v>5</v>
      </c>
      <c r="V42" s="621">
        <f t="shared" si="5"/>
        <v>0</v>
      </c>
      <c r="W42" s="622">
        <v>1</v>
      </c>
      <c r="X42" s="623">
        <f t="shared" si="2"/>
        <v>0</v>
      </c>
    </row>
    <row r="43" spans="2:24">
      <c r="B43" s="618">
        <f t="shared" si="3"/>
        <v>2030</v>
      </c>
      <c r="C43" s="610">
        <f>'[3]Fraksi pengelolaan sampah BaU'!C48</f>
        <v>16.904460396000005</v>
      </c>
      <c r="D43" s="611">
        <v>1</v>
      </c>
      <c r="E43" s="612">
        <f t="shared" ref="E43:O58" si="8">E$8</f>
        <v>0.435</v>
      </c>
      <c r="F43" s="612">
        <f t="shared" si="8"/>
        <v>0.129</v>
      </c>
      <c r="G43" s="612">
        <f t="shared" si="7"/>
        <v>0</v>
      </c>
      <c r="H43" s="612">
        <f t="shared" si="8"/>
        <v>0</v>
      </c>
      <c r="I43" s="612">
        <f t="shared" si="7"/>
        <v>9.9000000000000005E-2</v>
      </c>
      <c r="J43" s="612">
        <f t="shared" si="8"/>
        <v>2.7E-2</v>
      </c>
      <c r="K43" s="612">
        <f t="shared" si="8"/>
        <v>8.9999999999999993E-3</v>
      </c>
      <c r="L43" s="612">
        <f t="shared" si="8"/>
        <v>7.1999999999999995E-2</v>
      </c>
      <c r="M43" s="612">
        <f t="shared" si="8"/>
        <v>3.3000000000000002E-2</v>
      </c>
      <c r="N43" s="612">
        <f t="shared" si="8"/>
        <v>0.04</v>
      </c>
      <c r="O43" s="612">
        <f t="shared" si="8"/>
        <v>0.156</v>
      </c>
      <c r="P43" s="619">
        <f t="shared" si="1"/>
        <v>1</v>
      </c>
      <c r="S43" s="618">
        <f t="shared" si="4"/>
        <v>2030</v>
      </c>
      <c r="T43" s="620">
        <v>0</v>
      </c>
      <c r="U43" s="620">
        <v>5</v>
      </c>
      <c r="V43" s="621">
        <f t="shared" si="5"/>
        <v>0</v>
      </c>
      <c r="W43" s="622">
        <v>1</v>
      </c>
      <c r="X43" s="623">
        <f t="shared" si="2"/>
        <v>0</v>
      </c>
    </row>
    <row r="44" spans="2:24">
      <c r="B44" s="618">
        <f t="shared" si="3"/>
        <v>2031</v>
      </c>
      <c r="C44" s="624"/>
      <c r="D44" s="611">
        <v>1</v>
      </c>
      <c r="E44" s="612">
        <f t="shared" si="8"/>
        <v>0.435</v>
      </c>
      <c r="F44" s="612">
        <f t="shared" si="8"/>
        <v>0.129</v>
      </c>
      <c r="G44" s="612">
        <f t="shared" si="7"/>
        <v>0</v>
      </c>
      <c r="H44" s="612">
        <f t="shared" si="8"/>
        <v>0</v>
      </c>
      <c r="I44" s="612">
        <f t="shared" si="7"/>
        <v>9.9000000000000005E-2</v>
      </c>
      <c r="J44" s="612">
        <f t="shared" si="8"/>
        <v>2.7E-2</v>
      </c>
      <c r="K44" s="612">
        <f t="shared" si="8"/>
        <v>8.9999999999999993E-3</v>
      </c>
      <c r="L44" s="612">
        <f t="shared" si="8"/>
        <v>7.1999999999999995E-2</v>
      </c>
      <c r="M44" s="612">
        <f t="shared" si="8"/>
        <v>3.3000000000000002E-2</v>
      </c>
      <c r="N44" s="612">
        <f t="shared" si="8"/>
        <v>0.04</v>
      </c>
      <c r="O44" s="612">
        <f t="shared" si="8"/>
        <v>0.156</v>
      </c>
      <c r="P44" s="619">
        <f t="shared" si="1"/>
        <v>1</v>
      </c>
      <c r="S44" s="618">
        <f t="shared" si="4"/>
        <v>2031</v>
      </c>
      <c r="T44" s="620">
        <v>0</v>
      </c>
      <c r="U44" s="620">
        <v>5</v>
      </c>
      <c r="V44" s="621">
        <f t="shared" si="5"/>
        <v>0</v>
      </c>
      <c r="W44" s="622">
        <v>1</v>
      </c>
      <c r="X44" s="623">
        <f t="shared" si="2"/>
        <v>0</v>
      </c>
    </row>
    <row r="45" spans="2:24">
      <c r="B45" s="618">
        <f t="shared" si="3"/>
        <v>2032</v>
      </c>
      <c r="C45" s="624"/>
      <c r="D45" s="611">
        <v>1</v>
      </c>
      <c r="E45" s="612">
        <f t="shared" si="8"/>
        <v>0.435</v>
      </c>
      <c r="F45" s="612">
        <f t="shared" si="8"/>
        <v>0.129</v>
      </c>
      <c r="G45" s="612">
        <f t="shared" si="7"/>
        <v>0</v>
      </c>
      <c r="H45" s="612">
        <f t="shared" si="8"/>
        <v>0</v>
      </c>
      <c r="I45" s="612">
        <f t="shared" si="7"/>
        <v>9.9000000000000005E-2</v>
      </c>
      <c r="J45" s="612">
        <f t="shared" si="8"/>
        <v>2.7E-2</v>
      </c>
      <c r="K45" s="612">
        <f t="shared" si="8"/>
        <v>8.9999999999999993E-3</v>
      </c>
      <c r="L45" s="612">
        <f t="shared" si="8"/>
        <v>7.1999999999999995E-2</v>
      </c>
      <c r="M45" s="612">
        <f t="shared" si="8"/>
        <v>3.3000000000000002E-2</v>
      </c>
      <c r="N45" s="612">
        <f t="shared" si="8"/>
        <v>0.04</v>
      </c>
      <c r="O45" s="612">
        <f t="shared" si="8"/>
        <v>0.156</v>
      </c>
      <c r="P45" s="619">
        <f t="shared" ref="P45:P76" si="9">SUM(E45:O45)</f>
        <v>1</v>
      </c>
      <c r="S45" s="618">
        <f t="shared" si="4"/>
        <v>2032</v>
      </c>
      <c r="T45" s="620">
        <v>0</v>
      </c>
      <c r="U45" s="620">
        <v>5</v>
      </c>
      <c r="V45" s="621">
        <f t="shared" si="5"/>
        <v>0</v>
      </c>
      <c r="W45" s="622">
        <v>1</v>
      </c>
      <c r="X45" s="623">
        <f t="shared" ref="X45:X76" si="10">V45*W45</f>
        <v>0</v>
      </c>
    </row>
    <row r="46" spans="2:24">
      <c r="B46" s="618">
        <f t="shared" ref="B46:B77" si="11">B45+1</f>
        <v>2033</v>
      </c>
      <c r="C46" s="624"/>
      <c r="D46" s="611">
        <v>1</v>
      </c>
      <c r="E46" s="612">
        <f t="shared" si="8"/>
        <v>0.435</v>
      </c>
      <c r="F46" s="612">
        <f t="shared" si="8"/>
        <v>0.129</v>
      </c>
      <c r="G46" s="612">
        <f t="shared" si="7"/>
        <v>0</v>
      </c>
      <c r="H46" s="612">
        <f t="shared" si="8"/>
        <v>0</v>
      </c>
      <c r="I46" s="612">
        <f t="shared" si="7"/>
        <v>9.9000000000000005E-2</v>
      </c>
      <c r="J46" s="612">
        <f t="shared" si="8"/>
        <v>2.7E-2</v>
      </c>
      <c r="K46" s="612">
        <f t="shared" si="8"/>
        <v>8.9999999999999993E-3</v>
      </c>
      <c r="L46" s="612">
        <f t="shared" si="8"/>
        <v>7.1999999999999995E-2</v>
      </c>
      <c r="M46" s="612">
        <f t="shared" si="8"/>
        <v>3.3000000000000002E-2</v>
      </c>
      <c r="N46" s="612">
        <f t="shared" si="8"/>
        <v>0.04</v>
      </c>
      <c r="O46" s="612">
        <f t="shared" si="8"/>
        <v>0.156</v>
      </c>
      <c r="P46" s="619">
        <f t="shared" si="9"/>
        <v>1</v>
      </c>
      <c r="S46" s="618">
        <f t="shared" si="4"/>
        <v>2033</v>
      </c>
      <c r="T46" s="620">
        <v>0</v>
      </c>
      <c r="U46" s="620">
        <v>5</v>
      </c>
      <c r="V46" s="621">
        <f t="shared" si="5"/>
        <v>0</v>
      </c>
      <c r="W46" s="622">
        <v>1</v>
      </c>
      <c r="X46" s="623">
        <f t="shared" si="10"/>
        <v>0</v>
      </c>
    </row>
    <row r="47" spans="2:24">
      <c r="B47" s="618">
        <f t="shared" si="11"/>
        <v>2034</v>
      </c>
      <c r="C47" s="624"/>
      <c r="D47" s="611">
        <v>1</v>
      </c>
      <c r="E47" s="612">
        <f t="shared" si="8"/>
        <v>0.435</v>
      </c>
      <c r="F47" s="612">
        <f t="shared" si="8"/>
        <v>0.129</v>
      </c>
      <c r="G47" s="612">
        <f t="shared" si="7"/>
        <v>0</v>
      </c>
      <c r="H47" s="612">
        <f t="shared" si="8"/>
        <v>0</v>
      </c>
      <c r="I47" s="612">
        <f t="shared" si="7"/>
        <v>9.9000000000000005E-2</v>
      </c>
      <c r="J47" s="612">
        <f t="shared" si="8"/>
        <v>2.7E-2</v>
      </c>
      <c r="K47" s="612">
        <f t="shared" si="8"/>
        <v>8.9999999999999993E-3</v>
      </c>
      <c r="L47" s="612">
        <f t="shared" si="8"/>
        <v>7.1999999999999995E-2</v>
      </c>
      <c r="M47" s="612">
        <f t="shared" si="8"/>
        <v>3.3000000000000002E-2</v>
      </c>
      <c r="N47" s="612">
        <f t="shared" si="8"/>
        <v>0.04</v>
      </c>
      <c r="O47" s="612">
        <f t="shared" si="8"/>
        <v>0.156</v>
      </c>
      <c r="P47" s="619">
        <f t="shared" si="9"/>
        <v>1</v>
      </c>
      <c r="S47" s="618">
        <f t="shared" si="4"/>
        <v>2034</v>
      </c>
      <c r="T47" s="620">
        <v>0</v>
      </c>
      <c r="U47" s="620">
        <v>5</v>
      </c>
      <c r="V47" s="621">
        <f t="shared" si="5"/>
        <v>0</v>
      </c>
      <c r="W47" s="622">
        <v>1</v>
      </c>
      <c r="X47" s="623">
        <f t="shared" si="10"/>
        <v>0</v>
      </c>
    </row>
    <row r="48" spans="2:24">
      <c r="B48" s="618">
        <f t="shared" si="11"/>
        <v>2035</v>
      </c>
      <c r="C48" s="624"/>
      <c r="D48" s="611">
        <v>1</v>
      </c>
      <c r="E48" s="612">
        <f t="shared" si="8"/>
        <v>0.435</v>
      </c>
      <c r="F48" s="612">
        <f t="shared" si="8"/>
        <v>0.129</v>
      </c>
      <c r="G48" s="612">
        <f t="shared" si="7"/>
        <v>0</v>
      </c>
      <c r="H48" s="612">
        <f t="shared" si="8"/>
        <v>0</v>
      </c>
      <c r="I48" s="612">
        <f t="shared" si="7"/>
        <v>9.9000000000000005E-2</v>
      </c>
      <c r="J48" s="612">
        <f t="shared" si="8"/>
        <v>2.7E-2</v>
      </c>
      <c r="K48" s="612">
        <f t="shared" si="8"/>
        <v>8.9999999999999993E-3</v>
      </c>
      <c r="L48" s="612">
        <f t="shared" si="8"/>
        <v>7.1999999999999995E-2</v>
      </c>
      <c r="M48" s="612">
        <f t="shared" si="8"/>
        <v>3.3000000000000002E-2</v>
      </c>
      <c r="N48" s="612">
        <f t="shared" si="8"/>
        <v>0.04</v>
      </c>
      <c r="O48" s="612">
        <f t="shared" si="8"/>
        <v>0.156</v>
      </c>
      <c r="P48" s="619">
        <f t="shared" si="9"/>
        <v>1</v>
      </c>
      <c r="S48" s="618">
        <f t="shared" si="4"/>
        <v>2035</v>
      </c>
      <c r="T48" s="620">
        <v>0</v>
      </c>
      <c r="U48" s="620">
        <v>5</v>
      </c>
      <c r="V48" s="621">
        <f t="shared" si="5"/>
        <v>0</v>
      </c>
      <c r="W48" s="622">
        <v>1</v>
      </c>
      <c r="X48" s="623">
        <f t="shared" si="10"/>
        <v>0</v>
      </c>
    </row>
    <row r="49" spans="2:24">
      <c r="B49" s="618">
        <f t="shared" si="11"/>
        <v>2036</v>
      </c>
      <c r="C49" s="624"/>
      <c r="D49" s="611">
        <v>1</v>
      </c>
      <c r="E49" s="612">
        <f t="shared" si="8"/>
        <v>0.435</v>
      </c>
      <c r="F49" s="612">
        <f t="shared" si="8"/>
        <v>0.129</v>
      </c>
      <c r="G49" s="612">
        <f t="shared" si="8"/>
        <v>0</v>
      </c>
      <c r="H49" s="612">
        <f t="shared" si="8"/>
        <v>0</v>
      </c>
      <c r="I49" s="612">
        <f t="shared" si="8"/>
        <v>9.9000000000000005E-2</v>
      </c>
      <c r="J49" s="612">
        <f t="shared" si="8"/>
        <v>2.7E-2</v>
      </c>
      <c r="K49" s="612">
        <f t="shared" si="8"/>
        <v>8.9999999999999993E-3</v>
      </c>
      <c r="L49" s="612">
        <f t="shared" si="8"/>
        <v>7.1999999999999995E-2</v>
      </c>
      <c r="M49" s="612">
        <f t="shared" si="8"/>
        <v>3.3000000000000002E-2</v>
      </c>
      <c r="N49" s="612">
        <f t="shared" si="8"/>
        <v>0.04</v>
      </c>
      <c r="O49" s="612">
        <f t="shared" si="8"/>
        <v>0.156</v>
      </c>
      <c r="P49" s="619">
        <f t="shared" si="9"/>
        <v>1</v>
      </c>
      <c r="S49" s="618">
        <f t="shared" si="4"/>
        <v>2036</v>
      </c>
      <c r="T49" s="620">
        <v>0</v>
      </c>
      <c r="U49" s="620">
        <v>5</v>
      </c>
      <c r="V49" s="621">
        <f t="shared" si="5"/>
        <v>0</v>
      </c>
      <c r="W49" s="622">
        <v>1</v>
      </c>
      <c r="X49" s="623">
        <f t="shared" si="10"/>
        <v>0</v>
      </c>
    </row>
    <row r="50" spans="2:24">
      <c r="B50" s="618">
        <f t="shared" si="11"/>
        <v>2037</v>
      </c>
      <c r="C50" s="624"/>
      <c r="D50" s="611">
        <v>1</v>
      </c>
      <c r="E50" s="612">
        <f t="shared" si="8"/>
        <v>0.435</v>
      </c>
      <c r="F50" s="612">
        <f t="shared" si="8"/>
        <v>0.129</v>
      </c>
      <c r="G50" s="612">
        <f t="shared" si="8"/>
        <v>0</v>
      </c>
      <c r="H50" s="612">
        <f t="shared" si="8"/>
        <v>0</v>
      </c>
      <c r="I50" s="612">
        <f t="shared" si="8"/>
        <v>9.9000000000000005E-2</v>
      </c>
      <c r="J50" s="612">
        <f t="shared" si="8"/>
        <v>2.7E-2</v>
      </c>
      <c r="K50" s="612">
        <f t="shared" si="8"/>
        <v>8.9999999999999993E-3</v>
      </c>
      <c r="L50" s="612">
        <f t="shared" si="8"/>
        <v>7.1999999999999995E-2</v>
      </c>
      <c r="M50" s="612">
        <f t="shared" si="8"/>
        <v>3.3000000000000002E-2</v>
      </c>
      <c r="N50" s="612">
        <f t="shared" si="8"/>
        <v>0.04</v>
      </c>
      <c r="O50" s="612">
        <f t="shared" si="8"/>
        <v>0.156</v>
      </c>
      <c r="P50" s="619">
        <f t="shared" si="9"/>
        <v>1</v>
      </c>
      <c r="S50" s="618">
        <f t="shared" si="4"/>
        <v>2037</v>
      </c>
      <c r="T50" s="620">
        <v>0</v>
      </c>
      <c r="U50" s="620">
        <v>5</v>
      </c>
      <c r="V50" s="621">
        <f t="shared" si="5"/>
        <v>0</v>
      </c>
      <c r="W50" s="622">
        <v>1</v>
      </c>
      <c r="X50" s="623">
        <f t="shared" si="10"/>
        <v>0</v>
      </c>
    </row>
    <row r="51" spans="2:24">
      <c r="B51" s="618">
        <f t="shared" si="11"/>
        <v>2038</v>
      </c>
      <c r="C51" s="624"/>
      <c r="D51" s="611">
        <v>1</v>
      </c>
      <c r="E51" s="612">
        <f t="shared" si="8"/>
        <v>0.435</v>
      </c>
      <c r="F51" s="612">
        <f t="shared" si="8"/>
        <v>0.129</v>
      </c>
      <c r="G51" s="612">
        <f t="shared" si="8"/>
        <v>0</v>
      </c>
      <c r="H51" s="612">
        <f t="shared" si="8"/>
        <v>0</v>
      </c>
      <c r="I51" s="612">
        <f t="shared" si="8"/>
        <v>9.9000000000000005E-2</v>
      </c>
      <c r="J51" s="612">
        <f t="shared" si="8"/>
        <v>2.7E-2</v>
      </c>
      <c r="K51" s="612">
        <f t="shared" si="8"/>
        <v>8.9999999999999993E-3</v>
      </c>
      <c r="L51" s="612">
        <f t="shared" si="8"/>
        <v>7.1999999999999995E-2</v>
      </c>
      <c r="M51" s="612">
        <f t="shared" si="8"/>
        <v>3.3000000000000002E-2</v>
      </c>
      <c r="N51" s="612">
        <f t="shared" si="8"/>
        <v>0.04</v>
      </c>
      <c r="O51" s="612">
        <f t="shared" si="8"/>
        <v>0.156</v>
      </c>
      <c r="P51" s="619">
        <f t="shared" si="9"/>
        <v>1</v>
      </c>
      <c r="S51" s="618">
        <f t="shared" si="4"/>
        <v>2038</v>
      </c>
      <c r="T51" s="620">
        <v>0</v>
      </c>
      <c r="U51" s="620">
        <v>5</v>
      </c>
      <c r="V51" s="621">
        <f t="shared" si="5"/>
        <v>0</v>
      </c>
      <c r="W51" s="622">
        <v>1</v>
      </c>
      <c r="X51" s="623">
        <f t="shared" si="10"/>
        <v>0</v>
      </c>
    </row>
    <row r="52" spans="2:24">
      <c r="B52" s="618">
        <f t="shared" si="11"/>
        <v>2039</v>
      </c>
      <c r="C52" s="624"/>
      <c r="D52" s="611">
        <v>1</v>
      </c>
      <c r="E52" s="612">
        <f t="shared" si="8"/>
        <v>0.435</v>
      </c>
      <c r="F52" s="612">
        <f t="shared" si="8"/>
        <v>0.129</v>
      </c>
      <c r="G52" s="612">
        <f t="shared" si="8"/>
        <v>0</v>
      </c>
      <c r="H52" s="612">
        <f t="shared" si="8"/>
        <v>0</v>
      </c>
      <c r="I52" s="612">
        <f t="shared" si="8"/>
        <v>9.9000000000000005E-2</v>
      </c>
      <c r="J52" s="612">
        <f t="shared" si="8"/>
        <v>2.7E-2</v>
      </c>
      <c r="K52" s="612">
        <f t="shared" si="8"/>
        <v>8.9999999999999993E-3</v>
      </c>
      <c r="L52" s="612">
        <f t="shared" si="8"/>
        <v>7.1999999999999995E-2</v>
      </c>
      <c r="M52" s="612">
        <f t="shared" si="8"/>
        <v>3.3000000000000002E-2</v>
      </c>
      <c r="N52" s="612">
        <f t="shared" si="8"/>
        <v>0.04</v>
      </c>
      <c r="O52" s="612">
        <f t="shared" si="8"/>
        <v>0.156</v>
      </c>
      <c r="P52" s="619">
        <f t="shared" si="9"/>
        <v>1</v>
      </c>
      <c r="S52" s="618">
        <f t="shared" si="4"/>
        <v>2039</v>
      </c>
      <c r="T52" s="620">
        <v>0</v>
      </c>
      <c r="U52" s="620">
        <v>5</v>
      </c>
      <c r="V52" s="621">
        <f t="shared" si="5"/>
        <v>0</v>
      </c>
      <c r="W52" s="622">
        <v>1</v>
      </c>
      <c r="X52" s="623">
        <f t="shared" si="10"/>
        <v>0</v>
      </c>
    </row>
    <row r="53" spans="2:24">
      <c r="B53" s="618">
        <f t="shared" si="11"/>
        <v>2040</v>
      </c>
      <c r="C53" s="624"/>
      <c r="D53" s="611">
        <v>1</v>
      </c>
      <c r="E53" s="612">
        <f t="shared" ref="E53:O68" si="12">E$8</f>
        <v>0.435</v>
      </c>
      <c r="F53" s="612">
        <f t="shared" si="12"/>
        <v>0.129</v>
      </c>
      <c r="G53" s="612">
        <f t="shared" si="8"/>
        <v>0</v>
      </c>
      <c r="H53" s="612">
        <f t="shared" si="12"/>
        <v>0</v>
      </c>
      <c r="I53" s="612">
        <f t="shared" si="8"/>
        <v>9.9000000000000005E-2</v>
      </c>
      <c r="J53" s="612">
        <f t="shared" si="12"/>
        <v>2.7E-2</v>
      </c>
      <c r="K53" s="612">
        <f t="shared" si="12"/>
        <v>8.9999999999999993E-3</v>
      </c>
      <c r="L53" s="612">
        <f t="shared" si="12"/>
        <v>7.1999999999999995E-2</v>
      </c>
      <c r="M53" s="612">
        <f t="shared" si="12"/>
        <v>3.3000000000000002E-2</v>
      </c>
      <c r="N53" s="612">
        <f t="shared" si="12"/>
        <v>0.04</v>
      </c>
      <c r="O53" s="612">
        <f t="shared" si="12"/>
        <v>0.156</v>
      </c>
      <c r="P53" s="619">
        <f t="shared" si="9"/>
        <v>1</v>
      </c>
      <c r="S53" s="618">
        <f t="shared" si="4"/>
        <v>2040</v>
      </c>
      <c r="T53" s="620">
        <v>0</v>
      </c>
      <c r="U53" s="620">
        <v>5</v>
      </c>
      <c r="V53" s="621">
        <f t="shared" si="5"/>
        <v>0</v>
      </c>
      <c r="W53" s="622">
        <v>1</v>
      </c>
      <c r="X53" s="623">
        <f t="shared" si="10"/>
        <v>0</v>
      </c>
    </row>
    <row r="54" spans="2:24">
      <c r="B54" s="618">
        <f t="shared" si="11"/>
        <v>2041</v>
      </c>
      <c r="C54" s="624"/>
      <c r="D54" s="611">
        <v>1</v>
      </c>
      <c r="E54" s="612">
        <f t="shared" si="12"/>
        <v>0.435</v>
      </c>
      <c r="F54" s="612">
        <f t="shared" si="12"/>
        <v>0.129</v>
      </c>
      <c r="G54" s="612">
        <f t="shared" si="8"/>
        <v>0</v>
      </c>
      <c r="H54" s="612">
        <f t="shared" si="12"/>
        <v>0</v>
      </c>
      <c r="I54" s="612">
        <f t="shared" si="8"/>
        <v>9.9000000000000005E-2</v>
      </c>
      <c r="J54" s="612">
        <f t="shared" si="12"/>
        <v>2.7E-2</v>
      </c>
      <c r="K54" s="612">
        <f t="shared" si="12"/>
        <v>8.9999999999999993E-3</v>
      </c>
      <c r="L54" s="612">
        <f t="shared" si="12"/>
        <v>7.1999999999999995E-2</v>
      </c>
      <c r="M54" s="612">
        <f t="shared" si="12"/>
        <v>3.3000000000000002E-2</v>
      </c>
      <c r="N54" s="612">
        <f t="shared" si="12"/>
        <v>0.04</v>
      </c>
      <c r="O54" s="612">
        <f t="shared" si="12"/>
        <v>0.156</v>
      </c>
      <c r="P54" s="619">
        <f t="shared" si="9"/>
        <v>1</v>
      </c>
      <c r="S54" s="618">
        <f t="shared" si="4"/>
        <v>2041</v>
      </c>
      <c r="T54" s="620">
        <v>0</v>
      </c>
      <c r="U54" s="620">
        <v>5</v>
      </c>
      <c r="V54" s="621">
        <f t="shared" si="5"/>
        <v>0</v>
      </c>
      <c r="W54" s="622">
        <v>1</v>
      </c>
      <c r="X54" s="623">
        <f t="shared" si="10"/>
        <v>0</v>
      </c>
    </row>
    <row r="55" spans="2:24">
      <c r="B55" s="618">
        <f t="shared" si="11"/>
        <v>2042</v>
      </c>
      <c r="C55" s="624"/>
      <c r="D55" s="611">
        <v>1</v>
      </c>
      <c r="E55" s="612">
        <f t="shared" si="12"/>
        <v>0.435</v>
      </c>
      <c r="F55" s="612">
        <f t="shared" si="12"/>
        <v>0.129</v>
      </c>
      <c r="G55" s="612">
        <f t="shared" si="8"/>
        <v>0</v>
      </c>
      <c r="H55" s="612">
        <f t="shared" si="12"/>
        <v>0</v>
      </c>
      <c r="I55" s="612">
        <f t="shared" si="8"/>
        <v>9.9000000000000005E-2</v>
      </c>
      <c r="J55" s="612">
        <f t="shared" si="12"/>
        <v>2.7E-2</v>
      </c>
      <c r="K55" s="612">
        <f t="shared" si="12"/>
        <v>8.9999999999999993E-3</v>
      </c>
      <c r="L55" s="612">
        <f t="shared" si="12"/>
        <v>7.1999999999999995E-2</v>
      </c>
      <c r="M55" s="612">
        <f t="shared" si="12"/>
        <v>3.3000000000000002E-2</v>
      </c>
      <c r="N55" s="612">
        <f t="shared" si="12"/>
        <v>0.04</v>
      </c>
      <c r="O55" s="612">
        <f t="shared" si="12"/>
        <v>0.156</v>
      </c>
      <c r="P55" s="619">
        <f t="shared" si="9"/>
        <v>1</v>
      </c>
      <c r="S55" s="618">
        <f t="shared" si="4"/>
        <v>2042</v>
      </c>
      <c r="T55" s="620">
        <v>0</v>
      </c>
      <c r="U55" s="620">
        <v>5</v>
      </c>
      <c r="V55" s="621">
        <f t="shared" si="5"/>
        <v>0</v>
      </c>
      <c r="W55" s="622">
        <v>1</v>
      </c>
      <c r="X55" s="623">
        <f t="shared" si="10"/>
        <v>0</v>
      </c>
    </row>
    <row r="56" spans="2:24">
      <c r="B56" s="618">
        <f t="shared" si="11"/>
        <v>2043</v>
      </c>
      <c r="C56" s="624"/>
      <c r="D56" s="611">
        <v>1</v>
      </c>
      <c r="E56" s="612">
        <f t="shared" si="12"/>
        <v>0.435</v>
      </c>
      <c r="F56" s="612">
        <f t="shared" si="12"/>
        <v>0.129</v>
      </c>
      <c r="G56" s="612">
        <f t="shared" si="8"/>
        <v>0</v>
      </c>
      <c r="H56" s="612">
        <f t="shared" si="12"/>
        <v>0</v>
      </c>
      <c r="I56" s="612">
        <f t="shared" si="8"/>
        <v>9.9000000000000005E-2</v>
      </c>
      <c r="J56" s="612">
        <f t="shared" si="12"/>
        <v>2.7E-2</v>
      </c>
      <c r="K56" s="612">
        <f t="shared" si="12"/>
        <v>8.9999999999999993E-3</v>
      </c>
      <c r="L56" s="612">
        <f t="shared" si="12"/>
        <v>7.1999999999999995E-2</v>
      </c>
      <c r="M56" s="612">
        <f t="shared" si="12"/>
        <v>3.3000000000000002E-2</v>
      </c>
      <c r="N56" s="612">
        <f t="shared" si="12"/>
        <v>0.04</v>
      </c>
      <c r="O56" s="612">
        <f t="shared" si="12"/>
        <v>0.156</v>
      </c>
      <c r="P56" s="619">
        <f t="shared" si="9"/>
        <v>1</v>
      </c>
      <c r="S56" s="618">
        <f t="shared" si="4"/>
        <v>2043</v>
      </c>
      <c r="T56" s="620">
        <v>0</v>
      </c>
      <c r="U56" s="620">
        <v>5</v>
      </c>
      <c r="V56" s="621">
        <f t="shared" si="5"/>
        <v>0</v>
      </c>
      <c r="W56" s="622">
        <v>1</v>
      </c>
      <c r="X56" s="623">
        <f t="shared" si="10"/>
        <v>0</v>
      </c>
    </row>
    <row r="57" spans="2:24">
      <c r="B57" s="618">
        <f t="shared" si="11"/>
        <v>2044</v>
      </c>
      <c r="C57" s="624"/>
      <c r="D57" s="611">
        <v>1</v>
      </c>
      <c r="E57" s="612">
        <f t="shared" si="12"/>
        <v>0.435</v>
      </c>
      <c r="F57" s="612">
        <f t="shared" si="12"/>
        <v>0.129</v>
      </c>
      <c r="G57" s="612">
        <f t="shared" si="8"/>
        <v>0</v>
      </c>
      <c r="H57" s="612">
        <f t="shared" si="12"/>
        <v>0</v>
      </c>
      <c r="I57" s="612">
        <f t="shared" si="8"/>
        <v>9.9000000000000005E-2</v>
      </c>
      <c r="J57" s="612">
        <f t="shared" si="12"/>
        <v>2.7E-2</v>
      </c>
      <c r="K57" s="612">
        <f t="shared" si="12"/>
        <v>8.9999999999999993E-3</v>
      </c>
      <c r="L57" s="612">
        <f t="shared" si="12"/>
        <v>7.1999999999999995E-2</v>
      </c>
      <c r="M57" s="612">
        <f t="shared" si="12"/>
        <v>3.3000000000000002E-2</v>
      </c>
      <c r="N57" s="612">
        <f t="shared" si="12"/>
        <v>0.04</v>
      </c>
      <c r="O57" s="612">
        <f t="shared" si="12"/>
        <v>0.156</v>
      </c>
      <c r="P57" s="619">
        <f t="shared" si="9"/>
        <v>1</v>
      </c>
      <c r="S57" s="618">
        <f t="shared" si="4"/>
        <v>2044</v>
      </c>
      <c r="T57" s="620">
        <v>0</v>
      </c>
      <c r="U57" s="620">
        <v>5</v>
      </c>
      <c r="V57" s="621">
        <f t="shared" si="5"/>
        <v>0</v>
      </c>
      <c r="W57" s="622">
        <v>1</v>
      </c>
      <c r="X57" s="623">
        <f t="shared" si="10"/>
        <v>0</v>
      </c>
    </row>
    <row r="58" spans="2:24">
      <c r="B58" s="618">
        <f t="shared" si="11"/>
        <v>2045</v>
      </c>
      <c r="C58" s="624"/>
      <c r="D58" s="611">
        <v>1</v>
      </c>
      <c r="E58" s="612">
        <f t="shared" si="12"/>
        <v>0.435</v>
      </c>
      <c r="F58" s="612">
        <f t="shared" si="12"/>
        <v>0.129</v>
      </c>
      <c r="G58" s="612">
        <f t="shared" si="8"/>
        <v>0</v>
      </c>
      <c r="H58" s="612">
        <f t="shared" si="12"/>
        <v>0</v>
      </c>
      <c r="I58" s="612">
        <f t="shared" si="8"/>
        <v>9.9000000000000005E-2</v>
      </c>
      <c r="J58" s="612">
        <f t="shared" si="12"/>
        <v>2.7E-2</v>
      </c>
      <c r="K58" s="612">
        <f t="shared" si="12"/>
        <v>8.9999999999999993E-3</v>
      </c>
      <c r="L58" s="612">
        <f t="shared" si="12"/>
        <v>7.1999999999999995E-2</v>
      </c>
      <c r="M58" s="612">
        <f t="shared" si="12"/>
        <v>3.3000000000000002E-2</v>
      </c>
      <c r="N58" s="612">
        <f t="shared" si="12"/>
        <v>0.04</v>
      </c>
      <c r="O58" s="612">
        <f t="shared" si="12"/>
        <v>0.156</v>
      </c>
      <c r="P58" s="619">
        <f t="shared" si="9"/>
        <v>1</v>
      </c>
      <c r="S58" s="618">
        <f t="shared" si="4"/>
        <v>2045</v>
      </c>
      <c r="T58" s="620">
        <v>0</v>
      </c>
      <c r="U58" s="620">
        <v>5</v>
      </c>
      <c r="V58" s="621">
        <f t="shared" si="5"/>
        <v>0</v>
      </c>
      <c r="W58" s="622">
        <v>1</v>
      </c>
      <c r="X58" s="623">
        <f t="shared" si="10"/>
        <v>0</v>
      </c>
    </row>
    <row r="59" spans="2:24">
      <c r="B59" s="618">
        <f t="shared" si="11"/>
        <v>2046</v>
      </c>
      <c r="C59" s="624"/>
      <c r="D59" s="611">
        <v>1</v>
      </c>
      <c r="E59" s="612">
        <f t="shared" si="12"/>
        <v>0.435</v>
      </c>
      <c r="F59" s="612">
        <f t="shared" si="12"/>
        <v>0.129</v>
      </c>
      <c r="G59" s="612">
        <f t="shared" si="12"/>
        <v>0</v>
      </c>
      <c r="H59" s="612">
        <f t="shared" si="12"/>
        <v>0</v>
      </c>
      <c r="I59" s="612">
        <f t="shared" si="12"/>
        <v>9.9000000000000005E-2</v>
      </c>
      <c r="J59" s="612">
        <f t="shared" si="12"/>
        <v>2.7E-2</v>
      </c>
      <c r="K59" s="612">
        <f t="shared" si="12"/>
        <v>8.9999999999999993E-3</v>
      </c>
      <c r="L59" s="612">
        <f t="shared" si="12"/>
        <v>7.1999999999999995E-2</v>
      </c>
      <c r="M59" s="612">
        <f t="shared" si="12"/>
        <v>3.3000000000000002E-2</v>
      </c>
      <c r="N59" s="612">
        <f t="shared" si="12"/>
        <v>0.04</v>
      </c>
      <c r="O59" s="612">
        <f t="shared" si="12"/>
        <v>0.156</v>
      </c>
      <c r="P59" s="619">
        <f t="shared" si="9"/>
        <v>1</v>
      </c>
      <c r="S59" s="618">
        <f t="shared" si="4"/>
        <v>2046</v>
      </c>
      <c r="T59" s="620">
        <v>0</v>
      </c>
      <c r="U59" s="620">
        <v>5</v>
      </c>
      <c r="V59" s="621">
        <f t="shared" si="5"/>
        <v>0</v>
      </c>
      <c r="W59" s="622">
        <v>1</v>
      </c>
      <c r="X59" s="623">
        <f t="shared" si="10"/>
        <v>0</v>
      </c>
    </row>
    <row r="60" spans="2:24">
      <c r="B60" s="618">
        <f t="shared" si="11"/>
        <v>2047</v>
      </c>
      <c r="C60" s="624"/>
      <c r="D60" s="611">
        <v>1</v>
      </c>
      <c r="E60" s="612">
        <f t="shared" si="12"/>
        <v>0.435</v>
      </c>
      <c r="F60" s="612">
        <f t="shared" si="12"/>
        <v>0.129</v>
      </c>
      <c r="G60" s="612">
        <f t="shared" si="12"/>
        <v>0</v>
      </c>
      <c r="H60" s="612">
        <f t="shared" si="12"/>
        <v>0</v>
      </c>
      <c r="I60" s="612">
        <f t="shared" si="12"/>
        <v>9.9000000000000005E-2</v>
      </c>
      <c r="J60" s="612">
        <f t="shared" si="12"/>
        <v>2.7E-2</v>
      </c>
      <c r="K60" s="612">
        <f t="shared" si="12"/>
        <v>8.9999999999999993E-3</v>
      </c>
      <c r="L60" s="612">
        <f t="shared" si="12"/>
        <v>7.1999999999999995E-2</v>
      </c>
      <c r="M60" s="612">
        <f t="shared" si="12"/>
        <v>3.3000000000000002E-2</v>
      </c>
      <c r="N60" s="612">
        <f t="shared" si="12"/>
        <v>0.04</v>
      </c>
      <c r="O60" s="612">
        <f t="shared" si="12"/>
        <v>0.156</v>
      </c>
      <c r="P60" s="619">
        <f t="shared" si="9"/>
        <v>1</v>
      </c>
      <c r="S60" s="618">
        <f t="shared" si="4"/>
        <v>2047</v>
      </c>
      <c r="T60" s="620">
        <v>0</v>
      </c>
      <c r="U60" s="620">
        <v>5</v>
      </c>
      <c r="V60" s="621">
        <f t="shared" si="5"/>
        <v>0</v>
      </c>
      <c r="W60" s="622">
        <v>1</v>
      </c>
      <c r="X60" s="623">
        <f t="shared" si="10"/>
        <v>0</v>
      </c>
    </row>
    <row r="61" spans="2:24">
      <c r="B61" s="618">
        <f t="shared" si="11"/>
        <v>2048</v>
      </c>
      <c r="C61" s="624"/>
      <c r="D61" s="611">
        <v>1</v>
      </c>
      <c r="E61" s="612">
        <f t="shared" si="12"/>
        <v>0.435</v>
      </c>
      <c r="F61" s="612">
        <f t="shared" si="12"/>
        <v>0.129</v>
      </c>
      <c r="G61" s="612">
        <f t="shared" si="12"/>
        <v>0</v>
      </c>
      <c r="H61" s="612">
        <f t="shared" si="12"/>
        <v>0</v>
      </c>
      <c r="I61" s="612">
        <f t="shared" si="12"/>
        <v>9.9000000000000005E-2</v>
      </c>
      <c r="J61" s="612">
        <f t="shared" si="12"/>
        <v>2.7E-2</v>
      </c>
      <c r="K61" s="612">
        <f t="shared" si="12"/>
        <v>8.9999999999999993E-3</v>
      </c>
      <c r="L61" s="612">
        <f t="shared" si="12"/>
        <v>7.1999999999999995E-2</v>
      </c>
      <c r="M61" s="612">
        <f t="shared" si="12"/>
        <v>3.3000000000000002E-2</v>
      </c>
      <c r="N61" s="612">
        <f t="shared" si="12"/>
        <v>0.04</v>
      </c>
      <c r="O61" s="612">
        <f t="shared" si="12"/>
        <v>0.156</v>
      </c>
      <c r="P61" s="619">
        <f t="shared" si="9"/>
        <v>1</v>
      </c>
      <c r="S61" s="618">
        <f t="shared" si="4"/>
        <v>2048</v>
      </c>
      <c r="T61" s="620">
        <v>0</v>
      </c>
      <c r="U61" s="620">
        <v>5</v>
      </c>
      <c r="V61" s="621">
        <f t="shared" si="5"/>
        <v>0</v>
      </c>
      <c r="W61" s="622">
        <v>1</v>
      </c>
      <c r="X61" s="623">
        <f t="shared" si="10"/>
        <v>0</v>
      </c>
    </row>
    <row r="62" spans="2:24">
      <c r="B62" s="618">
        <f t="shared" si="11"/>
        <v>2049</v>
      </c>
      <c r="C62" s="624"/>
      <c r="D62" s="611">
        <v>1</v>
      </c>
      <c r="E62" s="612">
        <f t="shared" si="12"/>
        <v>0.435</v>
      </c>
      <c r="F62" s="612">
        <f t="shared" si="12"/>
        <v>0.129</v>
      </c>
      <c r="G62" s="612">
        <f t="shared" si="12"/>
        <v>0</v>
      </c>
      <c r="H62" s="612">
        <f t="shared" si="12"/>
        <v>0</v>
      </c>
      <c r="I62" s="612">
        <f t="shared" si="12"/>
        <v>9.9000000000000005E-2</v>
      </c>
      <c r="J62" s="612">
        <f t="shared" si="12"/>
        <v>2.7E-2</v>
      </c>
      <c r="K62" s="612">
        <f t="shared" si="12"/>
        <v>8.9999999999999993E-3</v>
      </c>
      <c r="L62" s="612">
        <f t="shared" si="12"/>
        <v>7.1999999999999995E-2</v>
      </c>
      <c r="M62" s="612">
        <f t="shared" si="12"/>
        <v>3.3000000000000002E-2</v>
      </c>
      <c r="N62" s="612">
        <f t="shared" si="12"/>
        <v>0.04</v>
      </c>
      <c r="O62" s="612">
        <f t="shared" si="12"/>
        <v>0.156</v>
      </c>
      <c r="P62" s="619">
        <f t="shared" si="9"/>
        <v>1</v>
      </c>
      <c r="S62" s="618">
        <f t="shared" si="4"/>
        <v>2049</v>
      </c>
      <c r="T62" s="620">
        <v>0</v>
      </c>
      <c r="U62" s="620">
        <v>5</v>
      </c>
      <c r="V62" s="621">
        <f t="shared" si="5"/>
        <v>0</v>
      </c>
      <c r="W62" s="622">
        <v>1</v>
      </c>
      <c r="X62" s="623">
        <f t="shared" si="10"/>
        <v>0</v>
      </c>
    </row>
    <row r="63" spans="2:24">
      <c r="B63" s="618">
        <f t="shared" si="11"/>
        <v>2050</v>
      </c>
      <c r="C63" s="624"/>
      <c r="D63" s="611">
        <v>1</v>
      </c>
      <c r="E63" s="612">
        <f t="shared" ref="E63:O78" si="13">E$8</f>
        <v>0.435</v>
      </c>
      <c r="F63" s="612">
        <f t="shared" si="13"/>
        <v>0.129</v>
      </c>
      <c r="G63" s="612">
        <f t="shared" si="12"/>
        <v>0</v>
      </c>
      <c r="H63" s="612">
        <f t="shared" si="13"/>
        <v>0</v>
      </c>
      <c r="I63" s="612">
        <f t="shared" si="12"/>
        <v>9.9000000000000005E-2</v>
      </c>
      <c r="J63" s="612">
        <f t="shared" si="13"/>
        <v>2.7E-2</v>
      </c>
      <c r="K63" s="612">
        <f t="shared" si="13"/>
        <v>8.9999999999999993E-3</v>
      </c>
      <c r="L63" s="612">
        <f t="shared" si="13"/>
        <v>7.1999999999999995E-2</v>
      </c>
      <c r="M63" s="612">
        <f t="shared" si="13"/>
        <v>3.3000000000000002E-2</v>
      </c>
      <c r="N63" s="612">
        <f t="shared" si="13"/>
        <v>0.04</v>
      </c>
      <c r="O63" s="612">
        <f t="shared" si="13"/>
        <v>0.156</v>
      </c>
      <c r="P63" s="619">
        <f t="shared" si="9"/>
        <v>1</v>
      </c>
      <c r="S63" s="618">
        <f t="shared" si="4"/>
        <v>2050</v>
      </c>
      <c r="T63" s="620">
        <v>0</v>
      </c>
      <c r="U63" s="620">
        <v>5</v>
      </c>
      <c r="V63" s="621">
        <f t="shared" si="5"/>
        <v>0</v>
      </c>
      <c r="W63" s="622">
        <v>1</v>
      </c>
      <c r="X63" s="623">
        <f t="shared" si="10"/>
        <v>0</v>
      </c>
    </row>
    <row r="64" spans="2:24">
      <c r="B64" s="618">
        <f t="shared" si="11"/>
        <v>2051</v>
      </c>
      <c r="C64" s="624"/>
      <c r="D64" s="611">
        <v>1</v>
      </c>
      <c r="E64" s="612">
        <f t="shared" si="13"/>
        <v>0.435</v>
      </c>
      <c r="F64" s="612">
        <f t="shared" si="13"/>
        <v>0.129</v>
      </c>
      <c r="G64" s="612">
        <f t="shared" si="12"/>
        <v>0</v>
      </c>
      <c r="H64" s="612">
        <f t="shared" si="13"/>
        <v>0</v>
      </c>
      <c r="I64" s="612">
        <f t="shared" si="12"/>
        <v>9.9000000000000005E-2</v>
      </c>
      <c r="J64" s="612">
        <f t="shared" si="13"/>
        <v>2.7E-2</v>
      </c>
      <c r="K64" s="612">
        <f t="shared" si="13"/>
        <v>8.9999999999999993E-3</v>
      </c>
      <c r="L64" s="612">
        <f t="shared" si="13"/>
        <v>7.1999999999999995E-2</v>
      </c>
      <c r="M64" s="612">
        <f t="shared" si="13"/>
        <v>3.3000000000000002E-2</v>
      </c>
      <c r="N64" s="612">
        <f t="shared" si="13"/>
        <v>0.04</v>
      </c>
      <c r="O64" s="612">
        <f t="shared" si="13"/>
        <v>0.156</v>
      </c>
      <c r="P64" s="619">
        <f t="shared" si="9"/>
        <v>1</v>
      </c>
      <c r="S64" s="618">
        <f t="shared" si="4"/>
        <v>2051</v>
      </c>
      <c r="T64" s="620">
        <v>0</v>
      </c>
      <c r="U64" s="620">
        <v>5</v>
      </c>
      <c r="V64" s="621">
        <f t="shared" si="5"/>
        <v>0</v>
      </c>
      <c r="W64" s="622">
        <v>1</v>
      </c>
      <c r="X64" s="623">
        <f t="shared" si="10"/>
        <v>0</v>
      </c>
    </row>
    <row r="65" spans="2:24">
      <c r="B65" s="618">
        <f t="shared" si="11"/>
        <v>2052</v>
      </c>
      <c r="C65" s="624"/>
      <c r="D65" s="611">
        <v>1</v>
      </c>
      <c r="E65" s="612">
        <f t="shared" si="13"/>
        <v>0.435</v>
      </c>
      <c r="F65" s="612">
        <f t="shared" si="13"/>
        <v>0.129</v>
      </c>
      <c r="G65" s="612">
        <f t="shared" si="12"/>
        <v>0</v>
      </c>
      <c r="H65" s="612">
        <f t="shared" si="13"/>
        <v>0</v>
      </c>
      <c r="I65" s="612">
        <f t="shared" si="12"/>
        <v>9.9000000000000005E-2</v>
      </c>
      <c r="J65" s="612">
        <f t="shared" si="13"/>
        <v>2.7E-2</v>
      </c>
      <c r="K65" s="612">
        <f t="shared" si="13"/>
        <v>8.9999999999999993E-3</v>
      </c>
      <c r="L65" s="612">
        <f t="shared" si="13"/>
        <v>7.1999999999999995E-2</v>
      </c>
      <c r="M65" s="612">
        <f t="shared" si="13"/>
        <v>3.3000000000000002E-2</v>
      </c>
      <c r="N65" s="612">
        <f t="shared" si="13"/>
        <v>0.04</v>
      </c>
      <c r="O65" s="612">
        <f t="shared" si="13"/>
        <v>0.156</v>
      </c>
      <c r="P65" s="619">
        <f t="shared" si="9"/>
        <v>1</v>
      </c>
      <c r="S65" s="618">
        <f t="shared" si="4"/>
        <v>2052</v>
      </c>
      <c r="T65" s="620">
        <v>0</v>
      </c>
      <c r="U65" s="620">
        <v>5</v>
      </c>
      <c r="V65" s="621">
        <f t="shared" si="5"/>
        <v>0</v>
      </c>
      <c r="W65" s="622">
        <v>1</v>
      </c>
      <c r="X65" s="623">
        <f t="shared" si="10"/>
        <v>0</v>
      </c>
    </row>
    <row r="66" spans="2:24">
      <c r="B66" s="618">
        <f t="shared" si="11"/>
        <v>2053</v>
      </c>
      <c r="C66" s="624"/>
      <c r="D66" s="611">
        <v>1</v>
      </c>
      <c r="E66" s="612">
        <f t="shared" si="13"/>
        <v>0.435</v>
      </c>
      <c r="F66" s="612">
        <f t="shared" si="13"/>
        <v>0.129</v>
      </c>
      <c r="G66" s="612">
        <f t="shared" si="12"/>
        <v>0</v>
      </c>
      <c r="H66" s="612">
        <f t="shared" si="13"/>
        <v>0</v>
      </c>
      <c r="I66" s="612">
        <f t="shared" si="12"/>
        <v>9.9000000000000005E-2</v>
      </c>
      <c r="J66" s="612">
        <f t="shared" si="13"/>
        <v>2.7E-2</v>
      </c>
      <c r="K66" s="612">
        <f t="shared" si="13"/>
        <v>8.9999999999999993E-3</v>
      </c>
      <c r="L66" s="612">
        <f t="shared" si="13"/>
        <v>7.1999999999999995E-2</v>
      </c>
      <c r="M66" s="612">
        <f t="shared" si="13"/>
        <v>3.3000000000000002E-2</v>
      </c>
      <c r="N66" s="612">
        <f t="shared" si="13"/>
        <v>0.04</v>
      </c>
      <c r="O66" s="612">
        <f t="shared" si="13"/>
        <v>0.156</v>
      </c>
      <c r="P66" s="619">
        <f t="shared" si="9"/>
        <v>1</v>
      </c>
      <c r="S66" s="618">
        <f t="shared" si="4"/>
        <v>2053</v>
      </c>
      <c r="T66" s="620">
        <v>0</v>
      </c>
      <c r="U66" s="620">
        <v>5</v>
      </c>
      <c r="V66" s="621">
        <f t="shared" si="5"/>
        <v>0</v>
      </c>
      <c r="W66" s="622">
        <v>1</v>
      </c>
      <c r="X66" s="623">
        <f t="shared" si="10"/>
        <v>0</v>
      </c>
    </row>
    <row r="67" spans="2:24">
      <c r="B67" s="618">
        <f t="shared" si="11"/>
        <v>2054</v>
      </c>
      <c r="C67" s="624"/>
      <c r="D67" s="611">
        <v>1</v>
      </c>
      <c r="E67" s="612">
        <f t="shared" si="13"/>
        <v>0.435</v>
      </c>
      <c r="F67" s="612">
        <f t="shared" si="13"/>
        <v>0.129</v>
      </c>
      <c r="G67" s="612">
        <f t="shared" si="12"/>
        <v>0</v>
      </c>
      <c r="H67" s="612">
        <f t="shared" si="13"/>
        <v>0</v>
      </c>
      <c r="I67" s="612">
        <f t="shared" si="12"/>
        <v>9.9000000000000005E-2</v>
      </c>
      <c r="J67" s="612">
        <f t="shared" si="13"/>
        <v>2.7E-2</v>
      </c>
      <c r="K67" s="612">
        <f t="shared" si="13"/>
        <v>8.9999999999999993E-3</v>
      </c>
      <c r="L67" s="612">
        <f t="shared" si="13"/>
        <v>7.1999999999999995E-2</v>
      </c>
      <c r="M67" s="612">
        <f t="shared" si="13"/>
        <v>3.3000000000000002E-2</v>
      </c>
      <c r="N67" s="612">
        <f t="shared" si="13"/>
        <v>0.04</v>
      </c>
      <c r="O67" s="612">
        <f t="shared" si="13"/>
        <v>0.156</v>
      </c>
      <c r="P67" s="619">
        <f t="shared" si="9"/>
        <v>1</v>
      </c>
      <c r="S67" s="618">
        <f t="shared" si="4"/>
        <v>2054</v>
      </c>
      <c r="T67" s="620">
        <v>0</v>
      </c>
      <c r="U67" s="620">
        <v>5</v>
      </c>
      <c r="V67" s="621">
        <f t="shared" si="5"/>
        <v>0</v>
      </c>
      <c r="W67" s="622">
        <v>1</v>
      </c>
      <c r="X67" s="623">
        <f t="shared" si="10"/>
        <v>0</v>
      </c>
    </row>
    <row r="68" spans="2:24">
      <c r="B68" s="618">
        <f t="shared" si="11"/>
        <v>2055</v>
      </c>
      <c r="C68" s="624"/>
      <c r="D68" s="611">
        <v>1</v>
      </c>
      <c r="E68" s="612">
        <f t="shared" si="13"/>
        <v>0.435</v>
      </c>
      <c r="F68" s="612">
        <f t="shared" si="13"/>
        <v>0.129</v>
      </c>
      <c r="G68" s="612">
        <f t="shared" si="12"/>
        <v>0</v>
      </c>
      <c r="H68" s="612">
        <f t="shared" si="13"/>
        <v>0</v>
      </c>
      <c r="I68" s="612">
        <f t="shared" si="12"/>
        <v>9.9000000000000005E-2</v>
      </c>
      <c r="J68" s="612">
        <f t="shared" si="13"/>
        <v>2.7E-2</v>
      </c>
      <c r="K68" s="612">
        <f t="shared" si="13"/>
        <v>8.9999999999999993E-3</v>
      </c>
      <c r="L68" s="612">
        <f t="shared" si="13"/>
        <v>7.1999999999999995E-2</v>
      </c>
      <c r="M68" s="612">
        <f t="shared" si="13"/>
        <v>3.3000000000000002E-2</v>
      </c>
      <c r="N68" s="612">
        <f t="shared" si="13"/>
        <v>0.04</v>
      </c>
      <c r="O68" s="612">
        <f t="shared" si="13"/>
        <v>0.156</v>
      </c>
      <c r="P68" s="619">
        <f t="shared" si="9"/>
        <v>1</v>
      </c>
      <c r="S68" s="618">
        <f t="shared" si="4"/>
        <v>2055</v>
      </c>
      <c r="T68" s="620">
        <v>0</v>
      </c>
      <c r="U68" s="620">
        <v>5</v>
      </c>
      <c r="V68" s="621">
        <f t="shared" si="5"/>
        <v>0</v>
      </c>
      <c r="W68" s="622">
        <v>1</v>
      </c>
      <c r="X68" s="623">
        <f t="shared" si="10"/>
        <v>0</v>
      </c>
    </row>
    <row r="69" spans="2:24">
      <c r="B69" s="618">
        <f t="shared" si="11"/>
        <v>2056</v>
      </c>
      <c r="C69" s="624"/>
      <c r="D69" s="611">
        <v>1</v>
      </c>
      <c r="E69" s="612">
        <f t="shared" si="13"/>
        <v>0.435</v>
      </c>
      <c r="F69" s="612">
        <f t="shared" si="13"/>
        <v>0.129</v>
      </c>
      <c r="G69" s="612">
        <f t="shared" si="13"/>
        <v>0</v>
      </c>
      <c r="H69" s="612">
        <f t="shared" si="13"/>
        <v>0</v>
      </c>
      <c r="I69" s="612">
        <f t="shared" si="13"/>
        <v>9.9000000000000005E-2</v>
      </c>
      <c r="J69" s="612">
        <f t="shared" si="13"/>
        <v>2.7E-2</v>
      </c>
      <c r="K69" s="612">
        <f t="shared" si="13"/>
        <v>8.9999999999999993E-3</v>
      </c>
      <c r="L69" s="612">
        <f t="shared" si="13"/>
        <v>7.1999999999999995E-2</v>
      </c>
      <c r="M69" s="612">
        <f t="shared" si="13"/>
        <v>3.3000000000000002E-2</v>
      </c>
      <c r="N69" s="612">
        <f t="shared" si="13"/>
        <v>0.04</v>
      </c>
      <c r="O69" s="612">
        <f t="shared" si="13"/>
        <v>0.156</v>
      </c>
      <c r="P69" s="619">
        <f t="shared" si="9"/>
        <v>1</v>
      </c>
      <c r="S69" s="618">
        <f t="shared" si="4"/>
        <v>2056</v>
      </c>
      <c r="T69" s="620">
        <v>0</v>
      </c>
      <c r="U69" s="620">
        <v>5</v>
      </c>
      <c r="V69" s="621">
        <f t="shared" si="5"/>
        <v>0</v>
      </c>
      <c r="W69" s="622">
        <v>1</v>
      </c>
      <c r="X69" s="623">
        <f t="shared" si="10"/>
        <v>0</v>
      </c>
    </row>
    <row r="70" spans="2:24">
      <c r="B70" s="618">
        <f t="shared" si="11"/>
        <v>2057</v>
      </c>
      <c r="C70" s="624"/>
      <c r="D70" s="611">
        <v>1</v>
      </c>
      <c r="E70" s="612">
        <f t="shared" si="13"/>
        <v>0.435</v>
      </c>
      <c r="F70" s="612">
        <f t="shared" si="13"/>
        <v>0.129</v>
      </c>
      <c r="G70" s="612">
        <f t="shared" si="13"/>
        <v>0</v>
      </c>
      <c r="H70" s="612">
        <f t="shared" si="13"/>
        <v>0</v>
      </c>
      <c r="I70" s="612">
        <f t="shared" si="13"/>
        <v>9.9000000000000005E-2</v>
      </c>
      <c r="J70" s="612">
        <f t="shared" si="13"/>
        <v>2.7E-2</v>
      </c>
      <c r="K70" s="612">
        <f t="shared" si="13"/>
        <v>8.9999999999999993E-3</v>
      </c>
      <c r="L70" s="612">
        <f t="shared" si="13"/>
        <v>7.1999999999999995E-2</v>
      </c>
      <c r="M70" s="612">
        <f t="shared" si="13"/>
        <v>3.3000000000000002E-2</v>
      </c>
      <c r="N70" s="612">
        <f t="shared" si="13"/>
        <v>0.04</v>
      </c>
      <c r="O70" s="612">
        <f t="shared" si="13"/>
        <v>0.156</v>
      </c>
      <c r="P70" s="619">
        <f t="shared" si="9"/>
        <v>1</v>
      </c>
      <c r="S70" s="618">
        <f t="shared" si="4"/>
        <v>2057</v>
      </c>
      <c r="T70" s="620">
        <v>0</v>
      </c>
      <c r="U70" s="620">
        <v>5</v>
      </c>
      <c r="V70" s="621">
        <f t="shared" si="5"/>
        <v>0</v>
      </c>
      <c r="W70" s="622">
        <v>1</v>
      </c>
      <c r="X70" s="623">
        <f t="shared" si="10"/>
        <v>0</v>
      </c>
    </row>
    <row r="71" spans="2:24">
      <c r="B71" s="618">
        <f t="shared" si="11"/>
        <v>2058</v>
      </c>
      <c r="C71" s="624"/>
      <c r="D71" s="611">
        <v>1</v>
      </c>
      <c r="E71" s="612">
        <f t="shared" si="13"/>
        <v>0.435</v>
      </c>
      <c r="F71" s="612">
        <f t="shared" si="13"/>
        <v>0.129</v>
      </c>
      <c r="G71" s="612">
        <f t="shared" si="13"/>
        <v>0</v>
      </c>
      <c r="H71" s="612">
        <f t="shared" si="13"/>
        <v>0</v>
      </c>
      <c r="I71" s="612">
        <f t="shared" si="13"/>
        <v>9.9000000000000005E-2</v>
      </c>
      <c r="J71" s="612">
        <f t="shared" si="13"/>
        <v>2.7E-2</v>
      </c>
      <c r="K71" s="612">
        <f t="shared" si="13"/>
        <v>8.9999999999999993E-3</v>
      </c>
      <c r="L71" s="612">
        <f t="shared" si="13"/>
        <v>7.1999999999999995E-2</v>
      </c>
      <c r="M71" s="612">
        <f t="shared" si="13"/>
        <v>3.3000000000000002E-2</v>
      </c>
      <c r="N71" s="612">
        <f t="shared" si="13"/>
        <v>0.04</v>
      </c>
      <c r="O71" s="612">
        <f t="shared" si="13"/>
        <v>0.156</v>
      </c>
      <c r="P71" s="619">
        <f t="shared" si="9"/>
        <v>1</v>
      </c>
      <c r="S71" s="618">
        <f t="shared" si="4"/>
        <v>2058</v>
      </c>
      <c r="T71" s="620">
        <v>0</v>
      </c>
      <c r="U71" s="620">
        <v>5</v>
      </c>
      <c r="V71" s="621">
        <f t="shared" si="5"/>
        <v>0</v>
      </c>
      <c r="W71" s="622">
        <v>1</v>
      </c>
      <c r="X71" s="623">
        <f t="shared" si="10"/>
        <v>0</v>
      </c>
    </row>
    <row r="72" spans="2:24">
      <c r="B72" s="618">
        <f t="shared" si="11"/>
        <v>2059</v>
      </c>
      <c r="C72" s="624"/>
      <c r="D72" s="611">
        <v>1</v>
      </c>
      <c r="E72" s="612">
        <f t="shared" si="13"/>
        <v>0.435</v>
      </c>
      <c r="F72" s="612">
        <f t="shared" si="13"/>
        <v>0.129</v>
      </c>
      <c r="G72" s="612">
        <f t="shared" si="13"/>
        <v>0</v>
      </c>
      <c r="H72" s="612">
        <f t="shared" si="13"/>
        <v>0</v>
      </c>
      <c r="I72" s="612">
        <f t="shared" si="13"/>
        <v>9.9000000000000005E-2</v>
      </c>
      <c r="J72" s="612">
        <f t="shared" si="13"/>
        <v>2.7E-2</v>
      </c>
      <c r="K72" s="612">
        <f t="shared" si="13"/>
        <v>8.9999999999999993E-3</v>
      </c>
      <c r="L72" s="612">
        <f t="shared" si="13"/>
        <v>7.1999999999999995E-2</v>
      </c>
      <c r="M72" s="612">
        <f t="shared" si="13"/>
        <v>3.3000000000000002E-2</v>
      </c>
      <c r="N72" s="612">
        <f t="shared" si="13"/>
        <v>0.04</v>
      </c>
      <c r="O72" s="612">
        <f t="shared" si="13"/>
        <v>0.156</v>
      </c>
      <c r="P72" s="619">
        <f t="shared" si="9"/>
        <v>1</v>
      </c>
      <c r="S72" s="618">
        <f t="shared" si="4"/>
        <v>2059</v>
      </c>
      <c r="T72" s="620">
        <v>0</v>
      </c>
      <c r="U72" s="620">
        <v>5</v>
      </c>
      <c r="V72" s="621">
        <f t="shared" si="5"/>
        <v>0</v>
      </c>
      <c r="W72" s="622">
        <v>1</v>
      </c>
      <c r="X72" s="623">
        <f t="shared" si="10"/>
        <v>0</v>
      </c>
    </row>
    <row r="73" spans="2:24">
      <c r="B73" s="618">
        <f t="shared" si="11"/>
        <v>2060</v>
      </c>
      <c r="C73" s="624"/>
      <c r="D73" s="611">
        <v>1</v>
      </c>
      <c r="E73" s="612">
        <f t="shared" ref="E73:O88" si="14">E$8</f>
        <v>0.435</v>
      </c>
      <c r="F73" s="612">
        <f t="shared" si="14"/>
        <v>0.129</v>
      </c>
      <c r="G73" s="612">
        <f t="shared" si="13"/>
        <v>0</v>
      </c>
      <c r="H73" s="612">
        <f t="shared" si="14"/>
        <v>0</v>
      </c>
      <c r="I73" s="612">
        <f t="shared" si="13"/>
        <v>9.9000000000000005E-2</v>
      </c>
      <c r="J73" s="612">
        <f t="shared" si="14"/>
        <v>2.7E-2</v>
      </c>
      <c r="K73" s="612">
        <f t="shared" si="14"/>
        <v>8.9999999999999993E-3</v>
      </c>
      <c r="L73" s="612">
        <f t="shared" si="14"/>
        <v>7.1999999999999995E-2</v>
      </c>
      <c r="M73" s="612">
        <f t="shared" si="14"/>
        <v>3.3000000000000002E-2</v>
      </c>
      <c r="N73" s="612">
        <f t="shared" si="14"/>
        <v>0.04</v>
      </c>
      <c r="O73" s="612">
        <f t="shared" si="14"/>
        <v>0.156</v>
      </c>
      <c r="P73" s="619">
        <f t="shared" si="9"/>
        <v>1</v>
      </c>
      <c r="S73" s="618">
        <f t="shared" si="4"/>
        <v>2060</v>
      </c>
      <c r="T73" s="620">
        <v>0</v>
      </c>
      <c r="U73" s="620">
        <v>5</v>
      </c>
      <c r="V73" s="621">
        <f t="shared" si="5"/>
        <v>0</v>
      </c>
      <c r="W73" s="622">
        <v>1</v>
      </c>
      <c r="X73" s="623">
        <f t="shared" si="10"/>
        <v>0</v>
      </c>
    </row>
    <row r="74" spans="2:24">
      <c r="B74" s="618">
        <f t="shared" si="11"/>
        <v>2061</v>
      </c>
      <c r="C74" s="624"/>
      <c r="D74" s="611">
        <v>1</v>
      </c>
      <c r="E74" s="612">
        <f t="shared" si="14"/>
        <v>0.435</v>
      </c>
      <c r="F74" s="612">
        <f t="shared" si="14"/>
        <v>0.129</v>
      </c>
      <c r="G74" s="612">
        <f t="shared" si="13"/>
        <v>0</v>
      </c>
      <c r="H74" s="612">
        <f t="shared" si="14"/>
        <v>0</v>
      </c>
      <c r="I74" s="612">
        <f t="shared" si="13"/>
        <v>9.9000000000000005E-2</v>
      </c>
      <c r="J74" s="612">
        <f t="shared" si="14"/>
        <v>2.7E-2</v>
      </c>
      <c r="K74" s="612">
        <f t="shared" si="14"/>
        <v>8.9999999999999993E-3</v>
      </c>
      <c r="L74" s="612">
        <f t="shared" si="14"/>
        <v>7.1999999999999995E-2</v>
      </c>
      <c r="M74" s="612">
        <f t="shared" si="14"/>
        <v>3.3000000000000002E-2</v>
      </c>
      <c r="N74" s="612">
        <f t="shared" si="14"/>
        <v>0.04</v>
      </c>
      <c r="O74" s="612">
        <f t="shared" si="14"/>
        <v>0.156</v>
      </c>
      <c r="P74" s="619">
        <f t="shared" si="9"/>
        <v>1</v>
      </c>
      <c r="S74" s="618">
        <f t="shared" si="4"/>
        <v>2061</v>
      </c>
      <c r="T74" s="620">
        <v>0</v>
      </c>
      <c r="U74" s="620">
        <v>5</v>
      </c>
      <c r="V74" s="621">
        <f t="shared" si="5"/>
        <v>0</v>
      </c>
      <c r="W74" s="622">
        <v>1</v>
      </c>
      <c r="X74" s="623">
        <f t="shared" si="10"/>
        <v>0</v>
      </c>
    </row>
    <row r="75" spans="2:24">
      <c r="B75" s="618">
        <f t="shared" si="11"/>
        <v>2062</v>
      </c>
      <c r="C75" s="624"/>
      <c r="D75" s="611">
        <v>1</v>
      </c>
      <c r="E75" s="612">
        <f t="shared" si="14"/>
        <v>0.435</v>
      </c>
      <c r="F75" s="612">
        <f t="shared" si="14"/>
        <v>0.129</v>
      </c>
      <c r="G75" s="612">
        <f t="shared" si="13"/>
        <v>0</v>
      </c>
      <c r="H75" s="612">
        <f t="shared" si="14"/>
        <v>0</v>
      </c>
      <c r="I75" s="612">
        <f t="shared" si="13"/>
        <v>9.9000000000000005E-2</v>
      </c>
      <c r="J75" s="612">
        <f t="shared" si="14"/>
        <v>2.7E-2</v>
      </c>
      <c r="K75" s="612">
        <f t="shared" si="14"/>
        <v>8.9999999999999993E-3</v>
      </c>
      <c r="L75" s="612">
        <f t="shared" si="14"/>
        <v>7.1999999999999995E-2</v>
      </c>
      <c r="M75" s="612">
        <f t="shared" si="14"/>
        <v>3.3000000000000002E-2</v>
      </c>
      <c r="N75" s="612">
        <f t="shared" si="14"/>
        <v>0.04</v>
      </c>
      <c r="O75" s="612">
        <f t="shared" si="14"/>
        <v>0.156</v>
      </c>
      <c r="P75" s="619">
        <f t="shared" si="9"/>
        <v>1</v>
      </c>
      <c r="S75" s="618">
        <f t="shared" si="4"/>
        <v>2062</v>
      </c>
      <c r="T75" s="620">
        <v>0</v>
      </c>
      <c r="U75" s="620">
        <v>5</v>
      </c>
      <c r="V75" s="621">
        <f t="shared" si="5"/>
        <v>0</v>
      </c>
      <c r="W75" s="622">
        <v>1</v>
      </c>
      <c r="X75" s="623">
        <f t="shared" si="10"/>
        <v>0</v>
      </c>
    </row>
    <row r="76" spans="2:24">
      <c r="B76" s="618">
        <f t="shared" si="11"/>
        <v>2063</v>
      </c>
      <c r="C76" s="624"/>
      <c r="D76" s="611">
        <v>1</v>
      </c>
      <c r="E76" s="612">
        <f t="shared" si="14"/>
        <v>0.435</v>
      </c>
      <c r="F76" s="612">
        <f t="shared" si="14"/>
        <v>0.129</v>
      </c>
      <c r="G76" s="612">
        <f t="shared" si="13"/>
        <v>0</v>
      </c>
      <c r="H76" s="612">
        <f t="shared" si="14"/>
        <v>0</v>
      </c>
      <c r="I76" s="612">
        <f t="shared" si="13"/>
        <v>9.9000000000000005E-2</v>
      </c>
      <c r="J76" s="612">
        <f t="shared" si="14"/>
        <v>2.7E-2</v>
      </c>
      <c r="K76" s="612">
        <f t="shared" si="14"/>
        <v>8.9999999999999993E-3</v>
      </c>
      <c r="L76" s="612">
        <f t="shared" si="14"/>
        <v>7.1999999999999995E-2</v>
      </c>
      <c r="M76" s="612">
        <f t="shared" si="14"/>
        <v>3.3000000000000002E-2</v>
      </c>
      <c r="N76" s="612">
        <f t="shared" si="14"/>
        <v>0.04</v>
      </c>
      <c r="O76" s="612">
        <f t="shared" si="14"/>
        <v>0.156</v>
      </c>
      <c r="P76" s="619">
        <f t="shared" si="9"/>
        <v>1</v>
      </c>
      <c r="S76" s="618">
        <f t="shared" si="4"/>
        <v>2063</v>
      </c>
      <c r="T76" s="620">
        <v>0</v>
      </c>
      <c r="U76" s="620">
        <v>5</v>
      </c>
      <c r="V76" s="621">
        <f t="shared" si="5"/>
        <v>0</v>
      </c>
      <c r="W76" s="622">
        <v>1</v>
      </c>
      <c r="X76" s="623">
        <f t="shared" si="10"/>
        <v>0</v>
      </c>
    </row>
    <row r="77" spans="2:24">
      <c r="B77" s="618">
        <f t="shared" si="11"/>
        <v>2064</v>
      </c>
      <c r="C77" s="624"/>
      <c r="D77" s="611">
        <v>1</v>
      </c>
      <c r="E77" s="612">
        <f t="shared" si="14"/>
        <v>0.435</v>
      </c>
      <c r="F77" s="612">
        <f t="shared" si="14"/>
        <v>0.129</v>
      </c>
      <c r="G77" s="612">
        <f t="shared" si="13"/>
        <v>0</v>
      </c>
      <c r="H77" s="612">
        <f t="shared" si="14"/>
        <v>0</v>
      </c>
      <c r="I77" s="612">
        <f t="shared" si="13"/>
        <v>9.9000000000000005E-2</v>
      </c>
      <c r="J77" s="612">
        <f t="shared" si="14"/>
        <v>2.7E-2</v>
      </c>
      <c r="K77" s="612">
        <f t="shared" si="14"/>
        <v>8.9999999999999993E-3</v>
      </c>
      <c r="L77" s="612">
        <f t="shared" si="14"/>
        <v>7.1999999999999995E-2</v>
      </c>
      <c r="M77" s="612">
        <f t="shared" si="14"/>
        <v>3.3000000000000002E-2</v>
      </c>
      <c r="N77" s="612">
        <f t="shared" si="14"/>
        <v>0.04</v>
      </c>
      <c r="O77" s="612">
        <f t="shared" si="14"/>
        <v>0.156</v>
      </c>
      <c r="P77" s="619">
        <f t="shared" ref="P77:P93" si="15">SUM(E77:O77)</f>
        <v>1</v>
      </c>
      <c r="S77" s="618">
        <f t="shared" si="4"/>
        <v>2064</v>
      </c>
      <c r="T77" s="620">
        <v>0</v>
      </c>
      <c r="U77" s="620">
        <v>5</v>
      </c>
      <c r="V77" s="621">
        <f t="shared" si="5"/>
        <v>0</v>
      </c>
      <c r="W77" s="622">
        <v>1</v>
      </c>
      <c r="X77" s="623">
        <f t="shared" ref="X77:X93" si="16">V77*W77</f>
        <v>0</v>
      </c>
    </row>
    <row r="78" spans="2:24">
      <c r="B78" s="618">
        <f t="shared" ref="B78:B93" si="17">B77+1</f>
        <v>2065</v>
      </c>
      <c r="C78" s="624"/>
      <c r="D78" s="611">
        <v>1</v>
      </c>
      <c r="E78" s="612">
        <f t="shared" si="14"/>
        <v>0.435</v>
      </c>
      <c r="F78" s="612">
        <f t="shared" si="14"/>
        <v>0.129</v>
      </c>
      <c r="G78" s="612">
        <f t="shared" si="13"/>
        <v>0</v>
      </c>
      <c r="H78" s="612">
        <f t="shared" si="14"/>
        <v>0</v>
      </c>
      <c r="I78" s="612">
        <f t="shared" si="13"/>
        <v>9.9000000000000005E-2</v>
      </c>
      <c r="J78" s="612">
        <f t="shared" si="14"/>
        <v>2.7E-2</v>
      </c>
      <c r="K78" s="612">
        <f t="shared" si="14"/>
        <v>8.9999999999999993E-3</v>
      </c>
      <c r="L78" s="612">
        <f t="shared" si="14"/>
        <v>7.1999999999999995E-2</v>
      </c>
      <c r="M78" s="612">
        <f t="shared" si="14"/>
        <v>3.3000000000000002E-2</v>
      </c>
      <c r="N78" s="612">
        <f t="shared" si="14"/>
        <v>0.04</v>
      </c>
      <c r="O78" s="612">
        <f t="shared" si="14"/>
        <v>0.156</v>
      </c>
      <c r="P78" s="619">
        <f t="shared" si="15"/>
        <v>1</v>
      </c>
      <c r="S78" s="618">
        <f t="shared" ref="S78:S93" si="18">S77+1</f>
        <v>2065</v>
      </c>
      <c r="T78" s="620">
        <v>0</v>
      </c>
      <c r="U78" s="620">
        <v>5</v>
      </c>
      <c r="V78" s="621">
        <f t="shared" si="5"/>
        <v>0</v>
      </c>
      <c r="W78" s="622">
        <v>1</v>
      </c>
      <c r="X78" s="623">
        <f t="shared" si="16"/>
        <v>0</v>
      </c>
    </row>
    <row r="79" spans="2:24">
      <c r="B79" s="618">
        <f t="shared" si="17"/>
        <v>2066</v>
      </c>
      <c r="C79" s="624"/>
      <c r="D79" s="611">
        <v>1</v>
      </c>
      <c r="E79" s="612">
        <f t="shared" si="14"/>
        <v>0.435</v>
      </c>
      <c r="F79" s="612">
        <f t="shared" si="14"/>
        <v>0.129</v>
      </c>
      <c r="G79" s="612">
        <f t="shared" si="14"/>
        <v>0</v>
      </c>
      <c r="H79" s="612">
        <f t="shared" si="14"/>
        <v>0</v>
      </c>
      <c r="I79" s="612">
        <f t="shared" si="14"/>
        <v>9.9000000000000005E-2</v>
      </c>
      <c r="J79" s="612">
        <f t="shared" si="14"/>
        <v>2.7E-2</v>
      </c>
      <c r="K79" s="612">
        <f t="shared" si="14"/>
        <v>8.9999999999999993E-3</v>
      </c>
      <c r="L79" s="612">
        <f t="shared" si="14"/>
        <v>7.1999999999999995E-2</v>
      </c>
      <c r="M79" s="612">
        <f t="shared" si="14"/>
        <v>3.3000000000000002E-2</v>
      </c>
      <c r="N79" s="612">
        <f t="shared" si="14"/>
        <v>0.04</v>
      </c>
      <c r="O79" s="612">
        <f t="shared" si="14"/>
        <v>0.156</v>
      </c>
      <c r="P79" s="619">
        <f t="shared" si="15"/>
        <v>1</v>
      </c>
      <c r="S79" s="618">
        <f t="shared" si="18"/>
        <v>2066</v>
      </c>
      <c r="T79" s="620">
        <v>0</v>
      </c>
      <c r="U79" s="620">
        <v>5</v>
      </c>
      <c r="V79" s="621">
        <f t="shared" ref="V79:V93" si="19">T79*U79</f>
        <v>0</v>
      </c>
      <c r="W79" s="622">
        <v>1</v>
      </c>
      <c r="X79" s="623">
        <f t="shared" si="16"/>
        <v>0</v>
      </c>
    </row>
    <row r="80" spans="2:24">
      <c r="B80" s="618">
        <f t="shared" si="17"/>
        <v>2067</v>
      </c>
      <c r="C80" s="624"/>
      <c r="D80" s="611">
        <v>1</v>
      </c>
      <c r="E80" s="612">
        <f t="shared" si="14"/>
        <v>0.435</v>
      </c>
      <c r="F80" s="612">
        <f t="shared" si="14"/>
        <v>0.129</v>
      </c>
      <c r="G80" s="612">
        <f t="shared" si="14"/>
        <v>0</v>
      </c>
      <c r="H80" s="612">
        <f t="shared" si="14"/>
        <v>0</v>
      </c>
      <c r="I80" s="612">
        <f t="shared" si="14"/>
        <v>9.9000000000000005E-2</v>
      </c>
      <c r="J80" s="612">
        <f t="shared" si="14"/>
        <v>2.7E-2</v>
      </c>
      <c r="K80" s="612">
        <f t="shared" si="14"/>
        <v>8.9999999999999993E-3</v>
      </c>
      <c r="L80" s="612">
        <f t="shared" si="14"/>
        <v>7.1999999999999995E-2</v>
      </c>
      <c r="M80" s="612">
        <f t="shared" si="14"/>
        <v>3.3000000000000002E-2</v>
      </c>
      <c r="N80" s="612">
        <f t="shared" si="14"/>
        <v>0.04</v>
      </c>
      <c r="O80" s="612">
        <f t="shared" si="14"/>
        <v>0.156</v>
      </c>
      <c r="P80" s="619">
        <f t="shared" si="15"/>
        <v>1</v>
      </c>
      <c r="S80" s="618">
        <f t="shared" si="18"/>
        <v>2067</v>
      </c>
      <c r="T80" s="620">
        <v>0</v>
      </c>
      <c r="U80" s="620">
        <v>5</v>
      </c>
      <c r="V80" s="621">
        <f t="shared" si="19"/>
        <v>0</v>
      </c>
      <c r="W80" s="622">
        <v>1</v>
      </c>
      <c r="X80" s="623">
        <f t="shared" si="16"/>
        <v>0</v>
      </c>
    </row>
    <row r="81" spans="2:24">
      <c r="B81" s="618">
        <f t="shared" si="17"/>
        <v>2068</v>
      </c>
      <c r="C81" s="624"/>
      <c r="D81" s="611">
        <v>1</v>
      </c>
      <c r="E81" s="612">
        <f t="shared" si="14"/>
        <v>0.435</v>
      </c>
      <c r="F81" s="612">
        <f t="shared" si="14"/>
        <v>0.129</v>
      </c>
      <c r="G81" s="612">
        <f t="shared" si="14"/>
        <v>0</v>
      </c>
      <c r="H81" s="612">
        <f t="shared" si="14"/>
        <v>0</v>
      </c>
      <c r="I81" s="612">
        <f t="shared" si="14"/>
        <v>9.9000000000000005E-2</v>
      </c>
      <c r="J81" s="612">
        <f t="shared" si="14"/>
        <v>2.7E-2</v>
      </c>
      <c r="K81" s="612">
        <f t="shared" si="14"/>
        <v>8.9999999999999993E-3</v>
      </c>
      <c r="L81" s="612">
        <f t="shared" si="14"/>
        <v>7.1999999999999995E-2</v>
      </c>
      <c r="M81" s="612">
        <f t="shared" si="14"/>
        <v>3.3000000000000002E-2</v>
      </c>
      <c r="N81" s="612">
        <f t="shared" si="14"/>
        <v>0.04</v>
      </c>
      <c r="O81" s="612">
        <f t="shared" si="14"/>
        <v>0.156</v>
      </c>
      <c r="P81" s="619">
        <f t="shared" si="15"/>
        <v>1</v>
      </c>
      <c r="S81" s="618">
        <f t="shared" si="18"/>
        <v>2068</v>
      </c>
      <c r="T81" s="620">
        <v>0</v>
      </c>
      <c r="U81" s="620">
        <v>5</v>
      </c>
      <c r="V81" s="621">
        <f t="shared" si="19"/>
        <v>0</v>
      </c>
      <c r="W81" s="622">
        <v>1</v>
      </c>
      <c r="X81" s="623">
        <f t="shared" si="16"/>
        <v>0</v>
      </c>
    </row>
    <row r="82" spans="2:24">
      <c r="B82" s="618">
        <f t="shared" si="17"/>
        <v>2069</v>
      </c>
      <c r="C82" s="624"/>
      <c r="D82" s="611">
        <v>1</v>
      </c>
      <c r="E82" s="612">
        <f t="shared" si="14"/>
        <v>0.435</v>
      </c>
      <c r="F82" s="612">
        <f t="shared" si="14"/>
        <v>0.129</v>
      </c>
      <c r="G82" s="612">
        <f t="shared" si="14"/>
        <v>0</v>
      </c>
      <c r="H82" s="612">
        <f t="shared" si="14"/>
        <v>0</v>
      </c>
      <c r="I82" s="612">
        <f t="shared" si="14"/>
        <v>9.9000000000000005E-2</v>
      </c>
      <c r="J82" s="612">
        <f t="shared" si="14"/>
        <v>2.7E-2</v>
      </c>
      <c r="K82" s="612">
        <f t="shared" si="14"/>
        <v>8.9999999999999993E-3</v>
      </c>
      <c r="L82" s="612">
        <f t="shared" si="14"/>
        <v>7.1999999999999995E-2</v>
      </c>
      <c r="M82" s="612">
        <f t="shared" si="14"/>
        <v>3.3000000000000002E-2</v>
      </c>
      <c r="N82" s="612">
        <f t="shared" si="14"/>
        <v>0.04</v>
      </c>
      <c r="O82" s="612">
        <f t="shared" si="14"/>
        <v>0.156</v>
      </c>
      <c r="P82" s="619">
        <f t="shared" si="15"/>
        <v>1</v>
      </c>
      <c r="S82" s="618">
        <f t="shared" si="18"/>
        <v>2069</v>
      </c>
      <c r="T82" s="620">
        <v>0</v>
      </c>
      <c r="U82" s="620">
        <v>5</v>
      </c>
      <c r="V82" s="621">
        <f t="shared" si="19"/>
        <v>0</v>
      </c>
      <c r="W82" s="622">
        <v>1</v>
      </c>
      <c r="X82" s="623">
        <f t="shared" si="16"/>
        <v>0</v>
      </c>
    </row>
    <row r="83" spans="2:24">
      <c r="B83" s="618">
        <f t="shared" si="17"/>
        <v>2070</v>
      </c>
      <c r="C83" s="624"/>
      <c r="D83" s="611">
        <v>1</v>
      </c>
      <c r="E83" s="612">
        <f t="shared" ref="E83:O93" si="20">E$8</f>
        <v>0.435</v>
      </c>
      <c r="F83" s="612">
        <f t="shared" si="20"/>
        <v>0.129</v>
      </c>
      <c r="G83" s="612">
        <f t="shared" si="14"/>
        <v>0</v>
      </c>
      <c r="H83" s="612">
        <f t="shared" si="20"/>
        <v>0</v>
      </c>
      <c r="I83" s="612">
        <f t="shared" si="14"/>
        <v>9.9000000000000005E-2</v>
      </c>
      <c r="J83" s="612">
        <f t="shared" si="20"/>
        <v>2.7E-2</v>
      </c>
      <c r="K83" s="612">
        <f t="shared" si="20"/>
        <v>8.9999999999999993E-3</v>
      </c>
      <c r="L83" s="612">
        <f t="shared" si="20"/>
        <v>7.1999999999999995E-2</v>
      </c>
      <c r="M83" s="612">
        <f t="shared" si="20"/>
        <v>3.3000000000000002E-2</v>
      </c>
      <c r="N83" s="612">
        <f t="shared" si="20"/>
        <v>0.04</v>
      </c>
      <c r="O83" s="612">
        <f t="shared" si="20"/>
        <v>0.156</v>
      </c>
      <c r="P83" s="619">
        <f t="shared" si="15"/>
        <v>1</v>
      </c>
      <c r="S83" s="618">
        <f t="shared" si="18"/>
        <v>2070</v>
      </c>
      <c r="T83" s="620">
        <v>0</v>
      </c>
      <c r="U83" s="620">
        <v>5</v>
      </c>
      <c r="V83" s="621">
        <f t="shared" si="19"/>
        <v>0</v>
      </c>
      <c r="W83" s="622">
        <v>1</v>
      </c>
      <c r="X83" s="623">
        <f t="shared" si="16"/>
        <v>0</v>
      </c>
    </row>
    <row r="84" spans="2:24">
      <c r="B84" s="618">
        <f t="shared" si="17"/>
        <v>2071</v>
      </c>
      <c r="C84" s="624"/>
      <c r="D84" s="611">
        <v>1</v>
      </c>
      <c r="E84" s="612">
        <f t="shared" si="20"/>
        <v>0.435</v>
      </c>
      <c r="F84" s="612">
        <f t="shared" si="20"/>
        <v>0.129</v>
      </c>
      <c r="G84" s="612">
        <f t="shared" si="14"/>
        <v>0</v>
      </c>
      <c r="H84" s="612">
        <f t="shared" si="20"/>
        <v>0</v>
      </c>
      <c r="I84" s="612">
        <f t="shared" si="14"/>
        <v>9.9000000000000005E-2</v>
      </c>
      <c r="J84" s="612">
        <f t="shared" si="20"/>
        <v>2.7E-2</v>
      </c>
      <c r="K84" s="612">
        <f t="shared" si="20"/>
        <v>8.9999999999999993E-3</v>
      </c>
      <c r="L84" s="612">
        <f t="shared" si="20"/>
        <v>7.1999999999999995E-2</v>
      </c>
      <c r="M84" s="612">
        <f t="shared" si="20"/>
        <v>3.3000000000000002E-2</v>
      </c>
      <c r="N84" s="612">
        <f t="shared" si="20"/>
        <v>0.04</v>
      </c>
      <c r="O84" s="612">
        <f t="shared" si="20"/>
        <v>0.156</v>
      </c>
      <c r="P84" s="619">
        <f t="shared" si="15"/>
        <v>1</v>
      </c>
      <c r="S84" s="618">
        <f t="shared" si="18"/>
        <v>2071</v>
      </c>
      <c r="T84" s="620">
        <v>0</v>
      </c>
      <c r="U84" s="620">
        <v>5</v>
      </c>
      <c r="V84" s="621">
        <f t="shared" si="19"/>
        <v>0</v>
      </c>
      <c r="W84" s="622">
        <v>1</v>
      </c>
      <c r="X84" s="623">
        <f t="shared" si="16"/>
        <v>0</v>
      </c>
    </row>
    <row r="85" spans="2:24">
      <c r="B85" s="618">
        <f t="shared" si="17"/>
        <v>2072</v>
      </c>
      <c r="C85" s="624"/>
      <c r="D85" s="611">
        <v>1</v>
      </c>
      <c r="E85" s="612">
        <f t="shared" si="20"/>
        <v>0.435</v>
      </c>
      <c r="F85" s="612">
        <f t="shared" si="20"/>
        <v>0.129</v>
      </c>
      <c r="G85" s="612">
        <f t="shared" si="14"/>
        <v>0</v>
      </c>
      <c r="H85" s="612">
        <f t="shared" si="20"/>
        <v>0</v>
      </c>
      <c r="I85" s="612">
        <f t="shared" si="14"/>
        <v>9.9000000000000005E-2</v>
      </c>
      <c r="J85" s="612">
        <f t="shared" si="20"/>
        <v>2.7E-2</v>
      </c>
      <c r="K85" s="612">
        <f t="shared" si="20"/>
        <v>8.9999999999999993E-3</v>
      </c>
      <c r="L85" s="612">
        <f t="shared" si="20"/>
        <v>7.1999999999999995E-2</v>
      </c>
      <c r="M85" s="612">
        <f t="shared" si="20"/>
        <v>3.3000000000000002E-2</v>
      </c>
      <c r="N85" s="612">
        <f t="shared" si="20"/>
        <v>0.04</v>
      </c>
      <c r="O85" s="612">
        <f t="shared" si="20"/>
        <v>0.156</v>
      </c>
      <c r="P85" s="619">
        <f t="shared" si="15"/>
        <v>1</v>
      </c>
      <c r="S85" s="618">
        <f t="shared" si="18"/>
        <v>2072</v>
      </c>
      <c r="T85" s="620">
        <v>0</v>
      </c>
      <c r="U85" s="620">
        <v>5</v>
      </c>
      <c r="V85" s="621">
        <f t="shared" si="19"/>
        <v>0</v>
      </c>
      <c r="W85" s="622">
        <v>1</v>
      </c>
      <c r="X85" s="623">
        <f t="shared" si="16"/>
        <v>0</v>
      </c>
    </row>
    <row r="86" spans="2:24">
      <c r="B86" s="618">
        <f t="shared" si="17"/>
        <v>2073</v>
      </c>
      <c r="C86" s="624"/>
      <c r="D86" s="611">
        <v>1</v>
      </c>
      <c r="E86" s="612">
        <f t="shared" si="20"/>
        <v>0.435</v>
      </c>
      <c r="F86" s="612">
        <f t="shared" si="20"/>
        <v>0.129</v>
      </c>
      <c r="G86" s="612">
        <f t="shared" si="14"/>
        <v>0</v>
      </c>
      <c r="H86" s="612">
        <f t="shared" si="20"/>
        <v>0</v>
      </c>
      <c r="I86" s="612">
        <f t="shared" si="14"/>
        <v>9.9000000000000005E-2</v>
      </c>
      <c r="J86" s="612">
        <f t="shared" si="20"/>
        <v>2.7E-2</v>
      </c>
      <c r="K86" s="612">
        <f t="shared" si="20"/>
        <v>8.9999999999999993E-3</v>
      </c>
      <c r="L86" s="612">
        <f t="shared" si="20"/>
        <v>7.1999999999999995E-2</v>
      </c>
      <c r="M86" s="612">
        <f t="shared" si="20"/>
        <v>3.3000000000000002E-2</v>
      </c>
      <c r="N86" s="612">
        <f t="shared" si="20"/>
        <v>0.04</v>
      </c>
      <c r="O86" s="612">
        <f t="shared" si="20"/>
        <v>0.156</v>
      </c>
      <c r="P86" s="619">
        <f t="shared" si="15"/>
        <v>1</v>
      </c>
      <c r="S86" s="618">
        <f t="shared" si="18"/>
        <v>2073</v>
      </c>
      <c r="T86" s="620">
        <v>0</v>
      </c>
      <c r="U86" s="620">
        <v>5</v>
      </c>
      <c r="V86" s="621">
        <f t="shared" si="19"/>
        <v>0</v>
      </c>
      <c r="W86" s="622">
        <v>1</v>
      </c>
      <c r="X86" s="623">
        <f t="shared" si="16"/>
        <v>0</v>
      </c>
    </row>
    <row r="87" spans="2:24">
      <c r="B87" s="618">
        <f t="shared" si="17"/>
        <v>2074</v>
      </c>
      <c r="C87" s="624"/>
      <c r="D87" s="611">
        <v>1</v>
      </c>
      <c r="E87" s="612">
        <f t="shared" si="20"/>
        <v>0.435</v>
      </c>
      <c r="F87" s="612">
        <f t="shared" si="20"/>
        <v>0.129</v>
      </c>
      <c r="G87" s="612">
        <f t="shared" si="14"/>
        <v>0</v>
      </c>
      <c r="H87" s="612">
        <f t="shared" si="20"/>
        <v>0</v>
      </c>
      <c r="I87" s="612">
        <f t="shared" si="14"/>
        <v>9.9000000000000005E-2</v>
      </c>
      <c r="J87" s="612">
        <f t="shared" si="20"/>
        <v>2.7E-2</v>
      </c>
      <c r="K87" s="612">
        <f t="shared" si="20"/>
        <v>8.9999999999999993E-3</v>
      </c>
      <c r="L87" s="612">
        <f t="shared" si="20"/>
        <v>7.1999999999999995E-2</v>
      </c>
      <c r="M87" s="612">
        <f t="shared" si="20"/>
        <v>3.3000000000000002E-2</v>
      </c>
      <c r="N87" s="612">
        <f t="shared" si="20"/>
        <v>0.04</v>
      </c>
      <c r="O87" s="612">
        <f t="shared" si="20"/>
        <v>0.156</v>
      </c>
      <c r="P87" s="619">
        <f t="shared" si="15"/>
        <v>1</v>
      </c>
      <c r="S87" s="618">
        <f t="shared" si="18"/>
        <v>2074</v>
      </c>
      <c r="T87" s="620">
        <v>0</v>
      </c>
      <c r="U87" s="620">
        <v>5</v>
      </c>
      <c r="V87" s="621">
        <f t="shared" si="19"/>
        <v>0</v>
      </c>
      <c r="W87" s="622">
        <v>1</v>
      </c>
      <c r="X87" s="623">
        <f t="shared" si="16"/>
        <v>0</v>
      </c>
    </row>
    <row r="88" spans="2:24">
      <c r="B88" s="618">
        <f t="shared" si="17"/>
        <v>2075</v>
      </c>
      <c r="C88" s="624"/>
      <c r="D88" s="611">
        <v>1</v>
      </c>
      <c r="E88" s="612">
        <f t="shared" si="20"/>
        <v>0.435</v>
      </c>
      <c r="F88" s="612">
        <f t="shared" si="20"/>
        <v>0.129</v>
      </c>
      <c r="G88" s="612">
        <f t="shared" si="14"/>
        <v>0</v>
      </c>
      <c r="H88" s="612">
        <f t="shared" si="20"/>
        <v>0</v>
      </c>
      <c r="I88" s="612">
        <f t="shared" si="14"/>
        <v>9.9000000000000005E-2</v>
      </c>
      <c r="J88" s="612">
        <f t="shared" si="20"/>
        <v>2.7E-2</v>
      </c>
      <c r="K88" s="612">
        <f t="shared" si="20"/>
        <v>8.9999999999999993E-3</v>
      </c>
      <c r="L88" s="612">
        <f t="shared" si="20"/>
        <v>7.1999999999999995E-2</v>
      </c>
      <c r="M88" s="612">
        <f t="shared" si="20"/>
        <v>3.3000000000000002E-2</v>
      </c>
      <c r="N88" s="612">
        <f t="shared" si="20"/>
        <v>0.04</v>
      </c>
      <c r="O88" s="612">
        <f t="shared" si="20"/>
        <v>0.156</v>
      </c>
      <c r="P88" s="619">
        <f t="shared" si="15"/>
        <v>1</v>
      </c>
      <c r="S88" s="618">
        <f t="shared" si="18"/>
        <v>2075</v>
      </c>
      <c r="T88" s="620">
        <v>0</v>
      </c>
      <c r="U88" s="620">
        <v>5</v>
      </c>
      <c r="V88" s="621">
        <f t="shared" si="19"/>
        <v>0</v>
      </c>
      <c r="W88" s="622">
        <v>1</v>
      </c>
      <c r="X88" s="623">
        <f t="shared" si="16"/>
        <v>0</v>
      </c>
    </row>
    <row r="89" spans="2:24">
      <c r="B89" s="618">
        <f t="shared" si="17"/>
        <v>2076</v>
      </c>
      <c r="C89" s="624"/>
      <c r="D89" s="611">
        <v>1</v>
      </c>
      <c r="E89" s="612">
        <f t="shared" si="20"/>
        <v>0.435</v>
      </c>
      <c r="F89" s="612">
        <f t="shared" si="20"/>
        <v>0.129</v>
      </c>
      <c r="G89" s="612">
        <f t="shared" si="20"/>
        <v>0</v>
      </c>
      <c r="H89" s="612">
        <f t="shared" si="20"/>
        <v>0</v>
      </c>
      <c r="I89" s="612">
        <f t="shared" si="20"/>
        <v>9.9000000000000005E-2</v>
      </c>
      <c r="J89" s="612">
        <f t="shared" si="20"/>
        <v>2.7E-2</v>
      </c>
      <c r="K89" s="612">
        <f t="shared" si="20"/>
        <v>8.9999999999999993E-3</v>
      </c>
      <c r="L89" s="612">
        <f t="shared" si="20"/>
        <v>7.1999999999999995E-2</v>
      </c>
      <c r="M89" s="612">
        <f t="shared" si="20"/>
        <v>3.3000000000000002E-2</v>
      </c>
      <c r="N89" s="612">
        <f t="shared" si="20"/>
        <v>0.04</v>
      </c>
      <c r="O89" s="612">
        <f t="shared" si="20"/>
        <v>0.156</v>
      </c>
      <c r="P89" s="619">
        <f t="shared" si="15"/>
        <v>1</v>
      </c>
      <c r="S89" s="618">
        <f t="shared" si="18"/>
        <v>2076</v>
      </c>
      <c r="T89" s="620">
        <v>0</v>
      </c>
      <c r="U89" s="620">
        <v>5</v>
      </c>
      <c r="V89" s="621">
        <f t="shared" si="19"/>
        <v>0</v>
      </c>
      <c r="W89" s="622">
        <v>1</v>
      </c>
      <c r="X89" s="623">
        <f t="shared" si="16"/>
        <v>0</v>
      </c>
    </row>
    <row r="90" spans="2:24">
      <c r="B90" s="618">
        <f t="shared" si="17"/>
        <v>2077</v>
      </c>
      <c r="C90" s="624"/>
      <c r="D90" s="611">
        <v>1</v>
      </c>
      <c r="E90" s="612">
        <f t="shared" si="20"/>
        <v>0.435</v>
      </c>
      <c r="F90" s="612">
        <f t="shared" si="20"/>
        <v>0.129</v>
      </c>
      <c r="G90" s="612">
        <f t="shared" si="20"/>
        <v>0</v>
      </c>
      <c r="H90" s="612">
        <f t="shared" si="20"/>
        <v>0</v>
      </c>
      <c r="I90" s="612">
        <f t="shared" si="20"/>
        <v>9.9000000000000005E-2</v>
      </c>
      <c r="J90" s="612">
        <f t="shared" si="20"/>
        <v>2.7E-2</v>
      </c>
      <c r="K90" s="612">
        <f t="shared" si="20"/>
        <v>8.9999999999999993E-3</v>
      </c>
      <c r="L90" s="612">
        <f t="shared" si="20"/>
        <v>7.1999999999999995E-2</v>
      </c>
      <c r="M90" s="612">
        <f t="shared" si="20"/>
        <v>3.3000000000000002E-2</v>
      </c>
      <c r="N90" s="612">
        <f t="shared" si="20"/>
        <v>0.04</v>
      </c>
      <c r="O90" s="612">
        <f t="shared" si="20"/>
        <v>0.156</v>
      </c>
      <c r="P90" s="619">
        <f t="shared" si="15"/>
        <v>1</v>
      </c>
      <c r="S90" s="618">
        <f t="shared" si="18"/>
        <v>2077</v>
      </c>
      <c r="T90" s="620">
        <v>0</v>
      </c>
      <c r="U90" s="620">
        <v>5</v>
      </c>
      <c r="V90" s="621">
        <f t="shared" si="19"/>
        <v>0</v>
      </c>
      <c r="W90" s="622">
        <v>1</v>
      </c>
      <c r="X90" s="623">
        <f t="shared" si="16"/>
        <v>0</v>
      </c>
    </row>
    <row r="91" spans="2:24">
      <c r="B91" s="618">
        <f t="shared" si="17"/>
        <v>2078</v>
      </c>
      <c r="C91" s="624"/>
      <c r="D91" s="611">
        <v>1</v>
      </c>
      <c r="E91" s="612">
        <f t="shared" si="20"/>
        <v>0.435</v>
      </c>
      <c r="F91" s="612">
        <f t="shared" si="20"/>
        <v>0.129</v>
      </c>
      <c r="G91" s="612">
        <f t="shared" si="20"/>
        <v>0</v>
      </c>
      <c r="H91" s="612">
        <f t="shared" si="20"/>
        <v>0</v>
      </c>
      <c r="I91" s="612">
        <f t="shared" si="20"/>
        <v>9.9000000000000005E-2</v>
      </c>
      <c r="J91" s="612">
        <f t="shared" si="20"/>
        <v>2.7E-2</v>
      </c>
      <c r="K91" s="612">
        <f t="shared" si="20"/>
        <v>8.9999999999999993E-3</v>
      </c>
      <c r="L91" s="612">
        <f t="shared" si="20"/>
        <v>7.1999999999999995E-2</v>
      </c>
      <c r="M91" s="612">
        <f t="shared" si="20"/>
        <v>3.3000000000000002E-2</v>
      </c>
      <c r="N91" s="612">
        <f t="shared" si="20"/>
        <v>0.04</v>
      </c>
      <c r="O91" s="612">
        <f t="shared" si="20"/>
        <v>0.156</v>
      </c>
      <c r="P91" s="619">
        <f t="shared" si="15"/>
        <v>1</v>
      </c>
      <c r="S91" s="618">
        <f t="shared" si="18"/>
        <v>2078</v>
      </c>
      <c r="T91" s="620">
        <v>0</v>
      </c>
      <c r="U91" s="620">
        <v>5</v>
      </c>
      <c r="V91" s="621">
        <f t="shared" si="19"/>
        <v>0</v>
      </c>
      <c r="W91" s="622">
        <v>1</v>
      </c>
      <c r="X91" s="623">
        <f t="shared" si="16"/>
        <v>0</v>
      </c>
    </row>
    <row r="92" spans="2:24">
      <c r="B92" s="618">
        <f t="shared" si="17"/>
        <v>2079</v>
      </c>
      <c r="C92" s="624"/>
      <c r="D92" s="611">
        <v>1</v>
      </c>
      <c r="E92" s="612">
        <f t="shared" si="20"/>
        <v>0.435</v>
      </c>
      <c r="F92" s="612">
        <f t="shared" si="20"/>
        <v>0.129</v>
      </c>
      <c r="G92" s="612">
        <f t="shared" si="20"/>
        <v>0</v>
      </c>
      <c r="H92" s="612">
        <f t="shared" si="20"/>
        <v>0</v>
      </c>
      <c r="I92" s="612">
        <f t="shared" si="20"/>
        <v>9.9000000000000005E-2</v>
      </c>
      <c r="J92" s="612">
        <f t="shared" si="20"/>
        <v>2.7E-2</v>
      </c>
      <c r="K92" s="612">
        <f t="shared" si="20"/>
        <v>8.9999999999999993E-3</v>
      </c>
      <c r="L92" s="612">
        <f t="shared" si="20"/>
        <v>7.1999999999999995E-2</v>
      </c>
      <c r="M92" s="612">
        <f t="shared" si="20"/>
        <v>3.3000000000000002E-2</v>
      </c>
      <c r="N92" s="612">
        <f t="shared" si="20"/>
        <v>0.04</v>
      </c>
      <c r="O92" s="612">
        <f t="shared" si="20"/>
        <v>0.156</v>
      </c>
      <c r="P92" s="619">
        <f t="shared" si="15"/>
        <v>1</v>
      </c>
      <c r="S92" s="618">
        <f t="shared" si="18"/>
        <v>2079</v>
      </c>
      <c r="T92" s="620">
        <v>0</v>
      </c>
      <c r="U92" s="620">
        <v>5</v>
      </c>
      <c r="V92" s="621">
        <f t="shared" si="19"/>
        <v>0</v>
      </c>
      <c r="W92" s="622">
        <v>1</v>
      </c>
      <c r="X92" s="623">
        <f t="shared" si="16"/>
        <v>0</v>
      </c>
    </row>
    <row r="93" spans="2:24" ht="13.5" thickBot="1">
      <c r="B93" s="625">
        <f t="shared" si="17"/>
        <v>2080</v>
      </c>
      <c r="C93" s="626"/>
      <c r="D93" s="611">
        <v>1</v>
      </c>
      <c r="E93" s="627">
        <f t="shared" si="20"/>
        <v>0.435</v>
      </c>
      <c r="F93" s="627">
        <f t="shared" si="20"/>
        <v>0.129</v>
      </c>
      <c r="G93" s="627">
        <f t="shared" si="20"/>
        <v>0</v>
      </c>
      <c r="H93" s="627">
        <f t="shared" si="20"/>
        <v>0</v>
      </c>
      <c r="I93" s="627">
        <f t="shared" si="20"/>
        <v>9.9000000000000005E-2</v>
      </c>
      <c r="J93" s="627">
        <f t="shared" si="20"/>
        <v>2.7E-2</v>
      </c>
      <c r="K93" s="627">
        <f t="shared" si="20"/>
        <v>8.9999999999999993E-3</v>
      </c>
      <c r="L93" s="627">
        <f t="shared" si="20"/>
        <v>7.1999999999999995E-2</v>
      </c>
      <c r="M93" s="627">
        <f t="shared" si="20"/>
        <v>3.3000000000000002E-2</v>
      </c>
      <c r="N93" s="627">
        <f t="shared" si="20"/>
        <v>0.04</v>
      </c>
      <c r="O93" s="628">
        <f t="shared" si="20"/>
        <v>0.156</v>
      </c>
      <c r="P93" s="629">
        <f t="shared" si="15"/>
        <v>1</v>
      </c>
      <c r="S93" s="625">
        <f t="shared" si="18"/>
        <v>2080</v>
      </c>
      <c r="T93" s="630">
        <v>0</v>
      </c>
      <c r="U93" s="631">
        <v>5</v>
      </c>
      <c r="V93" s="632">
        <f t="shared" si="19"/>
        <v>0</v>
      </c>
      <c r="W93" s="633">
        <v>1</v>
      </c>
      <c r="X93" s="63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4" t="str">
        <f>city</f>
        <v>Berau</v>
      </c>
      <c r="J2" s="815"/>
      <c r="K2" s="815"/>
      <c r="L2" s="815"/>
      <c r="M2" s="815"/>
      <c r="N2" s="815"/>
      <c r="O2" s="815"/>
    </row>
    <row r="3" spans="2:16" ht="16.5" thickBot="1">
      <c r="C3" s="4"/>
      <c r="H3" s="5" t="s">
        <v>276</v>
      </c>
      <c r="I3" s="814" t="str">
        <f>province</f>
        <v>Kalimantan Timur</v>
      </c>
      <c r="J3" s="815"/>
      <c r="K3" s="815"/>
      <c r="L3" s="815"/>
      <c r="M3" s="815"/>
      <c r="N3" s="815"/>
      <c r="O3" s="815"/>
    </row>
    <row r="4" spans="2:16" ht="16.5" thickBot="1">
      <c r="D4" s="4"/>
      <c r="E4" s="4"/>
      <c r="H4" s="5" t="s">
        <v>30</v>
      </c>
      <c r="I4" s="814" t="str">
        <f>country</f>
        <v>Indonesia</v>
      </c>
      <c r="J4" s="815"/>
      <c r="K4" s="815"/>
      <c r="L4" s="815"/>
      <c r="M4" s="815"/>
      <c r="N4" s="815"/>
      <c r="O4" s="81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0" t="s">
        <v>32</v>
      </c>
      <c r="D10" s="821"/>
      <c r="E10" s="821"/>
      <c r="F10" s="821"/>
      <c r="G10" s="821"/>
      <c r="H10" s="821"/>
      <c r="I10" s="821"/>
      <c r="J10" s="821"/>
      <c r="K10" s="821"/>
      <c r="L10" s="821"/>
      <c r="M10" s="821"/>
      <c r="N10" s="821"/>
      <c r="O10" s="821"/>
      <c r="P10" s="822"/>
    </row>
    <row r="11" spans="2:16" ht="13.5" customHeight="1" thickBot="1">
      <c r="C11" s="803" t="s">
        <v>228</v>
      </c>
      <c r="D11" s="803" t="s">
        <v>262</v>
      </c>
      <c r="E11" s="803" t="s">
        <v>267</v>
      </c>
      <c r="F11" s="803" t="s">
        <v>261</v>
      </c>
      <c r="G11" s="803" t="s">
        <v>2</v>
      </c>
      <c r="H11" s="803" t="s">
        <v>16</v>
      </c>
      <c r="I11" s="803" t="s">
        <v>229</v>
      </c>
      <c r="J11" s="816" t="s">
        <v>273</v>
      </c>
      <c r="K11" s="817"/>
      <c r="L11" s="817"/>
      <c r="M11" s="818"/>
      <c r="N11" s="803" t="s">
        <v>146</v>
      </c>
      <c r="O11" s="803" t="s">
        <v>210</v>
      </c>
      <c r="P11" s="802" t="s">
        <v>308</v>
      </c>
    </row>
    <row r="12" spans="2:16" s="1" customFormat="1">
      <c r="B12" s="365" t="s">
        <v>1</v>
      </c>
      <c r="C12" s="819"/>
      <c r="D12" s="819"/>
      <c r="E12" s="819"/>
      <c r="F12" s="819"/>
      <c r="G12" s="819"/>
      <c r="H12" s="819"/>
      <c r="I12" s="819"/>
      <c r="J12" s="369" t="s">
        <v>230</v>
      </c>
      <c r="K12" s="369" t="s">
        <v>231</v>
      </c>
      <c r="L12" s="369" t="s">
        <v>232</v>
      </c>
      <c r="M12" s="365" t="s">
        <v>233</v>
      </c>
      <c r="N12" s="819"/>
      <c r="O12" s="819"/>
      <c r="P12" s="81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3.1496527141200001</v>
      </c>
      <c r="D14" s="549">
        <f>Activity!$C13*Activity!$D13*Activity!F13</f>
        <v>0.93403494280800003</v>
      </c>
      <c r="E14" s="549">
        <f>Activity!$C13*Activity!$D13*Activity!G13</f>
        <v>0</v>
      </c>
      <c r="F14" s="549">
        <f>Activity!$C13*Activity!$D13*Activity!H13</f>
        <v>0</v>
      </c>
      <c r="G14" s="549">
        <f>Activity!$C13*Activity!$D13*Activity!I13</f>
        <v>0.716817514248</v>
      </c>
      <c r="H14" s="549">
        <f>Activity!$C13*Activity!$D13*Activity!J13</f>
        <v>0.195495685704</v>
      </c>
      <c r="I14" s="549">
        <f>Activity!$C13*Activity!$D13*Activity!K13</f>
        <v>6.5165228568E-2</v>
      </c>
      <c r="J14" s="549">
        <f>Activity!$C13*Activity!$D13*Activity!L13</f>
        <v>0.521321828544</v>
      </c>
      <c r="K14" s="550">
        <f>Activity!$C13*Activity!$D13*Activity!M13</f>
        <v>0.23893917141600002</v>
      </c>
      <c r="L14" s="550">
        <f>Activity!$C13*Activity!$D13*Activity!N13</f>
        <v>0.28962323808000001</v>
      </c>
      <c r="M14" s="549">
        <f>Activity!$C13*Activity!$D13*Activity!O13</f>
        <v>1.1295306285119999</v>
      </c>
      <c r="N14" s="412">
        <v>0</v>
      </c>
      <c r="O14" s="557">
        <f>Activity!C13*Activity!D13</f>
        <v>7.2405809520000002</v>
      </c>
      <c r="P14" s="558">
        <f>Activity!X13</f>
        <v>0</v>
      </c>
    </row>
    <row r="15" spans="2:16">
      <c r="B15" s="34">
        <f>B14+1</f>
        <v>2001</v>
      </c>
      <c r="C15" s="551">
        <f>Activity!$C14*Activity!$D14*Activity!E14</f>
        <v>3.3243801663599997</v>
      </c>
      <c r="D15" s="552">
        <f>Activity!$C14*Activity!$D14*Activity!F14</f>
        <v>0.98585067002399995</v>
      </c>
      <c r="E15" s="550">
        <f>Activity!$C14*Activity!$D14*Activity!G14</f>
        <v>0</v>
      </c>
      <c r="F15" s="552">
        <f>Activity!$C14*Activity!$D14*Activity!H14</f>
        <v>0</v>
      </c>
      <c r="G15" s="552">
        <f>Activity!$C14*Activity!$D14*Activity!I14</f>
        <v>0.75658307234399991</v>
      </c>
      <c r="H15" s="552">
        <f>Activity!$C14*Activity!$D14*Activity!J14</f>
        <v>0.20634083791199997</v>
      </c>
      <c r="I15" s="552">
        <f>Activity!$C14*Activity!$D14*Activity!K14</f>
        <v>6.8780279303999992E-2</v>
      </c>
      <c r="J15" s="553">
        <f>Activity!$C14*Activity!$D14*Activity!L14</f>
        <v>0.55024223443199993</v>
      </c>
      <c r="K15" s="552">
        <f>Activity!$C14*Activity!$D14*Activity!M14</f>
        <v>0.25219435744800001</v>
      </c>
      <c r="L15" s="552">
        <f>Activity!$C14*Activity!$D14*Activity!N14</f>
        <v>0.30569013023999997</v>
      </c>
      <c r="M15" s="550">
        <f>Activity!$C14*Activity!$D14*Activity!O14</f>
        <v>1.1921915079359999</v>
      </c>
      <c r="N15" s="413">
        <v>0</v>
      </c>
      <c r="O15" s="552">
        <f>Activity!C14*Activity!D14</f>
        <v>7.6422532559999992</v>
      </c>
      <c r="P15" s="559">
        <f>Activity!X14</f>
        <v>0</v>
      </c>
    </row>
    <row r="16" spans="2:16">
      <c r="B16" s="7">
        <f t="shared" ref="B16:B21" si="0">B15+1</f>
        <v>2002</v>
      </c>
      <c r="C16" s="551">
        <f>Activity!$C15*Activity!$D15*Activity!E15</f>
        <v>3.5124615583200005</v>
      </c>
      <c r="D16" s="552">
        <f>Activity!$C15*Activity!$D15*Activity!F15</f>
        <v>1.0416265310880002</v>
      </c>
      <c r="E16" s="550">
        <f>Activity!$C15*Activity!$D15*Activity!G15</f>
        <v>0</v>
      </c>
      <c r="F16" s="552">
        <f>Activity!$C15*Activity!$D15*Activity!H15</f>
        <v>0</v>
      </c>
      <c r="G16" s="552">
        <f>Activity!$C15*Activity!$D15*Activity!I15</f>
        <v>0.79938780292800016</v>
      </c>
      <c r="H16" s="552">
        <f>Activity!$C15*Activity!$D15*Activity!J15</f>
        <v>0.21801485534400003</v>
      </c>
      <c r="I16" s="552">
        <f>Activity!$C15*Activity!$D15*Activity!K15</f>
        <v>7.2671618448000005E-2</v>
      </c>
      <c r="J16" s="553">
        <f>Activity!$C15*Activity!$D15*Activity!L15</f>
        <v>0.58137294758400004</v>
      </c>
      <c r="K16" s="552">
        <f>Activity!$C15*Activity!$D15*Activity!M15</f>
        <v>0.26646260097600005</v>
      </c>
      <c r="L16" s="552">
        <f>Activity!$C15*Activity!$D15*Activity!N15</f>
        <v>0.32298497088000006</v>
      </c>
      <c r="M16" s="550">
        <f>Activity!$C15*Activity!$D15*Activity!O15</f>
        <v>1.2596413864320002</v>
      </c>
      <c r="N16" s="413">
        <v>0</v>
      </c>
      <c r="O16" s="552">
        <f>Activity!C15*Activity!D15</f>
        <v>8.0746242720000012</v>
      </c>
      <c r="P16" s="559">
        <f>Activity!X15</f>
        <v>0</v>
      </c>
    </row>
    <row r="17" spans="2:16">
      <c r="B17" s="7">
        <f t="shared" si="0"/>
        <v>2003</v>
      </c>
      <c r="C17" s="551">
        <f>Activity!$C16*Activity!$D16*Activity!E16</f>
        <v>3.5767642640399999</v>
      </c>
      <c r="D17" s="552">
        <f>Activity!$C16*Activity!$D16*Activity!F16</f>
        <v>1.060695609336</v>
      </c>
      <c r="E17" s="550">
        <f>Activity!$C16*Activity!$D16*Activity!G16</f>
        <v>0</v>
      </c>
      <c r="F17" s="552">
        <f>Activity!$C16*Activity!$D16*Activity!H16</f>
        <v>0</v>
      </c>
      <c r="G17" s="552">
        <f>Activity!$C16*Activity!$D16*Activity!I16</f>
        <v>0.8140222118160001</v>
      </c>
      <c r="H17" s="552">
        <f>Activity!$C16*Activity!$D16*Activity!J16</f>
        <v>0.222006057768</v>
      </c>
      <c r="I17" s="552">
        <f>Activity!$C16*Activity!$D16*Activity!K16</f>
        <v>7.4002019256000001E-2</v>
      </c>
      <c r="J17" s="553">
        <f>Activity!$C16*Activity!$D16*Activity!L16</f>
        <v>0.59201615404800001</v>
      </c>
      <c r="K17" s="552">
        <f>Activity!$C16*Activity!$D16*Activity!M16</f>
        <v>0.27134073727200003</v>
      </c>
      <c r="L17" s="552">
        <f>Activity!$C16*Activity!$D16*Activity!N16</f>
        <v>0.32889786335999999</v>
      </c>
      <c r="M17" s="550">
        <f>Activity!$C16*Activity!$D16*Activity!O16</f>
        <v>1.2827016671039999</v>
      </c>
      <c r="N17" s="413">
        <v>0</v>
      </c>
      <c r="O17" s="552">
        <f>Activity!C16*Activity!D16</f>
        <v>8.2224465840000001</v>
      </c>
      <c r="P17" s="559">
        <f>Activity!X16</f>
        <v>0</v>
      </c>
    </row>
    <row r="18" spans="2:16">
      <c r="B18" s="7">
        <f t="shared" si="0"/>
        <v>2004</v>
      </c>
      <c r="C18" s="551">
        <f>Activity!$C17*Activity!$D17*Activity!E17</f>
        <v>3.7737214673399997</v>
      </c>
      <c r="D18" s="552">
        <f>Activity!$C17*Activity!$D17*Activity!F17</f>
        <v>1.1191036075559999</v>
      </c>
      <c r="E18" s="550">
        <f>Activity!$C17*Activity!$D17*Activity!G17</f>
        <v>0</v>
      </c>
      <c r="F18" s="552">
        <f>Activity!$C17*Activity!$D17*Activity!H17</f>
        <v>0</v>
      </c>
      <c r="G18" s="552">
        <f>Activity!$C17*Activity!$D17*Activity!I17</f>
        <v>0.85884695463600003</v>
      </c>
      <c r="H18" s="552">
        <f>Activity!$C17*Activity!$D17*Activity!J17</f>
        <v>0.23423098762799999</v>
      </c>
      <c r="I18" s="552">
        <f>Activity!$C17*Activity!$D17*Activity!K17</f>
        <v>7.8076995875999991E-2</v>
      </c>
      <c r="J18" s="553">
        <f>Activity!$C17*Activity!$D17*Activity!L17</f>
        <v>0.62461596700799993</v>
      </c>
      <c r="K18" s="552">
        <f>Activity!$C17*Activity!$D17*Activity!M17</f>
        <v>0.28628231821200001</v>
      </c>
      <c r="L18" s="552">
        <f>Activity!$C17*Activity!$D17*Activity!N17</f>
        <v>0.34700887056000002</v>
      </c>
      <c r="M18" s="550">
        <f>Activity!$C17*Activity!$D17*Activity!O17</f>
        <v>1.3533345951839999</v>
      </c>
      <c r="N18" s="413">
        <v>0</v>
      </c>
      <c r="O18" s="552">
        <f>Activity!C17*Activity!D17</f>
        <v>8.6752217639999998</v>
      </c>
      <c r="P18" s="559">
        <f>Activity!X17</f>
        <v>0</v>
      </c>
    </row>
    <row r="19" spans="2:16">
      <c r="B19" s="7">
        <f t="shared" si="0"/>
        <v>2005</v>
      </c>
      <c r="C19" s="551">
        <f>Activity!$C18*Activity!$D18*Activity!E18</f>
        <v>4.0451174992799999</v>
      </c>
      <c r="D19" s="552">
        <f>Activity!$C18*Activity!$D18*Activity!F18</f>
        <v>1.199586568752</v>
      </c>
      <c r="E19" s="550">
        <f>Activity!$C18*Activity!$D18*Activity!G18</f>
        <v>0</v>
      </c>
      <c r="F19" s="552">
        <f>Activity!$C18*Activity!$D18*Activity!H18</f>
        <v>0</v>
      </c>
      <c r="G19" s="552">
        <f>Activity!$C18*Activity!$D18*Activity!I18</f>
        <v>0.92061294811200012</v>
      </c>
      <c r="H19" s="552">
        <f>Activity!$C18*Activity!$D18*Activity!J18</f>
        <v>0.25107625857600002</v>
      </c>
      <c r="I19" s="552">
        <f>Activity!$C18*Activity!$D18*Activity!K18</f>
        <v>8.3692086191999998E-2</v>
      </c>
      <c r="J19" s="553">
        <f>Activity!$C18*Activity!$D18*Activity!L18</f>
        <v>0.66953668953599998</v>
      </c>
      <c r="K19" s="552">
        <f>Activity!$C18*Activity!$D18*Activity!M18</f>
        <v>0.30687098270400004</v>
      </c>
      <c r="L19" s="552">
        <f>Activity!$C18*Activity!$D18*Activity!N18</f>
        <v>0.37196482752000004</v>
      </c>
      <c r="M19" s="550">
        <f>Activity!$C18*Activity!$D18*Activity!O18</f>
        <v>1.450662827328</v>
      </c>
      <c r="N19" s="413">
        <v>0</v>
      </c>
      <c r="O19" s="552">
        <f>Activity!C18*Activity!D18</f>
        <v>9.2991206880000004</v>
      </c>
      <c r="P19" s="559">
        <f>Activity!X18</f>
        <v>0</v>
      </c>
    </row>
    <row r="20" spans="2:16">
      <c r="B20" s="7">
        <f t="shared" si="0"/>
        <v>2006</v>
      </c>
      <c r="C20" s="551">
        <f>Activity!$C19*Activity!$D19*Activity!E19</f>
        <v>4.2097356437399993</v>
      </c>
      <c r="D20" s="552">
        <f>Activity!$C19*Activity!$D19*Activity!F19</f>
        <v>1.2484043633159998</v>
      </c>
      <c r="E20" s="550">
        <f>Activity!$C19*Activity!$D19*Activity!G19</f>
        <v>0</v>
      </c>
      <c r="F20" s="552">
        <f>Activity!$C19*Activity!$D19*Activity!H19</f>
        <v>0</v>
      </c>
      <c r="G20" s="552">
        <f>Activity!$C19*Activity!$D19*Activity!I19</f>
        <v>0.95807776719599991</v>
      </c>
      <c r="H20" s="552">
        <f>Activity!$C19*Activity!$D19*Activity!J19</f>
        <v>0.26129393650799998</v>
      </c>
      <c r="I20" s="552">
        <f>Activity!$C19*Activity!$D19*Activity!K19</f>
        <v>8.7097978835999984E-2</v>
      </c>
      <c r="J20" s="553">
        <f>Activity!$C19*Activity!$D19*Activity!L19</f>
        <v>0.69678383068799987</v>
      </c>
      <c r="K20" s="552">
        <f>Activity!$C19*Activity!$D19*Activity!M19</f>
        <v>0.31935925573199997</v>
      </c>
      <c r="L20" s="552">
        <f>Activity!$C19*Activity!$D19*Activity!N19</f>
        <v>0.38710212815999995</v>
      </c>
      <c r="M20" s="550">
        <f>Activity!$C19*Activity!$D19*Activity!O19</f>
        <v>1.5096982998239998</v>
      </c>
      <c r="N20" s="413">
        <v>0</v>
      </c>
      <c r="O20" s="552">
        <f>Activity!C19*Activity!D19</f>
        <v>9.6775532039999987</v>
      </c>
      <c r="P20" s="559">
        <f>Activity!X19</f>
        <v>0</v>
      </c>
    </row>
    <row r="21" spans="2:16">
      <c r="B21" s="7">
        <f t="shared" si="0"/>
        <v>2007</v>
      </c>
      <c r="C21" s="551">
        <f>Activity!$C20*Activity!$D20*Activity!E20</f>
        <v>4.3791536982600006</v>
      </c>
      <c r="D21" s="552">
        <f>Activity!$C20*Activity!$D20*Activity!F20</f>
        <v>1.2986455794840002</v>
      </c>
      <c r="E21" s="550">
        <f>Activity!$C20*Activity!$D20*Activity!G20</f>
        <v>0</v>
      </c>
      <c r="F21" s="552">
        <f>Activity!$C20*Activity!$D20*Activity!H20</f>
        <v>0</v>
      </c>
      <c r="G21" s="552">
        <f>Activity!$C20*Activity!$D20*Activity!I20</f>
        <v>0.99663497960400016</v>
      </c>
      <c r="H21" s="552">
        <f>Activity!$C20*Activity!$D20*Activity!J20</f>
        <v>0.27180953989200002</v>
      </c>
      <c r="I21" s="552">
        <f>Activity!$C20*Activity!$D20*Activity!K20</f>
        <v>9.0603179963999997E-2</v>
      </c>
      <c r="J21" s="553">
        <f>Activity!$C20*Activity!$D20*Activity!L20</f>
        <v>0.72482543971199997</v>
      </c>
      <c r="K21" s="552">
        <f>Activity!$C20*Activity!$D20*Activity!M20</f>
        <v>0.33221165986800005</v>
      </c>
      <c r="L21" s="552">
        <f>Activity!$C20*Activity!$D20*Activity!N20</f>
        <v>0.40268079984000005</v>
      </c>
      <c r="M21" s="550">
        <f>Activity!$C20*Activity!$D20*Activity!O20</f>
        <v>1.5704551193760001</v>
      </c>
      <c r="N21" s="413">
        <v>0</v>
      </c>
      <c r="O21" s="552">
        <f>Activity!C20*Activity!D20</f>
        <v>10.067019996000001</v>
      </c>
      <c r="P21" s="559">
        <f>Activity!X20</f>
        <v>0</v>
      </c>
    </row>
    <row r="22" spans="2:16">
      <c r="B22" s="7">
        <f t="shared" ref="B22:B85" si="1">B21+1</f>
        <v>2008</v>
      </c>
      <c r="C22" s="551">
        <f>Activity!$C21*Activity!$D21*Activity!E21</f>
        <v>4.5530230660199997</v>
      </c>
      <c r="D22" s="552">
        <f>Activity!$C21*Activity!$D21*Activity!F21</f>
        <v>1.3502068402680001</v>
      </c>
      <c r="E22" s="550">
        <f>Activity!$C21*Activity!$D21*Activity!G21</f>
        <v>0</v>
      </c>
      <c r="F22" s="552">
        <f>Activity!$C21*Activity!$D21*Activity!H21</f>
        <v>0</v>
      </c>
      <c r="G22" s="552">
        <f>Activity!$C21*Activity!$D21*Activity!I21</f>
        <v>1.0362052495080001</v>
      </c>
      <c r="H22" s="552">
        <f>Activity!$C21*Activity!$D21*Activity!J21</f>
        <v>0.28260143168399998</v>
      </c>
      <c r="I22" s="552">
        <f>Activity!$C21*Activity!$D21*Activity!K21</f>
        <v>9.4200477227999985E-2</v>
      </c>
      <c r="J22" s="553">
        <f>Activity!$C21*Activity!$D21*Activity!L21</f>
        <v>0.75360381782399988</v>
      </c>
      <c r="K22" s="552">
        <f>Activity!$C21*Activity!$D21*Activity!M21</f>
        <v>0.34540174983600003</v>
      </c>
      <c r="L22" s="552">
        <f>Activity!$C21*Activity!$D21*Activity!N21</f>
        <v>0.41866878767999999</v>
      </c>
      <c r="M22" s="550">
        <f>Activity!$C21*Activity!$D21*Activity!O21</f>
        <v>1.6328082719520001</v>
      </c>
      <c r="N22" s="413">
        <v>0</v>
      </c>
      <c r="O22" s="552">
        <f>Activity!C21*Activity!D21</f>
        <v>10.466719692</v>
      </c>
      <c r="P22" s="559">
        <f>Activity!X21</f>
        <v>0</v>
      </c>
    </row>
    <row r="23" spans="2:16">
      <c r="B23" s="7">
        <f t="shared" si="1"/>
        <v>2009</v>
      </c>
      <c r="C23" s="551">
        <f>Activity!$C22*Activity!$D22*Activity!E22</f>
        <v>4.7307806290799999</v>
      </c>
      <c r="D23" s="552">
        <f>Activity!$C22*Activity!$D22*Activity!F22</f>
        <v>1.4029211520720002</v>
      </c>
      <c r="E23" s="550">
        <f>Activity!$C22*Activity!$D22*Activity!G22</f>
        <v>0</v>
      </c>
      <c r="F23" s="552">
        <f>Activity!$C22*Activity!$D22*Activity!H22</f>
        <v>0</v>
      </c>
      <c r="G23" s="552">
        <f>Activity!$C22*Activity!$D22*Activity!I22</f>
        <v>1.0766604190320002</v>
      </c>
      <c r="H23" s="552">
        <f>Activity!$C22*Activity!$D22*Activity!J22</f>
        <v>0.293634659736</v>
      </c>
      <c r="I23" s="552">
        <f>Activity!$C22*Activity!$D22*Activity!K22</f>
        <v>9.7878219911999992E-2</v>
      </c>
      <c r="J23" s="553">
        <f>Activity!$C22*Activity!$D22*Activity!L22</f>
        <v>0.78302575929599993</v>
      </c>
      <c r="K23" s="552">
        <f>Activity!$C22*Activity!$D22*Activity!M22</f>
        <v>0.35888680634400005</v>
      </c>
      <c r="L23" s="552">
        <f>Activity!$C22*Activity!$D22*Activity!N22</f>
        <v>0.43501431072000002</v>
      </c>
      <c r="M23" s="550">
        <f>Activity!$C22*Activity!$D22*Activity!O22</f>
        <v>1.6965558118080002</v>
      </c>
      <c r="N23" s="413">
        <v>0</v>
      </c>
      <c r="O23" s="552">
        <f>Activity!C22*Activity!D22</f>
        <v>10.875357768000001</v>
      </c>
      <c r="P23" s="559">
        <f>Activity!X22</f>
        <v>0</v>
      </c>
    </row>
    <row r="24" spans="2:16">
      <c r="B24" s="7">
        <f t="shared" si="1"/>
        <v>2010</v>
      </c>
      <c r="C24" s="551">
        <f>Activity!$C23*Activity!$D23*Activity!E23</f>
        <v>4.8020284560599995</v>
      </c>
      <c r="D24" s="552">
        <f>Activity!$C23*Activity!$D23*Activity!F23</f>
        <v>1.424049818004</v>
      </c>
      <c r="E24" s="550">
        <f>Activity!$C23*Activity!$D23*Activity!G23</f>
        <v>0</v>
      </c>
      <c r="F24" s="552">
        <f>Activity!$C23*Activity!$D23*Activity!H23</f>
        <v>0</v>
      </c>
      <c r="G24" s="552">
        <f>Activity!$C23*Activity!$D23*Activity!I23</f>
        <v>1.0928754417239999</v>
      </c>
      <c r="H24" s="552">
        <f>Activity!$C23*Activity!$D23*Activity!J23</f>
        <v>0.29805693865199995</v>
      </c>
      <c r="I24" s="552">
        <f>Activity!$C23*Activity!$D23*Activity!K23</f>
        <v>9.9352312883999983E-2</v>
      </c>
      <c r="J24" s="553">
        <f>Activity!$C23*Activity!$D23*Activity!L23</f>
        <v>0.79481850307199986</v>
      </c>
      <c r="K24" s="552">
        <f>Activity!$C23*Activity!$D23*Activity!M23</f>
        <v>0.36429181390799997</v>
      </c>
      <c r="L24" s="552">
        <f>Activity!$C23*Activity!$D23*Activity!N23</f>
        <v>0.44156583503999997</v>
      </c>
      <c r="M24" s="550">
        <f>Activity!$C23*Activity!$D23*Activity!O23</f>
        <v>1.7221067566559998</v>
      </c>
      <c r="N24" s="413">
        <v>0</v>
      </c>
      <c r="O24" s="552">
        <f>Activity!C23*Activity!D23</f>
        <v>11.039145875999999</v>
      </c>
      <c r="P24" s="559">
        <f>Activity!X23</f>
        <v>0</v>
      </c>
    </row>
    <row r="25" spans="2:16">
      <c r="B25" s="7">
        <f t="shared" si="1"/>
        <v>2011</v>
      </c>
      <c r="C25" s="551">
        <f>Activity!$C24*Activity!$D24*Activity!E24</f>
        <v>4.5338551164000007</v>
      </c>
      <c r="D25" s="552">
        <f>Activity!$C24*Activity!$D24*Activity!F24</f>
        <v>1.3445225517600001</v>
      </c>
      <c r="E25" s="550">
        <f>Activity!$C24*Activity!$D24*Activity!G24</f>
        <v>0</v>
      </c>
      <c r="F25" s="552">
        <f>Activity!$C24*Activity!$D24*Activity!H24</f>
        <v>0</v>
      </c>
      <c r="G25" s="552">
        <f>Activity!$C24*Activity!$D24*Activity!I24</f>
        <v>1.0318428885600002</v>
      </c>
      <c r="H25" s="552">
        <f>Activity!$C24*Activity!$D24*Activity!J24</f>
        <v>0.28141169688000006</v>
      </c>
      <c r="I25" s="552">
        <f>Activity!$C24*Activity!$D24*Activity!K24</f>
        <v>9.3803898960000007E-2</v>
      </c>
      <c r="J25" s="553">
        <f>Activity!$C24*Activity!$D24*Activity!L24</f>
        <v>0.75043119168000005</v>
      </c>
      <c r="K25" s="552">
        <f>Activity!$C24*Activity!$D24*Activity!M24</f>
        <v>0.34394762952000008</v>
      </c>
      <c r="L25" s="552">
        <f>Activity!$C24*Activity!$D24*Activity!N24</f>
        <v>0.41690621760000007</v>
      </c>
      <c r="M25" s="550">
        <f>Activity!$C24*Activity!$D24*Activity!O24</f>
        <v>1.6259342486400001</v>
      </c>
      <c r="N25" s="413">
        <v>0</v>
      </c>
      <c r="O25" s="552">
        <f>Activity!C24*Activity!D24</f>
        <v>10.422655440000002</v>
      </c>
      <c r="P25" s="559">
        <f>Activity!X24</f>
        <v>0</v>
      </c>
    </row>
    <row r="26" spans="2:16">
      <c r="B26" s="7">
        <f t="shared" si="1"/>
        <v>2012</v>
      </c>
      <c r="C26" s="551">
        <f>Activity!$C25*Activity!$D25*Activity!E25</f>
        <v>4.6701247824000003</v>
      </c>
      <c r="D26" s="552">
        <f>Activity!$C25*Activity!$D25*Activity!F25</f>
        <v>1.38493355616</v>
      </c>
      <c r="E26" s="550">
        <f>Activity!$C25*Activity!$D25*Activity!G25</f>
        <v>0</v>
      </c>
      <c r="F26" s="552">
        <f>Activity!$C25*Activity!$D25*Activity!H25</f>
        <v>0</v>
      </c>
      <c r="G26" s="552">
        <f>Activity!$C25*Activity!$D25*Activity!I25</f>
        <v>1.0628559849600001</v>
      </c>
      <c r="H26" s="552">
        <f>Activity!$C25*Activity!$D25*Activity!J25</f>
        <v>0.28986981408000001</v>
      </c>
      <c r="I26" s="552">
        <f>Activity!$C25*Activity!$D25*Activity!K25</f>
        <v>9.6623271359999999E-2</v>
      </c>
      <c r="J26" s="553">
        <f>Activity!$C25*Activity!$D25*Activity!L25</f>
        <v>0.77298617087999999</v>
      </c>
      <c r="K26" s="552">
        <f>Activity!$C25*Activity!$D25*Activity!M25</f>
        <v>0.35428532832000004</v>
      </c>
      <c r="L26" s="552">
        <f>Activity!$C25*Activity!$D25*Activity!N25</f>
        <v>0.42943676160000005</v>
      </c>
      <c r="M26" s="550">
        <f>Activity!$C25*Activity!$D25*Activity!O25</f>
        <v>1.67480337024</v>
      </c>
      <c r="N26" s="413">
        <v>0</v>
      </c>
      <c r="O26" s="552">
        <f>Activity!C25*Activity!D25</f>
        <v>10.735919040000001</v>
      </c>
      <c r="P26" s="559">
        <f>Activity!X25</f>
        <v>0</v>
      </c>
    </row>
    <row r="27" spans="2:16">
      <c r="B27" s="7">
        <f t="shared" si="1"/>
        <v>2013</v>
      </c>
      <c r="C27" s="551">
        <f>Activity!$C26*Activity!$D26*Activity!E26</f>
        <v>4.8118062312000003</v>
      </c>
      <c r="D27" s="552">
        <f>Activity!$C26*Activity!$D26*Activity!F26</f>
        <v>1.4269494340800002</v>
      </c>
      <c r="E27" s="550">
        <f>Activity!$C26*Activity!$D26*Activity!G26</f>
        <v>0</v>
      </c>
      <c r="F27" s="552">
        <f>Activity!$C26*Activity!$D26*Activity!H26</f>
        <v>0</v>
      </c>
      <c r="G27" s="552">
        <f>Activity!$C26*Activity!$D26*Activity!I26</f>
        <v>1.0951007284800003</v>
      </c>
      <c r="H27" s="552">
        <f>Activity!$C26*Activity!$D26*Activity!J26</f>
        <v>0.29866383504000005</v>
      </c>
      <c r="I27" s="552">
        <f>Activity!$C26*Activity!$D26*Activity!K26</f>
        <v>9.9554611680000002E-2</v>
      </c>
      <c r="J27" s="553">
        <f>Activity!$C26*Activity!$D26*Activity!L26</f>
        <v>0.79643689344000002</v>
      </c>
      <c r="K27" s="552">
        <f>Activity!$C26*Activity!$D26*Activity!M26</f>
        <v>0.36503357616000004</v>
      </c>
      <c r="L27" s="552">
        <f>Activity!$C26*Activity!$D26*Activity!N26</f>
        <v>0.44246494080000004</v>
      </c>
      <c r="M27" s="550">
        <f>Activity!$C26*Activity!$D26*Activity!O26</f>
        <v>1.7256132691200001</v>
      </c>
      <c r="N27" s="413">
        <v>0</v>
      </c>
      <c r="O27" s="552">
        <f>Activity!C26*Activity!D26</f>
        <v>11.061623520000001</v>
      </c>
      <c r="P27" s="559">
        <f>Activity!X26</f>
        <v>0</v>
      </c>
    </row>
    <row r="28" spans="2:16">
      <c r="B28" s="7">
        <f t="shared" si="1"/>
        <v>2014</v>
      </c>
      <c r="C28" s="551">
        <f>Activity!$C27*Activity!$D27*Activity!E27</f>
        <v>4.9540483601999998</v>
      </c>
      <c r="D28" s="552">
        <f>Activity!$C27*Activity!$D27*Activity!F27</f>
        <v>1.46913158268</v>
      </c>
      <c r="E28" s="550">
        <f>Activity!$C27*Activity!$D27*Activity!G27</f>
        <v>0</v>
      </c>
      <c r="F28" s="552">
        <f>Activity!$C27*Activity!$D27*Activity!H27</f>
        <v>0</v>
      </c>
      <c r="G28" s="552">
        <f>Activity!$C27*Activity!$D27*Activity!I27</f>
        <v>1.1274730750800002</v>
      </c>
      <c r="H28" s="552">
        <f>Activity!$C27*Activity!$D27*Activity!J27</f>
        <v>0.30749265683999999</v>
      </c>
      <c r="I28" s="552">
        <f>Activity!$C27*Activity!$D27*Activity!K27</f>
        <v>0.10249755228</v>
      </c>
      <c r="J28" s="553">
        <f>Activity!$C27*Activity!$D27*Activity!L27</f>
        <v>0.81998041824000001</v>
      </c>
      <c r="K28" s="552">
        <f>Activity!$C27*Activity!$D27*Activity!M27</f>
        <v>0.37582435836000005</v>
      </c>
      <c r="L28" s="552">
        <f>Activity!$C27*Activity!$D27*Activity!N27</f>
        <v>0.45554467680000005</v>
      </c>
      <c r="M28" s="550">
        <f>Activity!$C27*Activity!$D27*Activity!O27</f>
        <v>1.77662423952</v>
      </c>
      <c r="N28" s="413">
        <v>0</v>
      </c>
      <c r="O28" s="552">
        <f>Activity!C27*Activity!D27</f>
        <v>11.38861692</v>
      </c>
      <c r="P28" s="559">
        <f>Activity!X27</f>
        <v>0</v>
      </c>
    </row>
    <row r="29" spans="2:16">
      <c r="B29" s="7">
        <f t="shared" si="1"/>
        <v>2015</v>
      </c>
      <c r="C29" s="551">
        <f>Activity!$C28*Activity!$D28*Activity!E28</f>
        <v>5.0922682182000001</v>
      </c>
      <c r="D29" s="552">
        <f>Activity!$C28*Activity!$D28*Activity!F28</f>
        <v>1.5101209198800001</v>
      </c>
      <c r="E29" s="550">
        <f>Activity!$C28*Activity!$D28*Activity!G28</f>
        <v>0</v>
      </c>
      <c r="F29" s="552">
        <f>Activity!$C28*Activity!$D28*Activity!H28</f>
        <v>0</v>
      </c>
      <c r="G29" s="552">
        <f>Activity!$C28*Activity!$D28*Activity!I28</f>
        <v>1.15893000828</v>
      </c>
      <c r="H29" s="552">
        <f>Activity!$C28*Activity!$D28*Activity!J28</f>
        <v>0.31607182044000004</v>
      </c>
      <c r="I29" s="552">
        <f>Activity!$C28*Activity!$D28*Activity!K28</f>
        <v>0.10535727348</v>
      </c>
      <c r="J29" s="553">
        <f>Activity!$C28*Activity!$D28*Activity!L28</f>
        <v>0.84285818783999999</v>
      </c>
      <c r="K29" s="552">
        <f>Activity!$C28*Activity!$D28*Activity!M28</f>
        <v>0.38631000276000005</v>
      </c>
      <c r="L29" s="552">
        <f>Activity!$C28*Activity!$D28*Activity!N28</f>
        <v>0.46825454880000006</v>
      </c>
      <c r="M29" s="550">
        <f>Activity!$C28*Activity!$D28*Activity!O28</f>
        <v>1.82619274032</v>
      </c>
      <c r="N29" s="413">
        <v>0</v>
      </c>
      <c r="O29" s="552">
        <f>Activity!C28*Activity!D28</f>
        <v>11.706363720000001</v>
      </c>
      <c r="P29" s="559">
        <f>Activity!X28</f>
        <v>0</v>
      </c>
    </row>
    <row r="30" spans="2:16">
      <c r="B30" s="7">
        <f t="shared" si="1"/>
        <v>2016</v>
      </c>
      <c r="C30" s="551">
        <f>Activity!$C29*Activity!$D29*Activity!E29</f>
        <v>5.2369480872000018</v>
      </c>
      <c r="D30" s="552">
        <f>Activity!$C29*Activity!$D29*Activity!F29</f>
        <v>1.5530259844800005</v>
      </c>
      <c r="E30" s="550">
        <f>Activity!$C29*Activity!$D29*Activity!G29</f>
        <v>0</v>
      </c>
      <c r="F30" s="552">
        <f>Activity!$C29*Activity!$D29*Activity!H29</f>
        <v>0</v>
      </c>
      <c r="G30" s="552">
        <f>Activity!$C29*Activity!$D29*Activity!I29</f>
        <v>1.1918571508800004</v>
      </c>
      <c r="H30" s="552">
        <f>Activity!$C29*Activity!$D29*Activity!J29</f>
        <v>0.32505195024000011</v>
      </c>
      <c r="I30" s="552">
        <f>Activity!$C29*Activity!$D29*Activity!K29</f>
        <v>0.10835065008000003</v>
      </c>
      <c r="J30" s="553">
        <f>Activity!$C29*Activity!$D29*Activity!L29</f>
        <v>0.86680520064000022</v>
      </c>
      <c r="K30" s="552">
        <f>Activity!$C29*Activity!$D29*Activity!M29</f>
        <v>0.39728571696000015</v>
      </c>
      <c r="L30" s="552">
        <f>Activity!$C29*Activity!$D29*Activity!N29</f>
        <v>0.48155844480000015</v>
      </c>
      <c r="M30" s="550">
        <f>Activity!$C29*Activity!$D29*Activity!O29</f>
        <v>1.8780779347200005</v>
      </c>
      <c r="N30" s="413">
        <v>0</v>
      </c>
      <c r="O30" s="552">
        <f>Activity!C29*Activity!D29</f>
        <v>12.038961120000003</v>
      </c>
      <c r="P30" s="559">
        <f>Activity!X29</f>
        <v>0</v>
      </c>
    </row>
    <row r="31" spans="2:16">
      <c r="B31" s="7">
        <f t="shared" si="1"/>
        <v>2017</v>
      </c>
      <c r="C31" s="551">
        <f>Activity!$C30*Activity!$D30*Activity!E30</f>
        <v>5.4190765180800016</v>
      </c>
      <c r="D31" s="552">
        <f>Activity!$C30*Activity!$D30*Activity!F30</f>
        <v>1.6070364846720004</v>
      </c>
      <c r="E31" s="550">
        <f>Activity!$C30*Activity!$D30*Activity!G30</f>
        <v>0</v>
      </c>
      <c r="F31" s="552">
        <f>Activity!$C30*Activity!$D30*Activity!H30</f>
        <v>0</v>
      </c>
      <c r="G31" s="552">
        <f>Activity!$C30*Activity!$D30*Activity!I30</f>
        <v>1.2333070696320003</v>
      </c>
      <c r="H31" s="552">
        <f>Activity!$C30*Activity!$D30*Activity!J30</f>
        <v>0.33635647353600007</v>
      </c>
      <c r="I31" s="552">
        <f>Activity!$C30*Activity!$D30*Activity!K30</f>
        <v>0.11211882451200002</v>
      </c>
      <c r="J31" s="553">
        <f>Activity!$C30*Activity!$D30*Activity!L30</f>
        <v>0.89695059609600014</v>
      </c>
      <c r="K31" s="552">
        <f>Activity!$C30*Activity!$D30*Activity!M30</f>
        <v>0.41110235654400012</v>
      </c>
      <c r="L31" s="552">
        <f>Activity!$C30*Activity!$D30*Activity!N30</f>
        <v>0.49830588672000015</v>
      </c>
      <c r="M31" s="550">
        <f>Activity!$C30*Activity!$D30*Activity!O30</f>
        <v>1.9433929582080005</v>
      </c>
      <c r="N31" s="413">
        <v>0</v>
      </c>
      <c r="O31" s="552">
        <f>Activity!C30*Activity!D30</f>
        <v>12.457647168000003</v>
      </c>
      <c r="P31" s="559">
        <f>Activity!X30</f>
        <v>0</v>
      </c>
    </row>
    <row r="32" spans="2:16">
      <c r="B32" s="7">
        <f t="shared" si="1"/>
        <v>2018</v>
      </c>
      <c r="C32" s="551">
        <f>Activity!$C31*Activity!$D31*Activity!E31</f>
        <v>5.5678737299399996</v>
      </c>
      <c r="D32" s="552">
        <f>Activity!$C31*Activity!$D31*Activity!F31</f>
        <v>1.651162554396</v>
      </c>
      <c r="E32" s="550">
        <f>Activity!$C31*Activity!$D31*Activity!G31</f>
        <v>0</v>
      </c>
      <c r="F32" s="552">
        <f>Activity!$C31*Activity!$D31*Activity!H31</f>
        <v>0</v>
      </c>
      <c r="G32" s="552">
        <f>Activity!$C31*Activity!$D31*Activity!I31</f>
        <v>1.2671712626760001</v>
      </c>
      <c r="H32" s="552">
        <f>Activity!$C31*Activity!$D31*Activity!J31</f>
        <v>0.34559216254799996</v>
      </c>
      <c r="I32" s="552">
        <f>Activity!$C31*Activity!$D31*Activity!K31</f>
        <v>0.11519738751599999</v>
      </c>
      <c r="J32" s="553">
        <f>Activity!$C31*Activity!$D31*Activity!L31</f>
        <v>0.92157910012799993</v>
      </c>
      <c r="K32" s="552">
        <f>Activity!$C31*Activity!$D31*Activity!M31</f>
        <v>0.42239042089200002</v>
      </c>
      <c r="L32" s="552">
        <f>Activity!$C31*Activity!$D31*Activity!N31</f>
        <v>0.51198838895999998</v>
      </c>
      <c r="M32" s="550">
        <f>Activity!$C31*Activity!$D31*Activity!O31</f>
        <v>1.9967547169439999</v>
      </c>
      <c r="N32" s="413">
        <v>0</v>
      </c>
      <c r="O32" s="552">
        <f>Activity!C31*Activity!D31</f>
        <v>12.799709724</v>
      </c>
      <c r="P32" s="559">
        <f>Activity!X31</f>
        <v>0</v>
      </c>
    </row>
    <row r="33" spans="2:16">
      <c r="B33" s="7">
        <f t="shared" si="1"/>
        <v>2019</v>
      </c>
      <c r="C33" s="551">
        <f>Activity!$C32*Activity!$D32*Activity!E32</f>
        <v>5.7166709418000003</v>
      </c>
      <c r="D33" s="552">
        <f>Activity!$C32*Activity!$D32*Activity!F32</f>
        <v>1.6952886241200003</v>
      </c>
      <c r="E33" s="550">
        <f>Activity!$C32*Activity!$D32*Activity!G32</f>
        <v>0</v>
      </c>
      <c r="F33" s="552">
        <f>Activity!$C32*Activity!$D32*Activity!H32</f>
        <v>0</v>
      </c>
      <c r="G33" s="552">
        <f>Activity!$C32*Activity!$D32*Activity!I32</f>
        <v>1.3010354557200001</v>
      </c>
      <c r="H33" s="552">
        <f>Activity!$C32*Activity!$D32*Activity!J32</f>
        <v>0.35482785156000002</v>
      </c>
      <c r="I33" s="552">
        <f>Activity!$C32*Activity!$D32*Activity!K32</f>
        <v>0.11827595052000001</v>
      </c>
      <c r="J33" s="553">
        <f>Activity!$C32*Activity!$D32*Activity!L32</f>
        <v>0.94620760416000005</v>
      </c>
      <c r="K33" s="552">
        <f>Activity!$C32*Activity!$D32*Activity!M32</f>
        <v>0.43367848524000008</v>
      </c>
      <c r="L33" s="552">
        <f>Activity!$C32*Activity!$D32*Activity!N32</f>
        <v>0.5256708912000001</v>
      </c>
      <c r="M33" s="550">
        <f>Activity!$C32*Activity!$D32*Activity!O32</f>
        <v>2.0501164756800003</v>
      </c>
      <c r="N33" s="413">
        <v>0</v>
      </c>
      <c r="O33" s="552">
        <f>Activity!C32*Activity!D32</f>
        <v>13.141772280000001</v>
      </c>
      <c r="P33" s="559">
        <f>Activity!X32</f>
        <v>0</v>
      </c>
    </row>
    <row r="34" spans="2:16">
      <c r="B34" s="7">
        <f t="shared" si="1"/>
        <v>2020</v>
      </c>
      <c r="C34" s="551">
        <f>Activity!$C33*Activity!$D33*Activity!E33</f>
        <v>5.8654681536600002</v>
      </c>
      <c r="D34" s="552">
        <f>Activity!$C33*Activity!$D33*Activity!F33</f>
        <v>1.739414693844</v>
      </c>
      <c r="E34" s="550">
        <f>Activity!$C33*Activity!$D33*Activity!G33</f>
        <v>0</v>
      </c>
      <c r="F34" s="552">
        <f>Activity!$C33*Activity!$D33*Activity!H33</f>
        <v>0</v>
      </c>
      <c r="G34" s="552">
        <f>Activity!$C33*Activity!$D33*Activity!I33</f>
        <v>1.3348996487640001</v>
      </c>
      <c r="H34" s="552">
        <f>Activity!$C33*Activity!$D33*Activity!J33</f>
        <v>0.36406354057199997</v>
      </c>
      <c r="I34" s="552">
        <f>Activity!$C33*Activity!$D33*Activity!K33</f>
        <v>0.12135451352399999</v>
      </c>
      <c r="J34" s="553">
        <f>Activity!$C33*Activity!$D33*Activity!L33</f>
        <v>0.97083610819199995</v>
      </c>
      <c r="K34" s="552">
        <f>Activity!$C33*Activity!$D33*Activity!M33</f>
        <v>0.44496654958800003</v>
      </c>
      <c r="L34" s="552">
        <f>Activity!$C33*Activity!$D33*Activity!N33</f>
        <v>0.53935339344</v>
      </c>
      <c r="M34" s="550">
        <f>Activity!$C33*Activity!$D33*Activity!O33</f>
        <v>2.1034782344159999</v>
      </c>
      <c r="N34" s="413">
        <v>0</v>
      </c>
      <c r="O34" s="552">
        <f>Activity!C33*Activity!D33</f>
        <v>13.483834836</v>
      </c>
      <c r="P34" s="559">
        <f>Activity!X33</f>
        <v>0</v>
      </c>
    </row>
    <row r="35" spans="2:16">
      <c r="B35" s="7">
        <f t="shared" si="1"/>
        <v>2021</v>
      </c>
      <c r="C35" s="551">
        <f>Activity!$C34*Activity!$D34*Activity!E34</f>
        <v>6.01426536552</v>
      </c>
      <c r="D35" s="552">
        <f>Activity!$C34*Activity!$D34*Activity!F34</f>
        <v>1.7835407635680001</v>
      </c>
      <c r="E35" s="550">
        <f>Activity!$C34*Activity!$D34*Activity!G34</f>
        <v>0</v>
      </c>
      <c r="F35" s="552">
        <f>Activity!$C34*Activity!$D34*Activity!H34</f>
        <v>0</v>
      </c>
      <c r="G35" s="552">
        <f>Activity!$C34*Activity!$D34*Activity!I34</f>
        <v>1.3687638418080001</v>
      </c>
      <c r="H35" s="552">
        <f>Activity!$C34*Activity!$D34*Activity!J34</f>
        <v>0.37329922958399997</v>
      </c>
      <c r="I35" s="552">
        <f>Activity!$C34*Activity!$D34*Activity!K34</f>
        <v>0.12443307652799999</v>
      </c>
      <c r="J35" s="553">
        <f>Activity!$C34*Activity!$D34*Activity!L34</f>
        <v>0.99546461222399996</v>
      </c>
      <c r="K35" s="552">
        <f>Activity!$C34*Activity!$D34*Activity!M34</f>
        <v>0.45625461393600003</v>
      </c>
      <c r="L35" s="552">
        <f>Activity!$C34*Activity!$D34*Activity!N34</f>
        <v>0.55303589568</v>
      </c>
      <c r="M35" s="550">
        <f>Activity!$C34*Activity!$D34*Activity!O34</f>
        <v>2.1568399931519999</v>
      </c>
      <c r="N35" s="413">
        <v>0</v>
      </c>
      <c r="O35" s="552">
        <f>Activity!C34*Activity!D34</f>
        <v>13.825897392</v>
      </c>
      <c r="P35" s="559">
        <f>Activity!X34</f>
        <v>0</v>
      </c>
    </row>
    <row r="36" spans="2:16">
      <c r="B36" s="7">
        <f t="shared" si="1"/>
        <v>2022</v>
      </c>
      <c r="C36" s="551">
        <f>Activity!$C35*Activity!$D35*Activity!E35</f>
        <v>6.163062577379999</v>
      </c>
      <c r="D36" s="552">
        <f>Activity!$C35*Activity!$D35*Activity!F35</f>
        <v>1.8276668332919999</v>
      </c>
      <c r="E36" s="550">
        <f>Activity!$C35*Activity!$D35*Activity!G35</f>
        <v>0</v>
      </c>
      <c r="F36" s="552">
        <f>Activity!$C35*Activity!$D35*Activity!H35</f>
        <v>0</v>
      </c>
      <c r="G36" s="552">
        <f>Activity!$C35*Activity!$D35*Activity!I35</f>
        <v>1.4026280348519999</v>
      </c>
      <c r="H36" s="552">
        <f>Activity!$C35*Activity!$D35*Activity!J35</f>
        <v>0.38253491859599997</v>
      </c>
      <c r="I36" s="552">
        <f>Activity!$C35*Activity!$D35*Activity!K35</f>
        <v>0.12751163953199998</v>
      </c>
      <c r="J36" s="553">
        <f>Activity!$C35*Activity!$D35*Activity!L35</f>
        <v>1.0200931162559999</v>
      </c>
      <c r="K36" s="552">
        <f>Activity!$C35*Activity!$D35*Activity!M35</f>
        <v>0.46754267828399998</v>
      </c>
      <c r="L36" s="552">
        <f>Activity!$C35*Activity!$D35*Activity!N35</f>
        <v>0.56671839791999989</v>
      </c>
      <c r="M36" s="550">
        <f>Activity!$C35*Activity!$D35*Activity!O35</f>
        <v>2.2102017518879999</v>
      </c>
      <c r="N36" s="413">
        <v>0</v>
      </c>
      <c r="O36" s="552">
        <f>Activity!C35*Activity!D35</f>
        <v>14.167959947999998</v>
      </c>
      <c r="P36" s="559">
        <f>Activity!X35</f>
        <v>0</v>
      </c>
    </row>
    <row r="37" spans="2:16">
      <c r="B37" s="7">
        <f t="shared" si="1"/>
        <v>2023</v>
      </c>
      <c r="C37" s="551">
        <f>Activity!$C36*Activity!$D36*Activity!E36</f>
        <v>6.3118597892399997</v>
      </c>
      <c r="D37" s="552">
        <f>Activity!$C36*Activity!$D36*Activity!F36</f>
        <v>1.8717929030159999</v>
      </c>
      <c r="E37" s="550">
        <f>Activity!$C36*Activity!$D36*Activity!G36</f>
        <v>0</v>
      </c>
      <c r="F37" s="552">
        <f>Activity!$C36*Activity!$D36*Activity!H36</f>
        <v>0</v>
      </c>
      <c r="G37" s="552">
        <f>Activity!$C36*Activity!$D36*Activity!I36</f>
        <v>1.436492227896</v>
      </c>
      <c r="H37" s="552">
        <f>Activity!$C36*Activity!$D36*Activity!J36</f>
        <v>0.39177060760799998</v>
      </c>
      <c r="I37" s="552">
        <f>Activity!$C36*Activity!$D36*Activity!K36</f>
        <v>0.13059020253599998</v>
      </c>
      <c r="J37" s="553">
        <f>Activity!$C36*Activity!$D36*Activity!L36</f>
        <v>1.0447216202879999</v>
      </c>
      <c r="K37" s="552">
        <f>Activity!$C36*Activity!$D36*Activity!M36</f>
        <v>0.47883074263199998</v>
      </c>
      <c r="L37" s="552">
        <f>Activity!$C36*Activity!$D36*Activity!N36</f>
        <v>0.5804009001599999</v>
      </c>
      <c r="M37" s="550">
        <f>Activity!$C36*Activity!$D36*Activity!O36</f>
        <v>2.263563510624</v>
      </c>
      <c r="N37" s="413">
        <v>0</v>
      </c>
      <c r="O37" s="552">
        <f>Activity!C36*Activity!D36</f>
        <v>14.510022503999998</v>
      </c>
      <c r="P37" s="559">
        <f>Activity!X36</f>
        <v>0</v>
      </c>
    </row>
    <row r="38" spans="2:16">
      <c r="B38" s="7">
        <f t="shared" si="1"/>
        <v>2024</v>
      </c>
      <c r="C38" s="551">
        <f>Activity!$C37*Activity!$D37*Activity!E37</f>
        <v>6.4606570011000013</v>
      </c>
      <c r="D38" s="552">
        <f>Activity!$C37*Activity!$D37*Activity!F37</f>
        <v>1.9159189727400003</v>
      </c>
      <c r="E38" s="550">
        <f>Activity!$C37*Activity!$D37*Activity!G37</f>
        <v>0</v>
      </c>
      <c r="F38" s="552">
        <f>Activity!$C37*Activity!$D37*Activity!H37</f>
        <v>0</v>
      </c>
      <c r="G38" s="552">
        <f>Activity!$C37*Activity!$D37*Activity!I37</f>
        <v>1.4703564209400002</v>
      </c>
      <c r="H38" s="552">
        <f>Activity!$C37*Activity!$D37*Activity!J37</f>
        <v>0.40100629662000004</v>
      </c>
      <c r="I38" s="552">
        <f>Activity!$C37*Activity!$D37*Activity!K37</f>
        <v>0.13366876554000001</v>
      </c>
      <c r="J38" s="553">
        <f>Activity!$C37*Activity!$D37*Activity!L37</f>
        <v>1.0693501243200001</v>
      </c>
      <c r="K38" s="552">
        <f>Activity!$C37*Activity!$D37*Activity!M37</f>
        <v>0.4901188069800001</v>
      </c>
      <c r="L38" s="552">
        <f>Activity!$C37*Activity!$D37*Activity!N37</f>
        <v>0.59408340240000013</v>
      </c>
      <c r="M38" s="550">
        <f>Activity!$C37*Activity!$D37*Activity!O37</f>
        <v>2.3169252693600004</v>
      </c>
      <c r="N38" s="413">
        <v>0</v>
      </c>
      <c r="O38" s="552">
        <f>Activity!C37*Activity!D37</f>
        <v>14.852085060000002</v>
      </c>
      <c r="P38" s="559">
        <f>Activity!X37</f>
        <v>0</v>
      </c>
    </row>
    <row r="39" spans="2:16">
      <c r="B39" s="7">
        <f t="shared" si="1"/>
        <v>2025</v>
      </c>
      <c r="C39" s="551">
        <f>Activity!$C38*Activity!$D38*Activity!E38</f>
        <v>6.609454212960002</v>
      </c>
      <c r="D39" s="552">
        <f>Activity!$C38*Activity!$D38*Activity!F38</f>
        <v>1.9600450424640006</v>
      </c>
      <c r="E39" s="550">
        <f>Activity!$C38*Activity!$D38*Activity!G38</f>
        <v>0</v>
      </c>
      <c r="F39" s="552">
        <f>Activity!$C38*Activity!$D38*Activity!H38</f>
        <v>0</v>
      </c>
      <c r="G39" s="552">
        <f>Activity!$C38*Activity!$D38*Activity!I38</f>
        <v>1.5042206139840004</v>
      </c>
      <c r="H39" s="552">
        <f>Activity!$C38*Activity!$D38*Activity!J38</f>
        <v>0.41024198563200009</v>
      </c>
      <c r="I39" s="552">
        <f>Activity!$C38*Activity!$D38*Activity!K38</f>
        <v>0.13674732854400001</v>
      </c>
      <c r="J39" s="553">
        <f>Activity!$C38*Activity!$D38*Activity!L38</f>
        <v>1.0939786283520001</v>
      </c>
      <c r="K39" s="552">
        <f>Activity!$C38*Activity!$D38*Activity!M38</f>
        <v>0.5014068713280001</v>
      </c>
      <c r="L39" s="552">
        <f>Activity!$C38*Activity!$D38*Activity!N38</f>
        <v>0.60776590464000013</v>
      </c>
      <c r="M39" s="550">
        <f>Activity!$C38*Activity!$D38*Activity!O38</f>
        <v>2.3702870280960004</v>
      </c>
      <c r="N39" s="413">
        <v>0</v>
      </c>
      <c r="O39" s="552">
        <f>Activity!C38*Activity!D38</f>
        <v>15.194147616000004</v>
      </c>
      <c r="P39" s="559">
        <f>Activity!X38</f>
        <v>0</v>
      </c>
    </row>
    <row r="40" spans="2:16">
      <c r="B40" s="7">
        <f t="shared" si="1"/>
        <v>2026</v>
      </c>
      <c r="C40" s="551">
        <f>Activity!$C39*Activity!$D39*Activity!E39</f>
        <v>6.7582514248200001</v>
      </c>
      <c r="D40" s="552">
        <f>Activity!$C39*Activity!$D39*Activity!F39</f>
        <v>2.0041711121880001</v>
      </c>
      <c r="E40" s="550">
        <f>Activity!$C39*Activity!$D39*Activity!G39</f>
        <v>0</v>
      </c>
      <c r="F40" s="552">
        <f>Activity!$C39*Activity!$D39*Activity!H39</f>
        <v>0</v>
      </c>
      <c r="G40" s="552">
        <f>Activity!$C39*Activity!$D39*Activity!I39</f>
        <v>1.5380848070280002</v>
      </c>
      <c r="H40" s="552">
        <f>Activity!$C39*Activity!$D39*Activity!J39</f>
        <v>0.41947767464399999</v>
      </c>
      <c r="I40" s="552">
        <f>Activity!$C39*Activity!$D39*Activity!K39</f>
        <v>0.13982589154799999</v>
      </c>
      <c r="J40" s="553">
        <f>Activity!$C39*Activity!$D39*Activity!L39</f>
        <v>1.1186071323839999</v>
      </c>
      <c r="K40" s="552">
        <f>Activity!$C39*Activity!$D39*Activity!M39</f>
        <v>0.512694935676</v>
      </c>
      <c r="L40" s="552">
        <f>Activity!$C39*Activity!$D39*Activity!N39</f>
        <v>0.62144840688000003</v>
      </c>
      <c r="M40" s="550">
        <f>Activity!$C39*Activity!$D39*Activity!O39</f>
        <v>2.423648786832</v>
      </c>
      <c r="N40" s="413">
        <v>0</v>
      </c>
      <c r="O40" s="552">
        <f>Activity!C39*Activity!D39</f>
        <v>15.536210172000001</v>
      </c>
      <c r="P40" s="559">
        <f>Activity!X39</f>
        <v>0</v>
      </c>
    </row>
    <row r="41" spans="2:16">
      <c r="B41" s="7">
        <f t="shared" si="1"/>
        <v>2027</v>
      </c>
      <c r="C41" s="551">
        <f>Activity!$C40*Activity!$D40*Activity!E40</f>
        <v>6.907048636679999</v>
      </c>
      <c r="D41" s="552">
        <f>Activity!$C40*Activity!$D40*Activity!F40</f>
        <v>2.0482971819119995</v>
      </c>
      <c r="E41" s="550">
        <f>Activity!$C40*Activity!$D40*Activity!G40</f>
        <v>0</v>
      </c>
      <c r="F41" s="552">
        <f>Activity!$C40*Activity!$D40*Activity!H40</f>
        <v>0</v>
      </c>
      <c r="G41" s="552">
        <f>Activity!$C40*Activity!$D40*Activity!I40</f>
        <v>1.5719490000719998</v>
      </c>
      <c r="H41" s="552">
        <f>Activity!$C40*Activity!$D40*Activity!J40</f>
        <v>0.42871336365599994</v>
      </c>
      <c r="I41" s="552">
        <f>Activity!$C40*Activity!$D40*Activity!K40</f>
        <v>0.14290445455199996</v>
      </c>
      <c r="J41" s="553">
        <f>Activity!$C40*Activity!$D40*Activity!L40</f>
        <v>1.1432356364159997</v>
      </c>
      <c r="K41" s="552">
        <f>Activity!$C40*Activity!$D40*Activity!M40</f>
        <v>0.52398300002399989</v>
      </c>
      <c r="L41" s="552">
        <f>Activity!$C40*Activity!$D40*Activity!N40</f>
        <v>0.63513090911999992</v>
      </c>
      <c r="M41" s="550">
        <f>Activity!$C40*Activity!$D40*Activity!O40</f>
        <v>2.4770105455679996</v>
      </c>
      <c r="N41" s="413">
        <v>0</v>
      </c>
      <c r="O41" s="552">
        <f>Activity!C40*Activity!D40</f>
        <v>15.878272727999997</v>
      </c>
      <c r="P41" s="559">
        <f>Activity!X40</f>
        <v>0</v>
      </c>
    </row>
    <row r="42" spans="2:16">
      <c r="B42" s="7">
        <f t="shared" si="1"/>
        <v>2028</v>
      </c>
      <c r="C42" s="551">
        <f>Activity!$C41*Activity!$D41*Activity!E41</f>
        <v>7.0558458485400006</v>
      </c>
      <c r="D42" s="552">
        <f>Activity!$C41*Activity!$D41*Activity!F41</f>
        <v>2.0924232516360002</v>
      </c>
      <c r="E42" s="550">
        <f>Activity!$C41*Activity!$D41*Activity!G41</f>
        <v>0</v>
      </c>
      <c r="F42" s="552">
        <f>Activity!$C41*Activity!$D41*Activity!H41</f>
        <v>0</v>
      </c>
      <c r="G42" s="552">
        <f>Activity!$C41*Activity!$D41*Activity!I41</f>
        <v>1.6058131931160002</v>
      </c>
      <c r="H42" s="552">
        <f>Activity!$C41*Activity!$D41*Activity!J41</f>
        <v>0.43794905266799999</v>
      </c>
      <c r="I42" s="552">
        <f>Activity!$C41*Activity!$D41*Activity!K41</f>
        <v>0.14598301755599999</v>
      </c>
      <c r="J42" s="553">
        <f>Activity!$C41*Activity!$D41*Activity!L41</f>
        <v>1.1678641404479999</v>
      </c>
      <c r="K42" s="552">
        <f>Activity!$C41*Activity!$D41*Activity!M41</f>
        <v>0.535271064372</v>
      </c>
      <c r="L42" s="552">
        <f>Activity!$C41*Activity!$D41*Activity!N41</f>
        <v>0.64881341136000004</v>
      </c>
      <c r="M42" s="550">
        <f>Activity!$C41*Activity!$D41*Activity!O41</f>
        <v>2.5303723043040001</v>
      </c>
      <c r="N42" s="413">
        <v>0</v>
      </c>
      <c r="O42" s="552">
        <f>Activity!C41*Activity!D41</f>
        <v>16.220335284000001</v>
      </c>
      <c r="P42" s="559">
        <f>Activity!X41</f>
        <v>0</v>
      </c>
    </row>
    <row r="43" spans="2:16">
      <c r="B43" s="7">
        <f t="shared" si="1"/>
        <v>2029</v>
      </c>
      <c r="C43" s="551">
        <f>Activity!$C42*Activity!$D42*Activity!E42</f>
        <v>7.2046430603999996</v>
      </c>
      <c r="D43" s="552">
        <f>Activity!$C42*Activity!$D42*Activity!F42</f>
        <v>2.13654932136</v>
      </c>
      <c r="E43" s="550">
        <f>Activity!$C42*Activity!$D42*Activity!G42</f>
        <v>0</v>
      </c>
      <c r="F43" s="552">
        <f>Activity!$C42*Activity!$D42*Activity!H42</f>
        <v>0</v>
      </c>
      <c r="G43" s="552">
        <f>Activity!$C42*Activity!$D42*Activity!I42</f>
        <v>1.63967738616</v>
      </c>
      <c r="H43" s="552">
        <f>Activity!$C42*Activity!$D42*Activity!J42</f>
        <v>0.44718474168</v>
      </c>
      <c r="I43" s="552">
        <f>Activity!$C42*Activity!$D42*Activity!K42</f>
        <v>0.14906158055999999</v>
      </c>
      <c r="J43" s="553">
        <f>Activity!$C42*Activity!$D42*Activity!L42</f>
        <v>1.1924926444799999</v>
      </c>
      <c r="K43" s="552">
        <f>Activity!$C42*Activity!$D42*Activity!M42</f>
        <v>0.54655912872000001</v>
      </c>
      <c r="L43" s="552">
        <f>Activity!$C42*Activity!$D42*Activity!N42</f>
        <v>0.66249591359999993</v>
      </c>
      <c r="M43" s="550">
        <f>Activity!$C42*Activity!$D42*Activity!O42</f>
        <v>2.5837340630400001</v>
      </c>
      <c r="N43" s="413">
        <v>0</v>
      </c>
      <c r="O43" s="552">
        <f>Activity!C42*Activity!D42</f>
        <v>16.562397839999999</v>
      </c>
      <c r="P43" s="559">
        <f>Activity!X42</f>
        <v>0</v>
      </c>
    </row>
    <row r="44" spans="2:16">
      <c r="B44" s="7">
        <f t="shared" si="1"/>
        <v>2030</v>
      </c>
      <c r="C44" s="551">
        <f>Activity!$C43*Activity!$D43*Activity!E43</f>
        <v>7.3534402722600021</v>
      </c>
      <c r="D44" s="552">
        <f>Activity!$C43*Activity!$D43*Activity!F43</f>
        <v>2.1806753910840007</v>
      </c>
      <c r="E44" s="550">
        <f>Activity!$C43*Activity!$D43*Activity!G43</f>
        <v>0</v>
      </c>
      <c r="F44" s="552">
        <f>Activity!$C43*Activity!$D43*Activity!H43</f>
        <v>0</v>
      </c>
      <c r="G44" s="552">
        <f>Activity!$C43*Activity!$D43*Activity!I43</f>
        <v>1.6735415792040005</v>
      </c>
      <c r="H44" s="552">
        <f>Activity!$C43*Activity!$D43*Activity!J43</f>
        <v>0.45642043069200011</v>
      </c>
      <c r="I44" s="552">
        <f>Activity!$C43*Activity!$D43*Activity!K43</f>
        <v>0.15214014356400002</v>
      </c>
      <c r="J44" s="553">
        <f>Activity!$C43*Activity!$D43*Activity!L43</f>
        <v>1.2171211485120002</v>
      </c>
      <c r="K44" s="552">
        <f>Activity!$C43*Activity!$D43*Activity!M43</f>
        <v>0.55784719306800012</v>
      </c>
      <c r="L44" s="552">
        <f>Activity!$C43*Activity!$D43*Activity!N43</f>
        <v>0.67617841584000016</v>
      </c>
      <c r="M44" s="550">
        <f>Activity!$C43*Activity!$D43*Activity!O43</f>
        <v>2.6370958217760005</v>
      </c>
      <c r="N44" s="413">
        <v>0</v>
      </c>
      <c r="O44" s="552">
        <f>Activity!C43*Activity!D43</f>
        <v>16.904460396000005</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tabSelected="1" workbookViewId="0">
      <pane xSplit="2" ySplit="11" topLeftCell="C30"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40"/>
    <col min="2" max="2" width="7" style="636" customWidth="1"/>
    <col min="3" max="3" width="8.85546875" style="636"/>
    <col min="4" max="4" width="13" style="636" bestFit="1" customWidth="1"/>
    <col min="5" max="5" width="12" style="636" customWidth="1"/>
    <col min="6" max="6" width="9.140625" style="636" bestFit="1" customWidth="1"/>
    <col min="7" max="10" width="8.85546875" style="636"/>
    <col min="11" max="11" width="11.42578125" style="636" bestFit="1" customWidth="1"/>
    <col min="12" max="12" width="8.85546875" style="636"/>
    <col min="13" max="13" width="10.7109375" style="636" bestFit="1" customWidth="1"/>
    <col min="14" max="14" width="3" style="636" customWidth="1"/>
    <col min="15" max="15" width="17.140625" style="637" customWidth="1"/>
    <col min="16" max="16" width="4.7109375" style="636" customWidth="1"/>
    <col min="17" max="17" width="2" style="639" customWidth="1"/>
    <col min="18" max="20" width="8.85546875" style="640"/>
    <col min="21" max="21" width="10.7109375" style="640" customWidth="1"/>
    <col min="22" max="27" width="8.85546875" style="640"/>
    <col min="28" max="28" width="8.85546875" style="636"/>
    <col min="29" max="30" width="8.85546875" style="640"/>
    <col min="31" max="31" width="2.7109375" style="640" customWidth="1"/>
    <col min="32" max="32" width="11.7109375" style="640" bestFit="1" customWidth="1"/>
    <col min="33" max="16384" width="8.85546875" style="640"/>
  </cols>
  <sheetData>
    <row r="1" spans="1:32">
      <c r="A1" s="635"/>
      <c r="P1" s="638"/>
    </row>
    <row r="2" spans="1:32">
      <c r="A2" s="635"/>
      <c r="B2" s="641" t="s">
        <v>94</v>
      </c>
      <c r="D2" s="641"/>
      <c r="E2" s="641"/>
    </row>
    <row r="3" spans="1:32">
      <c r="A3" s="635"/>
      <c r="B3" s="641"/>
      <c r="D3" s="641"/>
      <c r="E3" s="641"/>
      <c r="I3" s="641"/>
      <c r="J3" s="642"/>
      <c r="K3" s="642"/>
      <c r="L3" s="642"/>
      <c r="M3" s="642"/>
      <c r="N3" s="642"/>
      <c r="O3" s="643"/>
      <c r="AB3" s="642"/>
    </row>
    <row r="4" spans="1:32" ht="13.5" thickBot="1">
      <c r="A4" s="635"/>
      <c r="B4" s="641" t="s">
        <v>265</v>
      </c>
      <c r="D4" s="641"/>
      <c r="E4" s="641" t="s">
        <v>276</v>
      </c>
      <c r="H4" s="641" t="s">
        <v>30</v>
      </c>
      <c r="I4" s="641"/>
      <c r="J4" s="642"/>
      <c r="K4" s="642"/>
      <c r="L4" s="642"/>
      <c r="M4" s="642"/>
      <c r="N4" s="642"/>
      <c r="O4" s="643"/>
      <c r="AB4" s="642"/>
    </row>
    <row r="5" spans="1:32" ht="13.5" thickBot="1">
      <c r="A5" s="635"/>
      <c r="B5" s="644" t="str">
        <f>city</f>
        <v>Berau</v>
      </c>
      <c r="C5" s="645"/>
      <c r="D5" s="645"/>
      <c r="E5" s="644" t="str">
        <f>province</f>
        <v>Kalimantan Timur</v>
      </c>
      <c r="F5" s="645"/>
      <c r="G5" s="645"/>
      <c r="H5" s="644" t="str">
        <f>country</f>
        <v>Indonesia</v>
      </c>
      <c r="I5" s="645"/>
      <c r="J5" s="646"/>
      <c r="K5" s="642"/>
      <c r="L5" s="642"/>
      <c r="M5" s="642"/>
      <c r="N5" s="642"/>
      <c r="O5" s="643"/>
      <c r="AB5" s="642"/>
    </row>
    <row r="6" spans="1:32">
      <c r="A6" s="635"/>
      <c r="C6" s="641"/>
      <c r="D6" s="641"/>
      <c r="E6" s="641"/>
    </row>
    <row r="7" spans="1:32">
      <c r="A7" s="635"/>
      <c r="B7" s="636" t="s">
        <v>35</v>
      </c>
      <c r="P7" s="638"/>
    </row>
    <row r="8" spans="1:32">
      <c r="A8" s="635"/>
      <c r="B8" s="636" t="s">
        <v>37</v>
      </c>
      <c r="P8" s="638"/>
    </row>
    <row r="9" spans="1:32">
      <c r="B9" s="647"/>
      <c r="P9" s="638"/>
    </row>
    <row r="10" spans="1:32">
      <c r="P10" s="648"/>
    </row>
    <row r="11" spans="1:32" ht="13.5" thickBot="1">
      <c r="A11" s="649"/>
      <c r="P11" s="649"/>
      <c r="Q11" s="650"/>
    </row>
    <row r="12" spans="1:32" ht="13.5" thickBot="1">
      <c r="A12" s="651"/>
      <c r="B12" s="652"/>
      <c r="C12" s="823" t="s">
        <v>91</v>
      </c>
      <c r="D12" s="824"/>
      <c r="E12" s="824"/>
      <c r="F12" s="824"/>
      <c r="G12" s="824"/>
      <c r="H12" s="824"/>
      <c r="I12" s="824"/>
      <c r="J12" s="824"/>
      <c r="K12" s="824"/>
      <c r="L12" s="824"/>
      <c r="M12" s="825"/>
      <c r="N12" s="653"/>
      <c r="O12" s="654"/>
      <c r="P12" s="651"/>
      <c r="Q12" s="650"/>
      <c r="S12" s="652"/>
      <c r="T12" s="823" t="s">
        <v>91</v>
      </c>
      <c r="U12" s="824"/>
      <c r="V12" s="824"/>
      <c r="W12" s="824"/>
      <c r="X12" s="824"/>
      <c r="Y12" s="824"/>
      <c r="Z12" s="824"/>
      <c r="AA12" s="824"/>
      <c r="AB12" s="824"/>
      <c r="AC12" s="824"/>
      <c r="AD12" s="825"/>
      <c r="AE12" s="653"/>
      <c r="AF12" s="655"/>
    </row>
    <row r="13" spans="1:32" ht="39" thickBot="1">
      <c r="A13" s="65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1"/>
      <c r="Q13" s="650"/>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1"/>
      <c r="B14" s="656"/>
      <c r="C14" s="657" t="s">
        <v>81</v>
      </c>
      <c r="D14" s="658" t="s">
        <v>87</v>
      </c>
      <c r="E14" s="658" t="s">
        <v>88</v>
      </c>
      <c r="F14" s="658" t="s">
        <v>275</v>
      </c>
      <c r="G14" s="658" t="s">
        <v>89</v>
      </c>
      <c r="H14" s="658" t="s">
        <v>82</v>
      </c>
      <c r="I14" s="659" t="s">
        <v>92</v>
      </c>
      <c r="J14" s="660" t="s">
        <v>93</v>
      </c>
      <c r="K14" s="660" t="s">
        <v>316</v>
      </c>
      <c r="L14" s="661" t="s">
        <v>194</v>
      </c>
      <c r="M14" s="660" t="s">
        <v>162</v>
      </c>
      <c r="N14" s="662"/>
      <c r="O14" s="663" t="s">
        <v>163</v>
      </c>
      <c r="P14" s="651"/>
      <c r="Q14" s="650"/>
      <c r="S14" s="656"/>
      <c r="T14" s="657" t="s">
        <v>81</v>
      </c>
      <c r="U14" s="658" t="s">
        <v>87</v>
      </c>
      <c r="V14" s="658" t="s">
        <v>88</v>
      </c>
      <c r="W14" s="658" t="s">
        <v>275</v>
      </c>
      <c r="X14" s="658" t="s">
        <v>89</v>
      </c>
      <c r="Y14" s="658" t="s">
        <v>82</v>
      </c>
      <c r="Z14" s="659" t="s">
        <v>92</v>
      </c>
      <c r="AA14" s="660" t="s">
        <v>93</v>
      </c>
      <c r="AB14" s="660" t="s">
        <v>316</v>
      </c>
      <c r="AC14" s="661" t="s">
        <v>194</v>
      </c>
      <c r="AD14" s="660" t="s">
        <v>162</v>
      </c>
      <c r="AE14" s="662"/>
      <c r="AF14" s="664" t="s">
        <v>163</v>
      </c>
    </row>
    <row r="15" spans="1:32" ht="13.5" thickBot="1">
      <c r="B15" s="665"/>
      <c r="C15" s="666" t="s">
        <v>15</v>
      </c>
      <c r="D15" s="667" t="s">
        <v>15</v>
      </c>
      <c r="E15" s="667" t="s">
        <v>15</v>
      </c>
      <c r="F15" s="667" t="s">
        <v>15</v>
      </c>
      <c r="G15" s="667" t="s">
        <v>15</v>
      </c>
      <c r="H15" s="667" t="s">
        <v>15</v>
      </c>
      <c r="I15" s="668" t="s">
        <v>15</v>
      </c>
      <c r="J15" s="668" t="s">
        <v>15</v>
      </c>
      <c r="K15" s="668" t="s">
        <v>15</v>
      </c>
      <c r="L15" s="669" t="s">
        <v>15</v>
      </c>
      <c r="M15" s="668" t="s">
        <v>15</v>
      </c>
      <c r="N15" s="662"/>
      <c r="O15" s="663" t="s">
        <v>15</v>
      </c>
      <c r="P15" s="640"/>
      <c r="Q15" s="650"/>
      <c r="S15" s="665"/>
      <c r="T15" s="666" t="s">
        <v>15</v>
      </c>
      <c r="U15" s="667" t="s">
        <v>15</v>
      </c>
      <c r="V15" s="667" t="s">
        <v>15</v>
      </c>
      <c r="W15" s="667" t="s">
        <v>15</v>
      </c>
      <c r="X15" s="667" t="s">
        <v>15</v>
      </c>
      <c r="Y15" s="667" t="s">
        <v>15</v>
      </c>
      <c r="Z15" s="668" t="s">
        <v>15</v>
      </c>
      <c r="AA15" s="668" t="s">
        <v>15</v>
      </c>
      <c r="AB15" s="668" t="s">
        <v>15</v>
      </c>
      <c r="AC15" s="669" t="s">
        <v>15</v>
      </c>
      <c r="AD15" s="668" t="s">
        <v>15</v>
      </c>
      <c r="AE15" s="662"/>
      <c r="AF15" s="664" t="s">
        <v>15</v>
      </c>
    </row>
    <row r="16" spans="1:32" ht="13.5" thickBot="1">
      <c r="B16" s="670"/>
      <c r="C16" s="671"/>
      <c r="D16" s="672"/>
      <c r="E16" s="672"/>
      <c r="F16" s="672"/>
      <c r="G16" s="672"/>
      <c r="H16" s="672"/>
      <c r="I16" s="673"/>
      <c r="J16" s="673"/>
      <c r="K16" s="674"/>
      <c r="L16" s="675"/>
      <c r="M16" s="674"/>
      <c r="N16" s="676"/>
      <c r="O16" s="677"/>
      <c r="P16" s="640"/>
      <c r="Q16" s="650"/>
      <c r="S16" s="670"/>
      <c r="T16" s="671"/>
      <c r="U16" s="672"/>
      <c r="V16" s="672"/>
      <c r="W16" s="672"/>
      <c r="X16" s="672"/>
      <c r="Y16" s="672"/>
      <c r="Z16" s="673"/>
      <c r="AA16" s="673"/>
      <c r="AB16" s="674"/>
      <c r="AC16" s="675"/>
      <c r="AD16" s="674"/>
      <c r="AE16" s="676"/>
      <c r="AF16" s="678"/>
    </row>
    <row r="17" spans="2:32">
      <c r="B17" s="679">
        <f>year</f>
        <v>2000</v>
      </c>
      <c r="C17" s="680">
        <f>IF(Select2=1,Food!$K19,"")</f>
        <v>0</v>
      </c>
      <c r="D17" s="681">
        <f>IF(Select2=1,Paper!$K19,"")</f>
        <v>0</v>
      </c>
      <c r="E17" s="681">
        <f>IF(Select2=1,Nappies!$K19,"")</f>
        <v>0</v>
      </c>
      <c r="F17" s="681">
        <f>IF(Select2=1,Garden!$K19,"")</f>
        <v>0</v>
      </c>
      <c r="G17" s="681">
        <f>IF(Select2=1,Wood!$K19,"")</f>
        <v>0</v>
      </c>
      <c r="H17" s="681">
        <f>IF(Select2=1,Textiles!$K19,"")</f>
        <v>0</v>
      </c>
      <c r="I17" s="682">
        <f>Sludge!K19</f>
        <v>0</v>
      </c>
      <c r="J17" s="683" t="str">
        <f>IF(Select2=2,MSW!$K19,"")</f>
        <v/>
      </c>
      <c r="K17" s="682">
        <f>Industry!$K19</f>
        <v>0</v>
      </c>
      <c r="L17" s="684">
        <f>SUM(C17:K17)</f>
        <v>0</v>
      </c>
      <c r="M17" s="685">
        <f>Recovery_OX!C12</f>
        <v>0</v>
      </c>
      <c r="N17" s="648"/>
      <c r="O17" s="686">
        <f>(L17-M17)*(1-Recovery_OX!F12)</f>
        <v>0</v>
      </c>
      <c r="P17" s="640"/>
      <c r="Q17" s="650"/>
      <c r="S17" s="679">
        <f>year</f>
        <v>2000</v>
      </c>
      <c r="T17" s="680">
        <f>IF(Select2=1,Food!$W19,"")</f>
        <v>0</v>
      </c>
      <c r="U17" s="681">
        <f>IF(Select2=1,Paper!$W19,"")</f>
        <v>0</v>
      </c>
      <c r="V17" s="681">
        <f>IF(Select2=1,Nappies!$W19,"")</f>
        <v>0</v>
      </c>
      <c r="W17" s="681">
        <f>IF(Select2=1,Garden!$W19,"")</f>
        <v>0</v>
      </c>
      <c r="X17" s="681">
        <f>IF(Select2=1,Wood!$W19,"")</f>
        <v>0</v>
      </c>
      <c r="Y17" s="681">
        <f>IF(Select2=1,Textiles!$W19,"")</f>
        <v>0</v>
      </c>
      <c r="Z17" s="682">
        <f>Sludge!W19</f>
        <v>0</v>
      </c>
      <c r="AA17" s="683" t="str">
        <f>IF(Select2=2,MSW!$W19,"")</f>
        <v/>
      </c>
      <c r="AB17" s="682">
        <f>Industry!$W19</f>
        <v>0</v>
      </c>
      <c r="AC17" s="684">
        <f t="shared" ref="AC17:AC48" si="0">SUM(T17:AA17)</f>
        <v>0</v>
      </c>
      <c r="AD17" s="685">
        <f>Recovery_OX!R12</f>
        <v>0</v>
      </c>
      <c r="AE17" s="648"/>
      <c r="AF17" s="687">
        <f>(AC17-AD17)*(1-Recovery_OX!U12)</f>
        <v>0</v>
      </c>
    </row>
    <row r="18" spans="2:32">
      <c r="B18" s="688">
        <f t="shared" ref="B18:B81" si="1">B17+1</f>
        <v>2001</v>
      </c>
      <c r="C18" s="689">
        <f>IF(Select2=1,Food!$K20,"")</f>
        <v>6.2081121203838754E-2</v>
      </c>
      <c r="D18" s="690">
        <f>IF(Select2=1,Paper!$K20,"")</f>
        <v>3.2600450907611348E-3</v>
      </c>
      <c r="E18" s="681">
        <f>IF(Select2=1,Nappies!$K20,"")</f>
        <v>1.0279985695884956E-2</v>
      </c>
      <c r="F18" s="690">
        <f>IF(Select2=1,Garden!$K20,"")</f>
        <v>0</v>
      </c>
      <c r="G18" s="681">
        <f>IF(Select2=1,Wood!$K20,"")</f>
        <v>0</v>
      </c>
      <c r="H18" s="690">
        <f>IF(Select2=1,Textiles!$K20,"")</f>
        <v>7.7185624566238173E-4</v>
      </c>
      <c r="I18" s="691">
        <f>Sludge!K20</f>
        <v>0</v>
      </c>
      <c r="J18" s="691" t="str">
        <f>IF(Select2=2,MSW!$K20,"")</f>
        <v/>
      </c>
      <c r="K18" s="691">
        <f>Industry!$K20</f>
        <v>0</v>
      </c>
      <c r="L18" s="692">
        <f>SUM(C18:K18)</f>
        <v>7.6393008236147225E-2</v>
      </c>
      <c r="M18" s="693">
        <f>Recovery_OX!C13</f>
        <v>0</v>
      </c>
      <c r="N18" s="648"/>
      <c r="O18" s="694">
        <f>(L18-M18)*(1-Recovery_OX!F13)</f>
        <v>7.6393008236147225E-2</v>
      </c>
      <c r="P18" s="640"/>
      <c r="Q18" s="650"/>
      <c r="S18" s="688">
        <f t="shared" ref="S18:S81" si="2">S17+1</f>
        <v>2001</v>
      </c>
      <c r="T18" s="689">
        <f>IF(Select2=1,Food!$W20,"")</f>
        <v>4.1535094471792211E-2</v>
      </c>
      <c r="U18" s="690">
        <f>IF(Select2=1,Paper!$W20,"")</f>
        <v>6.7356303528122623E-3</v>
      </c>
      <c r="V18" s="681">
        <f>IF(Select2=1,Nappies!$W20,"")</f>
        <v>0</v>
      </c>
      <c r="W18" s="690">
        <f>IF(Select2=1,Garden!$W20,"")</f>
        <v>0</v>
      </c>
      <c r="X18" s="681">
        <f>IF(Select2=1,Wood!$W20,"")</f>
        <v>2.8270653891716607E-3</v>
      </c>
      <c r="Y18" s="690">
        <f>IF(Select2=1,Textiles!$W20,"")</f>
        <v>8.4586985826014445E-4</v>
      </c>
      <c r="Z18" s="683">
        <f>Sludge!W20</f>
        <v>0</v>
      </c>
      <c r="AA18" s="683" t="str">
        <f>IF(Select2=2,MSW!$W20,"")</f>
        <v/>
      </c>
      <c r="AB18" s="691">
        <f>Industry!$W20</f>
        <v>0</v>
      </c>
      <c r="AC18" s="692">
        <f t="shared" si="0"/>
        <v>5.1943660072036282E-2</v>
      </c>
      <c r="AD18" s="693">
        <f>Recovery_OX!R13</f>
        <v>0</v>
      </c>
      <c r="AE18" s="648"/>
      <c r="AF18" s="695">
        <f>(AC18-AD18)*(1-Recovery_OX!U13)</f>
        <v>5.1943660072036282E-2</v>
      </c>
    </row>
    <row r="19" spans="2:32">
      <c r="B19" s="688">
        <f t="shared" si="1"/>
        <v>2002</v>
      </c>
      <c r="C19" s="689">
        <f>IF(Select2=1,Food!$K21,"")</f>
        <v>0.10713930064892668</v>
      </c>
      <c r="D19" s="690">
        <f>IF(Select2=1,Paper!$K21,"")</f>
        <v>6.4805424717360137E-3</v>
      </c>
      <c r="E19" s="681">
        <f>IF(Select2=1,Nappies!$K21,"")</f>
        <v>1.9523131676329544E-2</v>
      </c>
      <c r="F19" s="690">
        <f>IF(Select2=1,Garden!$K21,"")</f>
        <v>0</v>
      </c>
      <c r="G19" s="681">
        <f>IF(Select2=1,Wood!$K21,"")</f>
        <v>0</v>
      </c>
      <c r="H19" s="690">
        <f>IF(Select2=1,Textiles!$K21,"")</f>
        <v>1.5343490788717667E-3</v>
      </c>
      <c r="I19" s="691">
        <f>Sludge!K21</f>
        <v>0</v>
      </c>
      <c r="J19" s="691" t="str">
        <f>IF(Select2=2,MSW!$K21,"")</f>
        <v/>
      </c>
      <c r="K19" s="691">
        <f>Industry!$K21</f>
        <v>0</v>
      </c>
      <c r="L19" s="692">
        <f t="shared" ref="L19:L82" si="3">SUM(C19:K19)</f>
        <v>0.13467732387586401</v>
      </c>
      <c r="M19" s="693">
        <f>Recovery_OX!C14</f>
        <v>0</v>
      </c>
      <c r="N19" s="648"/>
      <c r="O19" s="694">
        <f>(L19-M19)*(1-Recovery_OX!F14)</f>
        <v>0.13467732387586401</v>
      </c>
      <c r="P19" s="640"/>
      <c r="Q19" s="650"/>
      <c r="S19" s="688">
        <f t="shared" si="2"/>
        <v>2002</v>
      </c>
      <c r="T19" s="689">
        <f>IF(Select2=1,Food!$W21,"")</f>
        <v>7.1681066446650316E-2</v>
      </c>
      <c r="U19" s="690">
        <f>IF(Select2=1,Paper!$W21,"")</f>
        <v>1.3389550561438045E-2</v>
      </c>
      <c r="V19" s="681">
        <f>IF(Select2=1,Nappies!$W21,"")</f>
        <v>0</v>
      </c>
      <c r="W19" s="690">
        <f>IF(Select2=1,Garden!$W21,"")</f>
        <v>0</v>
      </c>
      <c r="X19" s="681">
        <f>IF(Select2=1,Wood!$W21,"")</f>
        <v>5.7137269135338316E-3</v>
      </c>
      <c r="Y19" s="690">
        <f>IF(Select2=1,Textiles!$W21,"")</f>
        <v>1.6814784425991961E-3</v>
      </c>
      <c r="Z19" s="683">
        <f>Sludge!W21</f>
        <v>0</v>
      </c>
      <c r="AA19" s="683" t="str">
        <f>IF(Select2=2,MSW!$W21,"")</f>
        <v/>
      </c>
      <c r="AB19" s="691">
        <f>Industry!$W21</f>
        <v>0</v>
      </c>
      <c r="AC19" s="692">
        <f t="shared" si="0"/>
        <v>9.2465822364221392E-2</v>
      </c>
      <c r="AD19" s="693">
        <f>Recovery_OX!R14</f>
        <v>0</v>
      </c>
      <c r="AE19" s="648"/>
      <c r="AF19" s="695">
        <f>(AC19-AD19)*(1-Recovery_OX!U14)</f>
        <v>9.2465822364221392E-2</v>
      </c>
    </row>
    <row r="20" spans="2:32">
      <c r="B20" s="688">
        <f t="shared" si="1"/>
        <v>2003</v>
      </c>
      <c r="C20" s="689">
        <f>IF(Select2=1,Food!$K22,"")</f>
        <v>0.14104987335895852</v>
      </c>
      <c r="D20" s="690">
        <f>IF(Select2=1,Paper!$K22,"")</f>
        <v>9.6779877953102993E-3</v>
      </c>
      <c r="E20" s="681">
        <f>IF(Select2=1,Nappies!$K22,"")</f>
        <v>2.793511768930796E-2</v>
      </c>
      <c r="F20" s="690">
        <f>IF(Select2=1,Garden!$K22,"")</f>
        <v>0</v>
      </c>
      <c r="G20" s="681">
        <f>IF(Select2=1,Wood!$K22,"")</f>
        <v>0</v>
      </c>
      <c r="H20" s="690">
        <f>IF(Select2=1,Textiles!$K22,"")</f>
        <v>2.2913840506146215E-3</v>
      </c>
      <c r="I20" s="691">
        <f>Sludge!K22</f>
        <v>0</v>
      </c>
      <c r="J20" s="691" t="str">
        <f>IF(Select2=2,MSW!$K22,"")</f>
        <v/>
      </c>
      <c r="K20" s="691">
        <f>Industry!$K22</f>
        <v>0</v>
      </c>
      <c r="L20" s="692">
        <f t="shared" si="3"/>
        <v>0.1809543628941914</v>
      </c>
      <c r="M20" s="693">
        <f>Recovery_OX!C15</f>
        <v>0</v>
      </c>
      <c r="N20" s="648"/>
      <c r="O20" s="694">
        <f>(L20-M20)*(1-Recovery_OX!F15)</f>
        <v>0.1809543628941914</v>
      </c>
      <c r="P20" s="640"/>
      <c r="Q20" s="650"/>
      <c r="S20" s="688">
        <f t="shared" si="2"/>
        <v>2003</v>
      </c>
      <c r="T20" s="689">
        <f>IF(Select2=1,Food!$W22,"")</f>
        <v>9.4368782354343331E-2</v>
      </c>
      <c r="U20" s="690">
        <f>IF(Select2=1,Paper!$W22,"")</f>
        <v>1.9995842552294009E-2</v>
      </c>
      <c r="V20" s="681">
        <f>IF(Select2=1,Nappies!$W22,"")</f>
        <v>0</v>
      </c>
      <c r="W20" s="690">
        <f>IF(Select2=1,Garden!$W22,"")</f>
        <v>0</v>
      </c>
      <c r="X20" s="681">
        <f>IF(Select2=1,Wood!$W22,"")</f>
        <v>8.6699210184874118E-3</v>
      </c>
      <c r="Y20" s="690">
        <f>IF(Select2=1,Textiles!$W22,"")</f>
        <v>2.5111058088927354E-3</v>
      </c>
      <c r="Z20" s="683">
        <f>Sludge!W22</f>
        <v>0</v>
      </c>
      <c r="AA20" s="683" t="str">
        <f>IF(Select2=2,MSW!$W22,"")</f>
        <v/>
      </c>
      <c r="AB20" s="691">
        <f>Industry!$W22</f>
        <v>0</v>
      </c>
      <c r="AC20" s="692">
        <f t="shared" si="0"/>
        <v>0.12554565173401749</v>
      </c>
      <c r="AD20" s="693">
        <f>Recovery_OX!R15</f>
        <v>0</v>
      </c>
      <c r="AE20" s="648"/>
      <c r="AF20" s="695">
        <f>(AC20-AD20)*(1-Recovery_OX!U15)</f>
        <v>0.12554565173401749</v>
      </c>
    </row>
    <row r="21" spans="2:32">
      <c r="B21" s="688">
        <f t="shared" si="1"/>
        <v>2004</v>
      </c>
      <c r="C21" s="689">
        <f>IF(Select2=1,Food!$K23,"")</f>
        <v>0.16504824628261533</v>
      </c>
      <c r="D21" s="690">
        <f>IF(Select2=1,Paper!$K23,"")</f>
        <v>1.2725822509806806E-2</v>
      </c>
      <c r="E21" s="681">
        <f>IF(Select2=1,Nappies!$K23,"")</f>
        <v>3.5241888542463566E-2</v>
      </c>
      <c r="F21" s="690">
        <f>IF(Select2=1,Garden!$K23,"")</f>
        <v>0</v>
      </c>
      <c r="G21" s="681">
        <f>IF(Select2=1,Wood!$K23,"")</f>
        <v>0</v>
      </c>
      <c r="H21" s="690">
        <f>IF(Select2=1,Textiles!$K23,"")</f>
        <v>3.012996848792669E-3</v>
      </c>
      <c r="I21" s="691">
        <f>Sludge!K23</f>
        <v>0</v>
      </c>
      <c r="J21" s="691" t="str">
        <f>IF(Select2=2,MSW!$K23,"")</f>
        <v/>
      </c>
      <c r="K21" s="691">
        <f>Industry!$K23</f>
        <v>0</v>
      </c>
      <c r="L21" s="692">
        <f t="shared" si="3"/>
        <v>0.21602895418367837</v>
      </c>
      <c r="M21" s="693">
        <f>Recovery_OX!C16</f>
        <v>0</v>
      </c>
      <c r="N21" s="648"/>
      <c r="O21" s="694">
        <f>(L21-M21)*(1-Recovery_OX!F16)</f>
        <v>0.21602895418367837</v>
      </c>
      <c r="P21" s="640"/>
      <c r="Q21" s="650"/>
      <c r="S21" s="688">
        <f t="shared" si="2"/>
        <v>2004</v>
      </c>
      <c r="T21" s="689">
        <f>IF(Select2=1,Food!$W23,"")</f>
        <v>0.11042478564849376</v>
      </c>
      <c r="U21" s="690">
        <f>IF(Select2=1,Paper!$W23,"")</f>
        <v>2.629302171447687E-2</v>
      </c>
      <c r="V21" s="681">
        <f>IF(Select2=1,Nappies!$W23,"")</f>
        <v>0</v>
      </c>
      <c r="W21" s="690">
        <f>IF(Select2=1,Garden!$W23,"")</f>
        <v>0</v>
      </c>
      <c r="X21" s="681">
        <f>IF(Select2=1,Wood!$W23,"")</f>
        <v>1.1582154882504161E-2</v>
      </c>
      <c r="Y21" s="690">
        <f>IF(Select2=1,Textiles!$W23,"")</f>
        <v>3.3019143548412809E-3</v>
      </c>
      <c r="Z21" s="683">
        <f>Sludge!W23</f>
        <v>0</v>
      </c>
      <c r="AA21" s="683" t="str">
        <f>IF(Select2=2,MSW!$W23,"")</f>
        <v/>
      </c>
      <c r="AB21" s="691">
        <f>Industry!$W23</f>
        <v>0</v>
      </c>
      <c r="AC21" s="692">
        <f t="shared" si="0"/>
        <v>0.15160187660031607</v>
      </c>
      <c r="AD21" s="693">
        <f>Recovery_OX!R16</f>
        <v>0</v>
      </c>
      <c r="AE21" s="648"/>
      <c r="AF21" s="695">
        <f>(AC21-AD21)*(1-Recovery_OX!U16)</f>
        <v>0.15160187660031607</v>
      </c>
    </row>
    <row r="22" spans="2:32">
      <c r="B22" s="688">
        <f t="shared" si="1"/>
        <v>2005</v>
      </c>
      <c r="C22" s="689">
        <f>IF(Select2=1,Food!$K24,"")</f>
        <v>0.18501695488902872</v>
      </c>
      <c r="D22" s="690">
        <f>IF(Select2=1,Paper!$K24,"")</f>
        <v>1.5771465130439668E-2</v>
      </c>
      <c r="E22" s="681">
        <f>IF(Select2=1,Nappies!$K24,"")</f>
        <v>4.2049192282225797E-2</v>
      </c>
      <c r="F22" s="690">
        <f>IF(Select2=1,Garden!$K24,"")</f>
        <v>0</v>
      </c>
      <c r="G22" s="681">
        <f>IF(Select2=1,Wood!$K24,"")</f>
        <v>0</v>
      </c>
      <c r="H22" s="690">
        <f>IF(Select2=1,Textiles!$K24,"")</f>
        <v>3.7340906414684537E-3</v>
      </c>
      <c r="I22" s="691">
        <f>Sludge!K24</f>
        <v>0</v>
      </c>
      <c r="J22" s="691" t="str">
        <f>IF(Select2=2,MSW!$K24,"")</f>
        <v/>
      </c>
      <c r="K22" s="691">
        <f>Industry!$K24</f>
        <v>0</v>
      </c>
      <c r="L22" s="692">
        <f t="shared" si="3"/>
        <v>0.24657170294316266</v>
      </c>
      <c r="M22" s="693">
        <f>Recovery_OX!C17</f>
        <v>0</v>
      </c>
      <c r="N22" s="648"/>
      <c r="O22" s="694">
        <f>(L22-M22)*(1-Recovery_OX!F17)</f>
        <v>0.24657170294316266</v>
      </c>
      <c r="P22" s="640"/>
      <c r="Q22" s="650"/>
      <c r="S22" s="688">
        <f t="shared" si="2"/>
        <v>2005</v>
      </c>
      <c r="T22" s="689">
        <f>IF(Select2=1,Food!$W24,"")</f>
        <v>0.12378476018445275</v>
      </c>
      <c r="U22" s="690">
        <f>IF(Select2=1,Paper!$W24,"")</f>
        <v>3.2585671757106749E-2</v>
      </c>
      <c r="V22" s="681">
        <f>IF(Select2=1,Nappies!$W24,"")</f>
        <v>0</v>
      </c>
      <c r="W22" s="690">
        <f>IF(Select2=1,Garden!$W24,"")</f>
        <v>0</v>
      </c>
      <c r="X22" s="681">
        <f>IF(Select2=1,Wood!$W24,"")</f>
        <v>1.4571008528175937E-2</v>
      </c>
      <c r="Y22" s="690">
        <f>IF(Select2=1,Textiles!$W24,"")</f>
        <v>4.0921541276366605E-3</v>
      </c>
      <c r="Z22" s="683">
        <f>Sludge!W24</f>
        <v>0</v>
      </c>
      <c r="AA22" s="683" t="str">
        <f>IF(Select2=2,MSW!$W24,"")</f>
        <v/>
      </c>
      <c r="AB22" s="691">
        <f>Industry!$W24</f>
        <v>0</v>
      </c>
      <c r="AC22" s="692">
        <f t="shared" si="0"/>
        <v>0.17503359459737211</v>
      </c>
      <c r="AD22" s="693">
        <f>Recovery_OX!R17</f>
        <v>0</v>
      </c>
      <c r="AE22" s="648"/>
      <c r="AF22" s="695">
        <f>(AC22-AD22)*(1-Recovery_OX!U17)</f>
        <v>0.17503359459737211</v>
      </c>
    </row>
    <row r="23" spans="2:32">
      <c r="B23" s="688">
        <f t="shared" si="1"/>
        <v>2006</v>
      </c>
      <c r="C23" s="689">
        <f>IF(Select2=1,Food!$K25,"")</f>
        <v>0.20375172268963662</v>
      </c>
      <c r="D23" s="690">
        <f>IF(Select2=1,Paper!$K25,"")</f>
        <v>1.889211169614164E-2</v>
      </c>
      <c r="E23" s="681">
        <f>IF(Select2=1,Nappies!$K25,"")</f>
        <v>4.867807016570895E-2</v>
      </c>
      <c r="F23" s="690">
        <f>IF(Select2=1,Garden!$K25,"")</f>
        <v>0</v>
      </c>
      <c r="G23" s="681">
        <f>IF(Select2=1,Wood!$K25,"")</f>
        <v>0</v>
      </c>
      <c r="H23" s="690">
        <f>IF(Select2=1,Textiles!$K25,"")</f>
        <v>4.4729425515442015E-3</v>
      </c>
      <c r="I23" s="691">
        <f>Sludge!K25</f>
        <v>0</v>
      </c>
      <c r="J23" s="691" t="str">
        <f>IF(Select2=2,MSW!$K25,"")</f>
        <v/>
      </c>
      <c r="K23" s="691">
        <f>Industry!$K25</f>
        <v>0</v>
      </c>
      <c r="L23" s="692">
        <f t="shared" si="3"/>
        <v>0.27579484710303137</v>
      </c>
      <c r="M23" s="693">
        <f>Recovery_OX!C18</f>
        <v>0</v>
      </c>
      <c r="N23" s="648"/>
      <c r="O23" s="694">
        <f>(L23-M23)*(1-Recovery_OX!F18)</f>
        <v>0.27579484710303137</v>
      </c>
      <c r="P23" s="640"/>
      <c r="Q23" s="650"/>
      <c r="S23" s="688">
        <f t="shared" si="2"/>
        <v>2006</v>
      </c>
      <c r="T23" s="689">
        <f>IF(Select2=1,Food!$W25,"")</f>
        <v>0.13631917218307535</v>
      </c>
      <c r="U23" s="690">
        <f>IF(Select2=1,Paper!$W25,"")</f>
        <v>3.9033288628391817E-2</v>
      </c>
      <c r="V23" s="681">
        <f>IF(Select2=1,Nappies!$W25,"")</f>
        <v>0</v>
      </c>
      <c r="W23" s="690">
        <f>IF(Select2=1,Garden!$W25,"")</f>
        <v>0</v>
      </c>
      <c r="X23" s="681">
        <f>IF(Select2=1,Wood!$W25,"")</f>
        <v>1.7700661456322923E-2</v>
      </c>
      <c r="Y23" s="690">
        <f>IF(Select2=1,Textiles!$W25,"")</f>
        <v>4.9018548510073433E-3</v>
      </c>
      <c r="Z23" s="683">
        <f>Sludge!W25</f>
        <v>0</v>
      </c>
      <c r="AA23" s="683" t="str">
        <f>IF(Select2=2,MSW!$W25,"")</f>
        <v/>
      </c>
      <c r="AB23" s="691">
        <f>Industry!$W25</f>
        <v>0</v>
      </c>
      <c r="AC23" s="692">
        <f t="shared" si="0"/>
        <v>0.19795497711879742</v>
      </c>
      <c r="AD23" s="693">
        <f>Recovery_OX!R18</f>
        <v>0</v>
      </c>
      <c r="AE23" s="648"/>
      <c r="AF23" s="695">
        <f>(AC23-AD23)*(1-Recovery_OX!U18)</f>
        <v>0.19795497711879742</v>
      </c>
    </row>
    <row r="24" spans="2:32">
      <c r="B24" s="688">
        <f t="shared" si="1"/>
        <v>2007</v>
      </c>
      <c r="C24" s="689">
        <f>IF(Select2=1,Food!$K26,"")</f>
        <v>0.21955471336362212</v>
      </c>
      <c r="D24" s="690">
        <f>IF(Select2=1,Paper!$K26,"")</f>
        <v>2.1972171124301332E-2</v>
      </c>
      <c r="E24" s="681">
        <f>IF(Select2=1,Nappies!$K26,"")</f>
        <v>5.480790970572081E-2</v>
      </c>
      <c r="F24" s="690">
        <f>IF(Select2=1,Garden!$K26,"")</f>
        <v>0</v>
      </c>
      <c r="G24" s="681">
        <f>IF(Select2=1,Wood!$K26,"")</f>
        <v>0</v>
      </c>
      <c r="H24" s="690">
        <f>IF(Select2=1,Textiles!$K26,"")</f>
        <v>5.2021849517103012E-3</v>
      </c>
      <c r="I24" s="691">
        <f>Sludge!K26</f>
        <v>0</v>
      </c>
      <c r="J24" s="691" t="str">
        <f>IF(Select2=2,MSW!$K26,"")</f>
        <v/>
      </c>
      <c r="K24" s="691">
        <f>Industry!$K26</f>
        <v>0</v>
      </c>
      <c r="L24" s="692">
        <f t="shared" si="3"/>
        <v>0.3015369791453546</v>
      </c>
      <c r="M24" s="693">
        <f>Recovery_OX!C19</f>
        <v>0</v>
      </c>
      <c r="N24" s="648"/>
      <c r="O24" s="694">
        <f>(L24-M24)*(1-Recovery_OX!F19)</f>
        <v>0.3015369791453546</v>
      </c>
      <c r="P24" s="640"/>
      <c r="Q24" s="650"/>
      <c r="S24" s="688">
        <f t="shared" si="2"/>
        <v>2007</v>
      </c>
      <c r="T24" s="689">
        <f>IF(Select2=1,Food!$W26,"")</f>
        <v>0.14689209190251257</v>
      </c>
      <c r="U24" s="690">
        <f>IF(Select2=1,Paper!$W26,"")</f>
        <v>4.5397047777482082E-2</v>
      </c>
      <c r="V24" s="681">
        <f>IF(Select2=1,Nappies!$W26,"")</f>
        <v>0</v>
      </c>
      <c r="W24" s="690">
        <f>IF(Select2=1,Garden!$W26,"")</f>
        <v>0</v>
      </c>
      <c r="X24" s="681">
        <f>IF(Select2=1,Wood!$W26,"")</f>
        <v>2.0870429234394215E-2</v>
      </c>
      <c r="Y24" s="690">
        <f>IF(Select2=1,Textiles!$W26,"")</f>
        <v>5.7010246046140288E-3</v>
      </c>
      <c r="Z24" s="683">
        <f>Sludge!W26</f>
        <v>0</v>
      </c>
      <c r="AA24" s="683" t="str">
        <f>IF(Select2=2,MSW!$W26,"")</f>
        <v/>
      </c>
      <c r="AB24" s="691">
        <f>Industry!$W26</f>
        <v>0</v>
      </c>
      <c r="AC24" s="692">
        <f t="shared" si="0"/>
        <v>0.21886059351900289</v>
      </c>
      <c r="AD24" s="693">
        <f>Recovery_OX!R19</f>
        <v>0</v>
      </c>
      <c r="AE24" s="648"/>
      <c r="AF24" s="695">
        <f>(AC24-AD24)*(1-Recovery_OX!U19)</f>
        <v>0.21886059351900289</v>
      </c>
    </row>
    <row r="25" spans="2:32">
      <c r="B25" s="688">
        <f t="shared" si="1"/>
        <v>2008</v>
      </c>
      <c r="C25" s="689">
        <f>IF(Select2=1,Food!$K27,"")</f>
        <v>0.23348708352083347</v>
      </c>
      <c r="D25" s="690">
        <f>IF(Select2=1,Paper!$K27,"")</f>
        <v>2.5019355498659371E-2</v>
      </c>
      <c r="E25" s="681">
        <f>IF(Select2=1,Nappies!$K27,"")</f>
        <v>6.0532394326990951E-2</v>
      </c>
      <c r="F25" s="690">
        <f>IF(Select2=1,Garden!$K27,"")</f>
        <v>0</v>
      </c>
      <c r="G25" s="681">
        <f>IF(Select2=1,Wood!$K27,"")</f>
        <v>0</v>
      </c>
      <c r="H25" s="690">
        <f>IF(Select2=1,Textiles!$K27,"")</f>
        <v>5.9236437737672509E-3</v>
      </c>
      <c r="I25" s="691">
        <f>Sludge!K27</f>
        <v>0</v>
      </c>
      <c r="J25" s="691" t="str">
        <f>IF(Select2=2,MSW!$K27,"")</f>
        <v/>
      </c>
      <c r="K25" s="691">
        <f>Industry!$K27</f>
        <v>0</v>
      </c>
      <c r="L25" s="692">
        <f t="shared" si="3"/>
        <v>0.324962477120251</v>
      </c>
      <c r="M25" s="693">
        <f>Recovery_OX!C20</f>
        <v>0</v>
      </c>
      <c r="N25" s="648"/>
      <c r="O25" s="694">
        <f>(L25-M25)*(1-Recovery_OX!F20)</f>
        <v>0.324962477120251</v>
      </c>
      <c r="P25" s="640"/>
      <c r="Q25" s="650"/>
      <c r="S25" s="688">
        <f t="shared" si="2"/>
        <v>2008</v>
      </c>
      <c r="T25" s="689">
        <f>IF(Select2=1,Food!$W27,"")</f>
        <v>0.15621348139217225</v>
      </c>
      <c r="U25" s="690">
        <f>IF(Select2=1,Paper!$W27,"")</f>
        <v>5.1692883261692898E-2</v>
      </c>
      <c r="V25" s="681">
        <f>IF(Select2=1,Nappies!$W27,"")</f>
        <v>0</v>
      </c>
      <c r="W25" s="690">
        <f>IF(Select2=1,Garden!$W27,"")</f>
        <v>0</v>
      </c>
      <c r="X25" s="681">
        <f>IF(Select2=1,Wood!$W27,"")</f>
        <v>2.408324043225803E-2</v>
      </c>
      <c r="Y25" s="690">
        <f>IF(Select2=1,Textiles!$W27,"")</f>
        <v>6.4916644096079459E-3</v>
      </c>
      <c r="Z25" s="683">
        <f>Sludge!W27</f>
        <v>0</v>
      </c>
      <c r="AA25" s="683" t="str">
        <f>IF(Select2=2,MSW!$W27,"")</f>
        <v/>
      </c>
      <c r="AB25" s="691">
        <f>Industry!$W27</f>
        <v>0</v>
      </c>
      <c r="AC25" s="692">
        <f t="shared" si="0"/>
        <v>0.23848126949573112</v>
      </c>
      <c r="AD25" s="693">
        <f>Recovery_OX!R20</f>
        <v>0</v>
      </c>
      <c r="AE25" s="648"/>
      <c r="AF25" s="695">
        <f>(AC25-AD25)*(1-Recovery_OX!U20)</f>
        <v>0.23848126949573112</v>
      </c>
    </row>
    <row r="26" spans="2:32">
      <c r="B26" s="688">
        <f t="shared" si="1"/>
        <v>2009</v>
      </c>
      <c r="C26" s="689">
        <f>IF(Select2=1,Food!$K28,"")</f>
        <v>0.2462532767032361</v>
      </c>
      <c r="D26" s="690">
        <f>IF(Select2=1,Paper!$K28,"")</f>
        <v>2.8040494703622187E-2</v>
      </c>
      <c r="E26" s="681">
        <f>IF(Select2=1,Nappies!$K28,"")</f>
        <v>6.5929423672051291E-2</v>
      </c>
      <c r="F26" s="690">
        <f>IF(Select2=1,Garden!$K28,"")</f>
        <v>0</v>
      </c>
      <c r="G26" s="681">
        <f>IF(Select2=1,Wood!$K28,"")</f>
        <v>0</v>
      </c>
      <c r="H26" s="690">
        <f>IF(Select2=1,Textiles!$K28,"")</f>
        <v>6.6389360778444312E-3</v>
      </c>
      <c r="I26" s="691">
        <f>Sludge!K28</f>
        <v>0</v>
      </c>
      <c r="J26" s="691" t="str">
        <f>IF(Select2=2,MSW!$K28,"")</f>
        <v/>
      </c>
      <c r="K26" s="691">
        <f>Industry!$K28</f>
        <v>0</v>
      </c>
      <c r="L26" s="692">
        <f t="shared" si="3"/>
        <v>0.34686213115675402</v>
      </c>
      <c r="M26" s="693">
        <f>Recovery_OX!C21</f>
        <v>0</v>
      </c>
      <c r="N26" s="648"/>
      <c r="O26" s="694">
        <f>(L26-M26)*(1-Recovery_OX!F21)</f>
        <v>0.34686213115675402</v>
      </c>
      <c r="P26" s="640"/>
      <c r="Q26" s="650"/>
      <c r="S26" s="688">
        <f t="shared" si="2"/>
        <v>2009</v>
      </c>
      <c r="T26" s="689">
        <f>IF(Select2=1,Food!$W28,"")</f>
        <v>0.16475464543035423</v>
      </c>
      <c r="U26" s="690">
        <f>IF(Select2=1,Paper!$W28,"")</f>
        <v>5.7934906412442519E-2</v>
      </c>
      <c r="V26" s="681">
        <f>IF(Select2=1,Nappies!$W28,"")</f>
        <v>0</v>
      </c>
      <c r="W26" s="690">
        <f>IF(Select2=1,Garden!$W28,"")</f>
        <v>0</v>
      </c>
      <c r="X26" s="681">
        <f>IF(Select2=1,Wood!$W28,"")</f>
        <v>2.7341609999295552E-2</v>
      </c>
      <c r="Y26" s="690">
        <f>IF(Select2=1,Textiles!$W28,"")</f>
        <v>7.2755463866788269E-3</v>
      </c>
      <c r="Z26" s="683">
        <f>Sludge!W28</f>
        <v>0</v>
      </c>
      <c r="AA26" s="683" t="str">
        <f>IF(Select2=2,MSW!$W28,"")</f>
        <v/>
      </c>
      <c r="AB26" s="691">
        <f>Industry!$W28</f>
        <v>0</v>
      </c>
      <c r="AC26" s="692">
        <f t="shared" si="0"/>
        <v>0.25730670822877111</v>
      </c>
      <c r="AD26" s="693">
        <f>Recovery_OX!R21</f>
        <v>0</v>
      </c>
      <c r="AE26" s="648"/>
      <c r="AF26" s="695">
        <f>(AC26-AD26)*(1-Recovery_OX!U21)</f>
        <v>0.25730670822877111</v>
      </c>
    </row>
    <row r="27" spans="2:32">
      <c r="B27" s="688">
        <f t="shared" si="1"/>
        <v>2010</v>
      </c>
      <c r="C27" s="689">
        <f>IF(Select2=1,Food!$K29,"")</f>
        <v>0.25831439622157304</v>
      </c>
      <c r="D27" s="690">
        <f>IF(Select2=1,Paper!$K29,"")</f>
        <v>3.1041374026504809E-2</v>
      </c>
      <c r="E27" s="681">
        <f>IF(Select2=1,Nappies!$K29,"")</f>
        <v>7.1062880997529651E-2</v>
      </c>
      <c r="F27" s="690">
        <f>IF(Select2=1,Garden!$K29,"")</f>
        <v>0</v>
      </c>
      <c r="G27" s="681">
        <f>IF(Select2=1,Wood!$K29,"")</f>
        <v>0</v>
      </c>
      <c r="H27" s="690">
        <f>IF(Select2=1,Textiles!$K29,"")</f>
        <v>7.3494316027100911E-3</v>
      </c>
      <c r="I27" s="691">
        <f>Sludge!K29</f>
        <v>0</v>
      </c>
      <c r="J27" s="691" t="str">
        <f>IF(Select2=2,MSW!$K29,"")</f>
        <v/>
      </c>
      <c r="K27" s="691">
        <f>Industry!$K29</f>
        <v>0</v>
      </c>
      <c r="L27" s="692">
        <f t="shared" si="3"/>
        <v>0.36776808284831758</v>
      </c>
      <c r="M27" s="693">
        <f>Recovery_OX!C22</f>
        <v>0</v>
      </c>
      <c r="N27" s="648"/>
      <c r="O27" s="694">
        <f>(L27-M27)*(1-Recovery_OX!F22)</f>
        <v>0.36776808284831758</v>
      </c>
      <c r="P27" s="640"/>
      <c r="Q27" s="650"/>
      <c r="S27" s="688">
        <f t="shared" si="2"/>
        <v>2010</v>
      </c>
      <c r="T27" s="689">
        <f>IF(Select2=1,Food!$W29,"")</f>
        <v>0.17282408310988384</v>
      </c>
      <c r="U27" s="690">
        <f>IF(Select2=1,Paper!$W29,"")</f>
        <v>6.4135070302695885E-2</v>
      </c>
      <c r="V27" s="681">
        <f>IF(Select2=1,Nappies!$W29,"")</f>
        <v>0</v>
      </c>
      <c r="W27" s="690">
        <f>IF(Select2=1,Garden!$W29,"")</f>
        <v>0</v>
      </c>
      <c r="X27" s="681">
        <f>IF(Select2=1,Wood!$W29,"")</f>
        <v>3.0647460940831338E-2</v>
      </c>
      <c r="Y27" s="690">
        <f>IF(Select2=1,Textiles!$W29,"")</f>
        <v>8.0541716194083186E-3</v>
      </c>
      <c r="Z27" s="683">
        <f>Sludge!W29</f>
        <v>0</v>
      </c>
      <c r="AA27" s="683" t="str">
        <f>IF(Select2=2,MSW!$W29,"")</f>
        <v/>
      </c>
      <c r="AB27" s="691">
        <f>Industry!$W29</f>
        <v>0</v>
      </c>
      <c r="AC27" s="692">
        <f t="shared" si="0"/>
        <v>0.27566078597281934</v>
      </c>
      <c r="AD27" s="693">
        <f>Recovery_OX!R22</f>
        <v>0</v>
      </c>
      <c r="AE27" s="648"/>
      <c r="AF27" s="695">
        <f>(AC27-AD27)*(1-Recovery_OX!U22)</f>
        <v>0.27566078597281934</v>
      </c>
    </row>
    <row r="28" spans="2:32">
      <c r="B28" s="688">
        <f t="shared" si="1"/>
        <v>2011</v>
      </c>
      <c r="C28" s="689">
        <f>IF(Select2=1,Food!$K30,"")</f>
        <v>0.26780353424900755</v>
      </c>
      <c r="D28" s="690">
        <f>IF(Select2=1,Paper!$K30,"")</f>
        <v>3.391312035800588E-2</v>
      </c>
      <c r="E28" s="681">
        <f>IF(Select2=1,Nappies!$K30,"")</f>
        <v>7.5626340362528841E-2</v>
      </c>
      <c r="F28" s="690">
        <f>IF(Select2=1,Garden!$K30,"")</f>
        <v>0</v>
      </c>
      <c r="G28" s="681">
        <f>IF(Select2=1,Wood!$K30,"")</f>
        <v>0</v>
      </c>
      <c r="H28" s="690">
        <f>IF(Select2=1,Textiles!$K30,"")</f>
        <v>8.0293532848392246E-3</v>
      </c>
      <c r="I28" s="691">
        <f>Sludge!K30</f>
        <v>0</v>
      </c>
      <c r="J28" s="691" t="str">
        <f>IF(Select2=2,MSW!$K30,"")</f>
        <v/>
      </c>
      <c r="K28" s="691">
        <f>Industry!$K30</f>
        <v>0</v>
      </c>
      <c r="L28" s="692">
        <f t="shared" si="3"/>
        <v>0.38537234825438149</v>
      </c>
      <c r="M28" s="693">
        <f>Recovery_OX!C23</f>
        <v>0</v>
      </c>
      <c r="N28" s="648"/>
      <c r="O28" s="694">
        <f>(L28-M28)*(1-Recovery_OX!F23)</f>
        <v>0.38537234825438149</v>
      </c>
      <c r="P28" s="640"/>
      <c r="Q28" s="650"/>
      <c r="S28" s="688">
        <f t="shared" si="2"/>
        <v>2011</v>
      </c>
      <c r="T28" s="689">
        <f>IF(Select2=1,Food!$W30,"")</f>
        <v>0.17917274815946088</v>
      </c>
      <c r="U28" s="690">
        <f>IF(Select2=1,Paper!$W30,"")</f>
        <v>7.0068430491747685E-2</v>
      </c>
      <c r="V28" s="681">
        <f>IF(Select2=1,Nappies!$W30,"")</f>
        <v>0</v>
      </c>
      <c r="W28" s="690">
        <f>IF(Select2=1,Garden!$W30,"")</f>
        <v>0</v>
      </c>
      <c r="X28" s="681">
        <f>IF(Select2=1,Wood!$W30,"")</f>
        <v>3.3903559142257705E-2</v>
      </c>
      <c r="Y28" s="690">
        <f>IF(Select2=1,Textiles!$W30,"")</f>
        <v>8.7992912710566848E-3</v>
      </c>
      <c r="Z28" s="683">
        <f>Sludge!W30</f>
        <v>0</v>
      </c>
      <c r="AA28" s="683" t="str">
        <f>IF(Select2=2,MSW!$W30,"")</f>
        <v/>
      </c>
      <c r="AB28" s="691">
        <f>Industry!$W30</f>
        <v>0</v>
      </c>
      <c r="AC28" s="692">
        <f t="shared" si="0"/>
        <v>0.29194402906452294</v>
      </c>
      <c r="AD28" s="693">
        <f>Recovery_OX!R23</f>
        <v>0</v>
      </c>
      <c r="AE28" s="648"/>
      <c r="AF28" s="695">
        <f>(AC28-AD28)*(1-Recovery_OX!U23)</f>
        <v>0.29194402906452294</v>
      </c>
    </row>
    <row r="29" spans="2:32">
      <c r="B29" s="688">
        <f t="shared" si="1"/>
        <v>2012</v>
      </c>
      <c r="C29" s="689">
        <f>IF(Select2=1,Food!$K31,"")</f>
        <v>0.26887847232515971</v>
      </c>
      <c r="D29" s="690">
        <f>IF(Select2=1,Paper!$K31,"")</f>
        <v>3.6313146325878322E-2</v>
      </c>
      <c r="E29" s="681">
        <f>IF(Select2=1,Nappies!$K31,"")</f>
        <v>7.8601093624075302E-2</v>
      </c>
      <c r="F29" s="690">
        <f>IF(Select2=1,Garden!$K31,"")</f>
        <v>0</v>
      </c>
      <c r="G29" s="681">
        <f>IF(Select2=1,Wood!$K31,"")</f>
        <v>0</v>
      </c>
      <c r="H29" s="690">
        <f>IF(Select2=1,Textiles!$K31,"")</f>
        <v>8.5975893004403905E-3</v>
      </c>
      <c r="I29" s="691">
        <f>Sludge!K31</f>
        <v>0</v>
      </c>
      <c r="J29" s="691" t="str">
        <f>IF(Select2=2,MSW!$K31,"")</f>
        <v/>
      </c>
      <c r="K29" s="691">
        <f>Industry!$K31</f>
        <v>0</v>
      </c>
      <c r="L29" s="692">
        <f>SUM(C29:K29)</f>
        <v>0.39239030157555377</v>
      </c>
      <c r="M29" s="693">
        <f>Recovery_OX!C24</f>
        <v>0</v>
      </c>
      <c r="N29" s="648"/>
      <c r="O29" s="694">
        <f>(L29-M29)*(1-Recovery_OX!F24)</f>
        <v>0.39239030157555377</v>
      </c>
      <c r="P29" s="640"/>
      <c r="Q29" s="650"/>
      <c r="S29" s="688">
        <f t="shared" si="2"/>
        <v>2012</v>
      </c>
      <c r="T29" s="689">
        <f>IF(Select2=1,Food!$W31,"")</f>
        <v>0.17989193063681519</v>
      </c>
      <c r="U29" s="690">
        <f>IF(Select2=1,Paper!$W31,"")</f>
        <v>7.5027161830327108E-2</v>
      </c>
      <c r="V29" s="681">
        <f>IF(Select2=1,Nappies!$W31,"")</f>
        <v>0</v>
      </c>
      <c r="W29" s="690">
        <f>IF(Select2=1,Garden!$W31,"")</f>
        <v>0</v>
      </c>
      <c r="X29" s="681">
        <f>IF(Select2=1,Wood!$W31,"")</f>
        <v>3.6806958166181555E-2</v>
      </c>
      <c r="Y29" s="690">
        <f>IF(Select2=1,Textiles!$W31,"")</f>
        <v>9.4220156717154963E-3</v>
      </c>
      <c r="Z29" s="683">
        <f>Sludge!W31</f>
        <v>0</v>
      </c>
      <c r="AA29" s="683" t="str">
        <f>IF(Select2=2,MSW!$W31,"")</f>
        <v/>
      </c>
      <c r="AB29" s="691">
        <f>Industry!$W31</f>
        <v>0</v>
      </c>
      <c r="AC29" s="692">
        <f t="shared" si="0"/>
        <v>0.30114806630503937</v>
      </c>
      <c r="AD29" s="693">
        <f>Recovery_OX!R24</f>
        <v>0</v>
      </c>
      <c r="AE29" s="648"/>
      <c r="AF29" s="695">
        <f>(AC29-AD29)*(1-Recovery_OX!U24)</f>
        <v>0.30114806630503937</v>
      </c>
    </row>
    <row r="30" spans="2:32">
      <c r="B30" s="688">
        <f t="shared" si="1"/>
        <v>2013</v>
      </c>
      <c r="C30" s="689">
        <f>IF(Select2=1,Food!$K32,"")</f>
        <v>0.27228496341819641</v>
      </c>
      <c r="D30" s="690">
        <f>IF(Select2=1,Paper!$K32,"")</f>
        <v>3.8691961496055194E-2</v>
      </c>
      <c r="E30" s="681">
        <f>IF(Select2=1,Nappies!$K32,"")</f>
        <v>8.155555167851905E-2</v>
      </c>
      <c r="F30" s="690">
        <f>IF(Select2=1,Garden!$K32,"")</f>
        <v>0</v>
      </c>
      <c r="G30" s="681">
        <f>IF(Select2=1,Wood!$K32,"")</f>
        <v>0</v>
      </c>
      <c r="H30" s="690">
        <f>IF(Select2=1,Textiles!$K32,"")</f>
        <v>9.1608033957241951E-3</v>
      </c>
      <c r="I30" s="691">
        <f>Sludge!K32</f>
        <v>0</v>
      </c>
      <c r="J30" s="691" t="str">
        <f>IF(Select2=2,MSW!$K32,"")</f>
        <v/>
      </c>
      <c r="K30" s="691">
        <f>Industry!$K32</f>
        <v>0</v>
      </c>
      <c r="L30" s="692">
        <f t="shared" si="3"/>
        <v>0.40169327998849486</v>
      </c>
      <c r="M30" s="693">
        <f>Recovery_OX!C25</f>
        <v>0</v>
      </c>
      <c r="N30" s="648"/>
      <c r="O30" s="694">
        <f>(L30-M30)*(1-Recovery_OX!F25)</f>
        <v>0.40169327998849486</v>
      </c>
      <c r="P30" s="640"/>
      <c r="Q30" s="650"/>
      <c r="S30" s="688">
        <f t="shared" si="2"/>
        <v>2013</v>
      </c>
      <c r="T30" s="689">
        <f>IF(Select2=1,Food!$W32,"")</f>
        <v>0.18217102815668809</v>
      </c>
      <c r="U30" s="690">
        <f>IF(Select2=1,Paper!$W32,"")</f>
        <v>7.9942069206725613E-2</v>
      </c>
      <c r="V30" s="681">
        <f>IF(Select2=1,Nappies!$W32,"")</f>
        <v>0</v>
      </c>
      <c r="W30" s="690">
        <f>IF(Select2=1,Garden!$W32,"")</f>
        <v>0</v>
      </c>
      <c r="X30" s="681">
        <f>IF(Select2=1,Wood!$W32,"")</f>
        <v>3.9732808920635097E-2</v>
      </c>
      <c r="Y30" s="690">
        <f>IF(Select2=1,Textiles!$W32,"")</f>
        <v>1.0039236598053914E-2</v>
      </c>
      <c r="Z30" s="683">
        <f>Sludge!W32</f>
        <v>0</v>
      </c>
      <c r="AA30" s="683" t="str">
        <f>IF(Select2=2,MSW!$W32,"")</f>
        <v/>
      </c>
      <c r="AB30" s="691">
        <f>Industry!$W32</f>
        <v>0</v>
      </c>
      <c r="AC30" s="692">
        <f t="shared" si="0"/>
        <v>0.31188514288210267</v>
      </c>
      <c r="AD30" s="693">
        <f>Recovery_OX!R25</f>
        <v>0</v>
      </c>
      <c r="AE30" s="648"/>
      <c r="AF30" s="695">
        <f>(AC30-AD30)*(1-Recovery_OX!U25)</f>
        <v>0.31188514288210267</v>
      </c>
    </row>
    <row r="31" spans="2:32">
      <c r="B31" s="688">
        <f t="shared" si="1"/>
        <v>2014</v>
      </c>
      <c r="C31" s="689">
        <f>IF(Select2=1,Food!$K33,"")</f>
        <v>0.27736100999509622</v>
      </c>
      <c r="D31" s="690">
        <f>IF(Select2=1,Paper!$K33,"")</f>
        <v>4.1056601310262175E-2</v>
      </c>
      <c r="E31" s="681">
        <f>IF(Select2=1,Nappies!$K33,"")</f>
        <v>8.4510550613789329E-2</v>
      </c>
      <c r="F31" s="690">
        <f>IF(Select2=1,Garden!$K33,"")</f>
        <v>0</v>
      </c>
      <c r="G31" s="681">
        <f>IF(Select2=1,Wood!$K33,"")</f>
        <v>0</v>
      </c>
      <c r="H31" s="690">
        <f>IF(Select2=1,Textiles!$K33,"")</f>
        <v>9.7206612990734589E-3</v>
      </c>
      <c r="I31" s="691">
        <f>Sludge!K33</f>
        <v>0</v>
      </c>
      <c r="J31" s="691" t="str">
        <f>IF(Select2=2,MSW!$K33,"")</f>
        <v/>
      </c>
      <c r="K31" s="691">
        <f>Industry!$K33</f>
        <v>0</v>
      </c>
      <c r="L31" s="692">
        <f t="shared" si="3"/>
        <v>0.41264882321822116</v>
      </c>
      <c r="M31" s="693">
        <f>Recovery_OX!C26</f>
        <v>0</v>
      </c>
      <c r="N31" s="648"/>
      <c r="O31" s="694">
        <f>(L31-M31)*(1-Recovery_OX!F26)</f>
        <v>0.41264882321822116</v>
      </c>
      <c r="P31" s="640"/>
      <c r="Q31" s="650"/>
      <c r="S31" s="688">
        <f t="shared" si="2"/>
        <v>2014</v>
      </c>
      <c r="T31" s="689">
        <f>IF(Select2=1,Food!$W33,"")</f>
        <v>0.18556713425184848</v>
      </c>
      <c r="U31" s="690">
        <f>IF(Select2=1,Paper!$W33,"")</f>
        <v>8.4827688657566472E-2</v>
      </c>
      <c r="V31" s="681">
        <f>IF(Select2=1,Nappies!$W33,"")</f>
        <v>0</v>
      </c>
      <c r="W31" s="690">
        <f>IF(Select2=1,Garden!$W33,"")</f>
        <v>0</v>
      </c>
      <c r="X31" s="681">
        <f>IF(Select2=1,Wood!$W33,"")</f>
        <v>4.2685196695880286E-2</v>
      </c>
      <c r="Y31" s="690">
        <f>IF(Select2=1,Textiles!$W33,"")</f>
        <v>1.0652779505833926E-2</v>
      </c>
      <c r="Z31" s="683">
        <f>Sludge!W33</f>
        <v>0</v>
      </c>
      <c r="AA31" s="683" t="str">
        <f>IF(Select2=2,MSW!$W33,"")</f>
        <v/>
      </c>
      <c r="AB31" s="691">
        <f>Industry!$W33</f>
        <v>0</v>
      </c>
      <c r="AC31" s="692">
        <f t="shared" si="0"/>
        <v>0.32373279911112918</v>
      </c>
      <c r="AD31" s="693">
        <f>Recovery_OX!R26</f>
        <v>0</v>
      </c>
      <c r="AE31" s="648"/>
      <c r="AF31" s="695">
        <f>(AC31-AD31)*(1-Recovery_OX!U26)</f>
        <v>0.32373279911112918</v>
      </c>
    </row>
    <row r="32" spans="2:32">
      <c r="B32" s="688">
        <f t="shared" si="1"/>
        <v>2015</v>
      </c>
      <c r="C32" s="689">
        <f>IF(Select2=1,Food!$K34,"")</f>
        <v>0.28356724434854486</v>
      </c>
      <c r="D32" s="690">
        <f>IF(Select2=1,Paper!$K34,"")</f>
        <v>4.3408604441683526E-2</v>
      </c>
      <c r="E32" s="681">
        <f>IF(Select2=1,Nappies!$K34,"")</f>
        <v>8.7467835845773514E-2</v>
      </c>
      <c r="F32" s="690">
        <f>IF(Select2=1,Garden!$K34,"")</f>
        <v>0</v>
      </c>
      <c r="G32" s="681">
        <f>IF(Select2=1,Wood!$K34,"")</f>
        <v>0</v>
      </c>
      <c r="H32" s="690">
        <f>IF(Select2=1,Textiles!$K34,"")</f>
        <v>1.0277527310512952E-2</v>
      </c>
      <c r="I32" s="691">
        <f>Sludge!K34</f>
        <v>0</v>
      </c>
      <c r="J32" s="691" t="str">
        <f>IF(Select2=2,MSW!$K34,"")</f>
        <v/>
      </c>
      <c r="K32" s="691">
        <f>Industry!$K34</f>
        <v>0</v>
      </c>
      <c r="L32" s="692">
        <f t="shared" si="3"/>
        <v>0.42472121194651485</v>
      </c>
      <c r="M32" s="693">
        <f>Recovery_OX!C27</f>
        <v>0</v>
      </c>
      <c r="N32" s="648"/>
      <c r="O32" s="694">
        <f>(L32-M32)*(1-Recovery_OX!F27)</f>
        <v>0.42472121194651485</v>
      </c>
      <c r="P32" s="640"/>
      <c r="Q32" s="650"/>
      <c r="S32" s="688">
        <f t="shared" si="2"/>
        <v>2015</v>
      </c>
      <c r="T32" s="689">
        <f>IF(Select2=1,Food!$W34,"")</f>
        <v>0.18971938738751884</v>
      </c>
      <c r="U32" s="690">
        <f>IF(Select2=1,Paper!$W34,"")</f>
        <v>8.968719925967672E-2</v>
      </c>
      <c r="V32" s="681">
        <f>IF(Select2=1,Nappies!$W34,"")</f>
        <v>0</v>
      </c>
      <c r="W32" s="690">
        <f>IF(Select2=1,Garden!$W34,"")</f>
        <v>0</v>
      </c>
      <c r="X32" s="681">
        <f>IF(Select2=1,Wood!$W34,"")</f>
        <v>4.5663712017486008E-2</v>
      </c>
      <c r="Y32" s="690">
        <f>IF(Select2=1,Textiles!$W34,"")</f>
        <v>1.1263043627959397E-2</v>
      </c>
      <c r="Z32" s="683">
        <f>Sludge!W34</f>
        <v>0</v>
      </c>
      <c r="AA32" s="683" t="str">
        <f>IF(Select2=2,MSW!$W34,"")</f>
        <v/>
      </c>
      <c r="AB32" s="691">
        <f>Industry!$W34</f>
        <v>0</v>
      </c>
      <c r="AC32" s="692">
        <f t="shared" si="0"/>
        <v>0.33633334229264089</v>
      </c>
      <c r="AD32" s="693">
        <f>Recovery_OX!R27</f>
        <v>0</v>
      </c>
      <c r="AE32" s="648"/>
      <c r="AF32" s="695">
        <f>(AC32-AD32)*(1-Recovery_OX!U27)</f>
        <v>0.33633334229264089</v>
      </c>
    </row>
    <row r="33" spans="2:32">
      <c r="B33" s="688">
        <f t="shared" si="1"/>
        <v>2016</v>
      </c>
      <c r="C33" s="689">
        <f>IF(Select2=1,Food!$K35,"")</f>
        <v>0.29045178539056371</v>
      </c>
      <c r="D33" s="690">
        <f>IF(Select2=1,Paper!$K35,"")</f>
        <v>4.5744661960341479E-2</v>
      </c>
      <c r="E33" s="681">
        <f>IF(Select2=1,Nappies!$K35,"")</f>
        <v>9.0413921867270958E-2</v>
      </c>
      <c r="F33" s="690">
        <f>IF(Select2=1,Garden!$K35,"")</f>
        <v>0</v>
      </c>
      <c r="G33" s="681">
        <f>IF(Select2=1,Wood!$K35,"")</f>
        <v>0</v>
      </c>
      <c r="H33" s="690">
        <f>IF(Select2=1,Textiles!$K35,"")</f>
        <v>1.083061799969165E-2</v>
      </c>
      <c r="I33" s="691">
        <f>Sludge!K35</f>
        <v>0</v>
      </c>
      <c r="J33" s="691" t="str">
        <f>IF(Select2=2,MSW!$K35,"")</f>
        <v/>
      </c>
      <c r="K33" s="691">
        <f>Industry!$K35</f>
        <v>0</v>
      </c>
      <c r="L33" s="692">
        <f t="shared" si="3"/>
        <v>0.43744098721786784</v>
      </c>
      <c r="M33" s="693">
        <f>Recovery_OX!C28</f>
        <v>0</v>
      </c>
      <c r="N33" s="648"/>
      <c r="O33" s="694">
        <f>(L33-M33)*(1-Recovery_OX!F28)</f>
        <v>0.43744098721786784</v>
      </c>
      <c r="P33" s="640"/>
      <c r="Q33" s="650"/>
      <c r="S33" s="688">
        <f t="shared" si="2"/>
        <v>2016</v>
      </c>
      <c r="T33" s="689">
        <f>IF(Select2=1,Food!$W35,"")</f>
        <v>0.19432545855746908</v>
      </c>
      <c r="U33" s="690">
        <f>IF(Select2=1,Paper!$W35,"")</f>
        <v>9.4513764380870835E-2</v>
      </c>
      <c r="V33" s="681">
        <f>IF(Select2=1,Nappies!$W35,"")</f>
        <v>0</v>
      </c>
      <c r="W33" s="690">
        <f>IF(Select2=1,Garden!$W35,"")</f>
        <v>0</v>
      </c>
      <c r="X33" s="681">
        <f>IF(Select2=1,Wood!$W35,"")</f>
        <v>4.8663845929231397E-2</v>
      </c>
      <c r="Y33" s="690">
        <f>IF(Select2=1,Textiles!$W35,"")</f>
        <v>1.1869170410620983E-2</v>
      </c>
      <c r="Z33" s="683">
        <f>Sludge!W35</f>
        <v>0</v>
      </c>
      <c r="AA33" s="683" t="str">
        <f>IF(Select2=2,MSW!$W35,"")</f>
        <v/>
      </c>
      <c r="AB33" s="691">
        <f>Industry!$W35</f>
        <v>0</v>
      </c>
      <c r="AC33" s="692">
        <f t="shared" si="0"/>
        <v>0.34937223927819228</v>
      </c>
      <c r="AD33" s="693">
        <f>Recovery_OX!R28</f>
        <v>0</v>
      </c>
      <c r="AE33" s="648"/>
      <c r="AF33" s="695">
        <f>(AC33-AD33)*(1-Recovery_OX!U28)</f>
        <v>0.34937223927819228</v>
      </c>
    </row>
    <row r="34" spans="2:32">
      <c r="B34" s="688">
        <f t="shared" si="1"/>
        <v>2017</v>
      </c>
      <c r="C34" s="689">
        <f>IF(Select2=1,Food!$K36,"")</f>
        <v>0.29791833882732921</v>
      </c>
      <c r="D34" s="690">
        <f>IF(Select2=1,Paper!$K36,"")</f>
        <v>4.8072538316537218E-2</v>
      </c>
      <c r="E34" s="681">
        <f>IF(Select2=1,Nappies!$K36,"")</f>
        <v>9.3371643998755027E-2</v>
      </c>
      <c r="F34" s="690">
        <f>IF(Select2=1,Garden!$K36,"")</f>
        <v>0</v>
      </c>
      <c r="G34" s="681">
        <f>IF(Select2=1,Wood!$K36,"")</f>
        <v>0</v>
      </c>
      <c r="H34" s="690">
        <f>IF(Select2=1,Textiles!$K36,"")</f>
        <v>1.138177169684495E-2</v>
      </c>
      <c r="I34" s="691">
        <f>Sludge!K36</f>
        <v>0</v>
      </c>
      <c r="J34" s="691" t="str">
        <f>IF(Select2=2,MSW!$K36,"")</f>
        <v/>
      </c>
      <c r="K34" s="691">
        <f>Industry!$K36</f>
        <v>0</v>
      </c>
      <c r="L34" s="692">
        <f t="shared" si="3"/>
        <v>0.45074429283946643</v>
      </c>
      <c r="M34" s="693">
        <f>Recovery_OX!C29</f>
        <v>0</v>
      </c>
      <c r="N34" s="648"/>
      <c r="O34" s="694">
        <f>(L34-M34)*(1-Recovery_OX!F29)</f>
        <v>0.45074429283946643</v>
      </c>
      <c r="P34" s="640"/>
      <c r="Q34" s="650"/>
      <c r="S34" s="688">
        <f t="shared" si="2"/>
        <v>2017</v>
      </c>
      <c r="T34" s="689">
        <f>IF(Select2=1,Food!$W36,"")</f>
        <v>0.19932092249821312</v>
      </c>
      <c r="U34" s="690">
        <f>IF(Select2=1,Paper!$W36,"")</f>
        <v>9.9323426273837237E-2</v>
      </c>
      <c r="V34" s="681">
        <f>IF(Select2=1,Nappies!$W36,"")</f>
        <v>0</v>
      </c>
      <c r="W34" s="690">
        <f>IF(Select2=1,Garden!$W36,"")</f>
        <v>0</v>
      </c>
      <c r="X34" s="681">
        <f>IF(Select2=1,Wood!$W36,"")</f>
        <v>5.1690653245598364E-2</v>
      </c>
      <c r="Y34" s="690">
        <f>IF(Select2=1,Textiles!$W36,"")</f>
        <v>1.2473174462295837E-2</v>
      </c>
      <c r="Z34" s="683">
        <f>Sludge!W36</f>
        <v>0</v>
      </c>
      <c r="AA34" s="683" t="str">
        <f>IF(Select2=2,MSW!$W36,"")</f>
        <v/>
      </c>
      <c r="AB34" s="691">
        <f>Industry!$W36</f>
        <v>0</v>
      </c>
      <c r="AC34" s="692">
        <f t="shared" si="0"/>
        <v>0.36280817647994457</v>
      </c>
      <c r="AD34" s="693">
        <f>Recovery_OX!R29</f>
        <v>0</v>
      </c>
      <c r="AE34" s="648"/>
      <c r="AF34" s="695">
        <f>(AC34-AD34)*(1-Recovery_OX!U29)</f>
        <v>0.36280817647994457</v>
      </c>
    </row>
    <row r="35" spans="2:32">
      <c r="B35" s="688">
        <f t="shared" si="1"/>
        <v>2018</v>
      </c>
      <c r="C35" s="689">
        <f>IF(Select2=1,Food!$K37,"")</f>
        <v>0.30651315542683211</v>
      </c>
      <c r="D35" s="690">
        <f>IF(Select2=1,Paper!$K37,"")</f>
        <v>5.0431547706300942E-2</v>
      </c>
      <c r="E35" s="681">
        <f>IF(Select2=1,Nappies!$K37,"")</f>
        <v>9.6461409496664485E-2</v>
      </c>
      <c r="F35" s="690">
        <f>IF(Select2=1,Garden!$K37,"")</f>
        <v>0</v>
      </c>
      <c r="G35" s="681">
        <f>IF(Select2=1,Wood!$K37,"")</f>
        <v>0</v>
      </c>
      <c r="H35" s="690">
        <f>IF(Select2=1,Textiles!$K37,"")</f>
        <v>1.1940296527138088E-2</v>
      </c>
      <c r="I35" s="691">
        <f>Sludge!K37</f>
        <v>0</v>
      </c>
      <c r="J35" s="691" t="str">
        <f>IF(Select2=2,MSW!$K37,"")</f>
        <v/>
      </c>
      <c r="K35" s="691">
        <f>Industry!$K37</f>
        <v>0</v>
      </c>
      <c r="L35" s="692">
        <f t="shared" si="3"/>
        <v>0.46534640915693559</v>
      </c>
      <c r="M35" s="693">
        <f>Recovery_OX!C30</f>
        <v>0</v>
      </c>
      <c r="N35" s="648"/>
      <c r="O35" s="694">
        <f>(L35-M35)*(1-Recovery_OX!F30)</f>
        <v>0.46534640915693559</v>
      </c>
      <c r="P35" s="640"/>
      <c r="Q35" s="650"/>
      <c r="S35" s="688">
        <f t="shared" si="2"/>
        <v>2018</v>
      </c>
      <c r="T35" s="689">
        <f>IF(Select2=1,Food!$W37,"")</f>
        <v>0.20507124582526684</v>
      </c>
      <c r="U35" s="690">
        <f>IF(Select2=1,Paper!$W37,"")</f>
        <v>0.10419741261632427</v>
      </c>
      <c r="V35" s="681">
        <f>IF(Select2=1,Nappies!$W37,"")</f>
        <v>0</v>
      </c>
      <c r="W35" s="690">
        <f>IF(Select2=1,Garden!$W37,"")</f>
        <v>0</v>
      </c>
      <c r="X35" s="681">
        <f>IF(Select2=1,Wood!$W37,"")</f>
        <v>5.4776829627370877E-2</v>
      </c>
      <c r="Y35" s="690">
        <f>IF(Select2=1,Textiles!$W37,"")</f>
        <v>1.3085256468096534E-2</v>
      </c>
      <c r="Z35" s="683">
        <f>Sludge!W37</f>
        <v>0</v>
      </c>
      <c r="AA35" s="683" t="str">
        <f>IF(Select2=2,MSW!$W37,"")</f>
        <v/>
      </c>
      <c r="AB35" s="691">
        <f>Industry!$W37</f>
        <v>0</v>
      </c>
      <c r="AC35" s="692">
        <f t="shared" si="0"/>
        <v>0.37713074453705853</v>
      </c>
      <c r="AD35" s="693">
        <f>Recovery_OX!R30</f>
        <v>0</v>
      </c>
      <c r="AE35" s="648"/>
      <c r="AF35" s="695">
        <f>(AC35-AD35)*(1-Recovery_OX!U30)</f>
        <v>0.37713074453705853</v>
      </c>
    </row>
    <row r="36" spans="2:32">
      <c r="B36" s="688">
        <f t="shared" si="1"/>
        <v>2019</v>
      </c>
      <c r="C36" s="689">
        <f>IF(Select2=1,Food!$K38,"")</f>
        <v>0.31520729559847666</v>
      </c>
      <c r="D36" s="690">
        <f>IF(Select2=1,Paper!$K38,"")</f>
        <v>5.2785085897140593E-2</v>
      </c>
      <c r="E36" s="681">
        <f>IF(Select2=1,Nappies!$K38,"")</f>
        <v>9.9553787325888127E-2</v>
      </c>
      <c r="F36" s="690">
        <f>IF(Select2=1,Garden!$K38,"")</f>
        <v>0</v>
      </c>
      <c r="G36" s="681">
        <f>IF(Select2=1,Wood!$K38,"")</f>
        <v>0</v>
      </c>
      <c r="H36" s="690">
        <f>IF(Select2=1,Textiles!$K38,"")</f>
        <v>1.2497525982998282E-2</v>
      </c>
      <c r="I36" s="691">
        <f>Sludge!K38</f>
        <v>0</v>
      </c>
      <c r="J36" s="691" t="str">
        <f>IF(Select2=2,MSW!$K38,"")</f>
        <v/>
      </c>
      <c r="K36" s="691">
        <f>Industry!$K38</f>
        <v>0</v>
      </c>
      <c r="L36" s="692">
        <f t="shared" si="3"/>
        <v>0.48004369480450365</v>
      </c>
      <c r="M36" s="693">
        <f>Recovery_OX!C31</f>
        <v>0</v>
      </c>
      <c r="N36" s="648"/>
      <c r="O36" s="694">
        <f>(L36-M36)*(1-Recovery_OX!F31)</f>
        <v>0.48004369480450365</v>
      </c>
      <c r="P36" s="640"/>
      <c r="Q36" s="650"/>
      <c r="S36" s="688">
        <f t="shared" si="2"/>
        <v>2019</v>
      </c>
      <c r="T36" s="689">
        <f>IF(Select2=1,Food!$W38,"")</f>
        <v>0.21088802114081845</v>
      </c>
      <c r="U36" s="690">
        <f>IF(Select2=1,Paper!$W38,"")</f>
        <v>0.10906009482880288</v>
      </c>
      <c r="V36" s="681">
        <f>IF(Select2=1,Nappies!$W38,"")</f>
        <v>0</v>
      </c>
      <c r="W36" s="690">
        <f>IF(Select2=1,Garden!$W38,"")</f>
        <v>0</v>
      </c>
      <c r="X36" s="681">
        <f>IF(Select2=1,Wood!$W38,"")</f>
        <v>5.7890415663567105E-2</v>
      </c>
      <c r="Y36" s="690">
        <f>IF(Select2=1,Textiles!$W38,"")</f>
        <v>1.3695918885477568E-2</v>
      </c>
      <c r="Z36" s="683">
        <f>Sludge!W38</f>
        <v>0</v>
      </c>
      <c r="AA36" s="683" t="str">
        <f>IF(Select2=2,MSW!$W38,"")</f>
        <v/>
      </c>
      <c r="AB36" s="691">
        <f>Industry!$W38</f>
        <v>0</v>
      </c>
      <c r="AC36" s="692">
        <f t="shared" si="0"/>
        <v>0.39153445051866603</v>
      </c>
      <c r="AD36" s="693">
        <f>Recovery_OX!R31</f>
        <v>0</v>
      </c>
      <c r="AE36" s="648"/>
      <c r="AF36" s="695">
        <f>(AC36-AD36)*(1-Recovery_OX!U31)</f>
        <v>0.39153445051866603</v>
      </c>
    </row>
    <row r="37" spans="2:32">
      <c r="B37" s="688">
        <f t="shared" si="1"/>
        <v>2020</v>
      </c>
      <c r="C37" s="689">
        <f>IF(Select2=1,Food!$K39,"")</f>
        <v>0.32396801435157158</v>
      </c>
      <c r="D37" s="690">
        <f>IF(Select2=1,Paper!$K39,"")</f>
        <v>5.5133522775915947E-2</v>
      </c>
      <c r="E37" s="681">
        <f>IF(Select2=1,Nappies!$K39,"")</f>
        <v>0.10264836908713088</v>
      </c>
      <c r="F37" s="690">
        <f>IF(Select2=1,Garden!$K39,"")</f>
        <v>0</v>
      </c>
      <c r="G37" s="681">
        <f>IF(Select2=1,Wood!$K39,"")</f>
        <v>0</v>
      </c>
      <c r="H37" s="690">
        <f>IF(Select2=1,Textiles!$K39,"")</f>
        <v>1.3053547639742738E-2</v>
      </c>
      <c r="I37" s="691">
        <f>Sludge!K39</f>
        <v>0</v>
      </c>
      <c r="J37" s="691" t="str">
        <f>IF(Select2=2,MSW!$K39,"")</f>
        <v/>
      </c>
      <c r="K37" s="691">
        <f>Industry!$K39</f>
        <v>0</v>
      </c>
      <c r="L37" s="692">
        <f t="shared" si="3"/>
        <v>0.49480345385436114</v>
      </c>
      <c r="M37" s="693">
        <f>Recovery_OX!C32</f>
        <v>0</v>
      </c>
      <c r="N37" s="648"/>
      <c r="O37" s="694">
        <f>(L37-M37)*(1-Recovery_OX!F32)</f>
        <v>0.49480345385436114</v>
      </c>
      <c r="P37" s="640"/>
      <c r="Q37" s="650"/>
      <c r="S37" s="688">
        <f t="shared" si="2"/>
        <v>2020</v>
      </c>
      <c r="T37" s="689">
        <f>IF(Select2=1,Food!$W39,"")</f>
        <v>0.21674934055635922</v>
      </c>
      <c r="U37" s="690">
        <f>IF(Select2=1,Paper!$W39,"")</f>
        <v>0.11391223714032223</v>
      </c>
      <c r="V37" s="681">
        <f>IF(Select2=1,Nappies!$W39,"")</f>
        <v>0</v>
      </c>
      <c r="W37" s="690">
        <f>IF(Select2=1,Garden!$W39,"")</f>
        <v>0</v>
      </c>
      <c r="X37" s="681">
        <f>IF(Select2=1,Wood!$W39,"")</f>
        <v>6.1030468610532601E-2</v>
      </c>
      <c r="Y37" s="690">
        <f>IF(Select2=1,Textiles!$W39,"")</f>
        <v>1.4305257687389297E-2</v>
      </c>
      <c r="Z37" s="683">
        <f>Sludge!W39</f>
        <v>0</v>
      </c>
      <c r="AA37" s="683" t="str">
        <f>IF(Select2=2,MSW!$W39,"")</f>
        <v/>
      </c>
      <c r="AB37" s="691">
        <f>Industry!$W39</f>
        <v>0</v>
      </c>
      <c r="AC37" s="692">
        <f t="shared" si="0"/>
        <v>0.40599730399460338</v>
      </c>
      <c r="AD37" s="693">
        <f>Recovery_OX!R32</f>
        <v>0</v>
      </c>
      <c r="AE37" s="648"/>
      <c r="AF37" s="695">
        <f>(AC37-AD37)*(1-Recovery_OX!U32)</f>
        <v>0.40599730399460338</v>
      </c>
    </row>
    <row r="38" spans="2:32">
      <c r="B38" s="688">
        <f t="shared" si="1"/>
        <v>2021</v>
      </c>
      <c r="C38" s="689">
        <f>IF(Select2=1,Food!$K40,"")</f>
        <v>0.33277336206244934</v>
      </c>
      <c r="D38" s="690">
        <f>IF(Select2=1,Paper!$K40,"")</f>
        <v>5.7477203222849146E-2</v>
      </c>
      <c r="E38" s="681">
        <f>IF(Select2=1,Nappies!$K40,"")</f>
        <v>0.10574481022827627</v>
      </c>
      <c r="F38" s="690">
        <f>IF(Select2=1,Garden!$K40,"")</f>
        <v>0</v>
      </c>
      <c r="G38" s="681">
        <f>IF(Select2=1,Wood!$K40,"")</f>
        <v>0</v>
      </c>
      <c r="H38" s="690">
        <f>IF(Select2=1,Textiles!$K40,"")</f>
        <v>1.3608443152055987E-2</v>
      </c>
      <c r="I38" s="691">
        <f>Sludge!K40</f>
        <v>0</v>
      </c>
      <c r="J38" s="691" t="str">
        <f>IF(Select2=2,MSW!$K40,"")</f>
        <v/>
      </c>
      <c r="K38" s="691">
        <f>Industry!$K40</f>
        <v>0</v>
      </c>
      <c r="L38" s="692">
        <f t="shared" si="3"/>
        <v>0.50960381866563076</v>
      </c>
      <c r="M38" s="693">
        <f>Recovery_OX!C33</f>
        <v>0</v>
      </c>
      <c r="N38" s="648"/>
      <c r="O38" s="694">
        <f>(L38-M38)*(1-Recovery_OX!F33)</f>
        <v>0.50960381866563076</v>
      </c>
      <c r="P38" s="640"/>
      <c r="Q38" s="650"/>
      <c r="S38" s="688">
        <f t="shared" si="2"/>
        <v>2021</v>
      </c>
      <c r="T38" s="689">
        <f>IF(Select2=1,Food!$W40,"")</f>
        <v>0.22264051877505525</v>
      </c>
      <c r="U38" s="690">
        <f>IF(Select2=1,Paper!$W40,"")</f>
        <v>0.11875455211332471</v>
      </c>
      <c r="V38" s="681">
        <f>IF(Select2=1,Nappies!$W40,"")</f>
        <v>0</v>
      </c>
      <c r="W38" s="690">
        <f>IF(Select2=1,Garden!$W40,"")</f>
        <v>0</v>
      </c>
      <c r="X38" s="681">
        <f>IF(Select2=1,Wood!$W40,"")</f>
        <v>6.4196078149888522E-2</v>
      </c>
      <c r="Y38" s="690">
        <f>IF(Select2=1,Textiles!$W40,"")</f>
        <v>1.4913362358417519E-2</v>
      </c>
      <c r="Z38" s="683">
        <f>Sludge!W40</f>
        <v>0</v>
      </c>
      <c r="AA38" s="683" t="str">
        <f>IF(Select2=2,MSW!$W40,"")</f>
        <v/>
      </c>
      <c r="AB38" s="691">
        <f>Industry!$W40</f>
        <v>0</v>
      </c>
      <c r="AC38" s="692">
        <f t="shared" si="0"/>
        <v>0.42050451139668599</v>
      </c>
      <c r="AD38" s="693">
        <f>Recovery_OX!R33</f>
        <v>0</v>
      </c>
      <c r="AE38" s="648"/>
      <c r="AF38" s="695">
        <f>(AC38-AD38)*(1-Recovery_OX!U33)</f>
        <v>0.42050451139668599</v>
      </c>
    </row>
    <row r="39" spans="2:32">
      <c r="B39" s="688">
        <f t="shared" si="1"/>
        <v>2022</v>
      </c>
      <c r="C39" s="689">
        <f>IF(Select2=1,Food!$K41,"")</f>
        <v>0.34160862545836246</v>
      </c>
      <c r="D39" s="690">
        <f>IF(Select2=1,Paper!$K41,"")</f>
        <v>5.9816448802127928E-2</v>
      </c>
      <c r="E39" s="681">
        <f>IF(Select2=1,Nappies!$K41,"")</f>
        <v>0.10884282006282622</v>
      </c>
      <c r="F39" s="690">
        <f>IF(Select2=1,Garden!$K41,"")</f>
        <v>0</v>
      </c>
      <c r="G39" s="681">
        <f>IF(Select2=1,Wood!$K41,"")</f>
        <v>0</v>
      </c>
      <c r="H39" s="690">
        <f>IF(Select2=1,Textiles!$K41,"")</f>
        <v>1.4162288654261262E-2</v>
      </c>
      <c r="I39" s="691">
        <f>Sludge!K41</f>
        <v>0</v>
      </c>
      <c r="J39" s="691" t="str">
        <f>IF(Select2=2,MSW!$K41,"")</f>
        <v/>
      </c>
      <c r="K39" s="691">
        <f>Industry!$K41</f>
        <v>0</v>
      </c>
      <c r="L39" s="692">
        <f t="shared" si="3"/>
        <v>0.52443018297757793</v>
      </c>
      <c r="M39" s="693">
        <f>Recovery_OX!C34</f>
        <v>0</v>
      </c>
      <c r="N39" s="648"/>
      <c r="O39" s="694">
        <f>(L39-M39)*(1-Recovery_OX!F34)</f>
        <v>0.52443018297757793</v>
      </c>
      <c r="P39" s="640"/>
      <c r="Q39" s="650"/>
      <c r="S39" s="688">
        <f t="shared" si="2"/>
        <v>2022</v>
      </c>
      <c r="T39" s="689">
        <f>IF(Select2=1,Food!$W41,"")</f>
        <v>0.22855171194805693</v>
      </c>
      <c r="U39" s="690">
        <f>IF(Select2=1,Paper!$W41,"")</f>
        <v>0.12358770413662798</v>
      </c>
      <c r="V39" s="681">
        <f>IF(Select2=1,Nappies!$W41,"")</f>
        <v>0</v>
      </c>
      <c r="W39" s="690">
        <f>IF(Select2=1,Garden!$W41,"")</f>
        <v>0</v>
      </c>
      <c r="X39" s="681">
        <f>IF(Select2=1,Wood!$W41,"")</f>
        <v>6.738636527327771E-2</v>
      </c>
      <c r="Y39" s="690">
        <f>IF(Select2=1,Textiles!$W41,"")</f>
        <v>1.5520316333436996E-2</v>
      </c>
      <c r="Z39" s="683">
        <f>Sludge!W41</f>
        <v>0</v>
      </c>
      <c r="AA39" s="683" t="str">
        <f>IF(Select2=2,MSW!$W41,"")</f>
        <v/>
      </c>
      <c r="AB39" s="691">
        <f>Industry!$W41</f>
        <v>0</v>
      </c>
      <c r="AC39" s="692">
        <f t="shared" si="0"/>
        <v>0.43504609769139957</v>
      </c>
      <c r="AD39" s="693">
        <f>Recovery_OX!R34</f>
        <v>0</v>
      </c>
      <c r="AE39" s="648"/>
      <c r="AF39" s="695">
        <f>(AC39-AD39)*(1-Recovery_OX!U34)</f>
        <v>0.43504609769139957</v>
      </c>
    </row>
    <row r="40" spans="2:32">
      <c r="B40" s="688">
        <f t="shared" si="1"/>
        <v>2023</v>
      </c>
      <c r="C40" s="689">
        <f>IF(Select2=1,Food!$K42,"")</f>
        <v>0.35046394193764585</v>
      </c>
      <c r="D40" s="690">
        <f>IF(Select2=1,Paper!$K42,"")</f>
        <v>6.2151559338213619E-2</v>
      </c>
      <c r="E40" s="681">
        <f>IF(Select2=1,Nappies!$K42,"")</f>
        <v>0.11194215334880965</v>
      </c>
      <c r="F40" s="690">
        <f>IF(Select2=1,Garden!$K42,"")</f>
        <v>0</v>
      </c>
      <c r="G40" s="681">
        <f>IF(Select2=1,Wood!$K42,"")</f>
        <v>0</v>
      </c>
      <c r="H40" s="690">
        <f>IF(Select2=1,Textiles!$K42,"")</f>
        <v>1.471515513353102E-2</v>
      </c>
      <c r="I40" s="691">
        <f>Sludge!K42</f>
        <v>0</v>
      </c>
      <c r="J40" s="691" t="str">
        <f>IF(Select2=2,MSW!$K42,"")</f>
        <v/>
      </c>
      <c r="K40" s="691">
        <f>Industry!$K42</f>
        <v>0</v>
      </c>
      <c r="L40" s="692">
        <f t="shared" si="3"/>
        <v>0.53927280975820013</v>
      </c>
      <c r="M40" s="693">
        <f>Recovery_OX!C35</f>
        <v>0</v>
      </c>
      <c r="N40" s="648"/>
      <c r="O40" s="694">
        <f>(L40-M40)*(1-Recovery_OX!F35)</f>
        <v>0.53927280975820013</v>
      </c>
      <c r="P40" s="640"/>
      <c r="Q40" s="650"/>
      <c r="S40" s="688">
        <f t="shared" si="2"/>
        <v>2023</v>
      </c>
      <c r="T40" s="689">
        <f>IF(Select2=1,Food!$W42,"")</f>
        <v>0.2344763215461502</v>
      </c>
      <c r="U40" s="690">
        <f>IF(Select2=1,Paper!$W42,"")</f>
        <v>0.12841231268225956</v>
      </c>
      <c r="V40" s="681">
        <f>IF(Select2=1,Nappies!$W42,"")</f>
        <v>0</v>
      </c>
      <c r="W40" s="690">
        <f>IF(Select2=1,Garden!$W42,"")</f>
        <v>0</v>
      </c>
      <c r="X40" s="681">
        <f>IF(Select2=1,Wood!$W42,"")</f>
        <v>7.0600481205469606E-2</v>
      </c>
      <c r="Y40" s="690">
        <f>IF(Select2=1,Textiles!$W42,"")</f>
        <v>1.6126197406609335E-2</v>
      </c>
      <c r="Z40" s="683">
        <f>Sludge!W42</f>
        <v>0</v>
      </c>
      <c r="AA40" s="683" t="str">
        <f>IF(Select2=2,MSW!$W42,"")</f>
        <v/>
      </c>
      <c r="AB40" s="691">
        <f>Industry!$W42</f>
        <v>0</v>
      </c>
      <c r="AC40" s="692">
        <f t="shared" si="0"/>
        <v>0.44961531284048867</v>
      </c>
      <c r="AD40" s="693">
        <f>Recovery_OX!R35</f>
        <v>0</v>
      </c>
      <c r="AE40" s="648"/>
      <c r="AF40" s="695">
        <f>(AC40-AD40)*(1-Recovery_OX!U35)</f>
        <v>0.44961531284048867</v>
      </c>
    </row>
    <row r="41" spans="2:32">
      <c r="B41" s="688">
        <f t="shared" si="1"/>
        <v>2024</v>
      </c>
      <c r="C41" s="689">
        <f>IF(Select2=1,Food!$K43,"")</f>
        <v>0.35933270040069704</v>
      </c>
      <c r="D41" s="690">
        <f>IF(Select2=1,Paper!$K43,"")</f>
        <v>6.4482814385581039E-2</v>
      </c>
      <c r="E41" s="681">
        <f>IF(Select2=1,Nappies!$K43,"")</f>
        <v>0.11504260318420395</v>
      </c>
      <c r="F41" s="690">
        <f>IF(Select2=1,Garden!$K43,"")</f>
        <v>0</v>
      </c>
      <c r="G41" s="681">
        <f>IF(Select2=1,Wood!$K43,"")</f>
        <v>0</v>
      </c>
      <c r="H41" s="690">
        <f>IF(Select2=1,Textiles!$K43,"")</f>
        <v>1.5267108777866158E-2</v>
      </c>
      <c r="I41" s="691">
        <f>Sludge!K43</f>
        <v>0</v>
      </c>
      <c r="J41" s="691" t="str">
        <f>IF(Select2=2,MSW!$K43,"")</f>
        <v/>
      </c>
      <c r="K41" s="691">
        <f>Industry!$K43</f>
        <v>0</v>
      </c>
      <c r="L41" s="692">
        <f t="shared" si="3"/>
        <v>0.5541252267483483</v>
      </c>
      <c r="M41" s="693">
        <f>Recovery_OX!C36</f>
        <v>0</v>
      </c>
      <c r="N41" s="648"/>
      <c r="O41" s="694">
        <f>(L41-M41)*(1-Recovery_OX!F36)</f>
        <v>0.5541252267483483</v>
      </c>
      <c r="P41" s="640"/>
      <c r="Q41" s="650"/>
      <c r="S41" s="688">
        <f t="shared" si="2"/>
        <v>2024</v>
      </c>
      <c r="T41" s="689">
        <f>IF(Select2=1,Food!$W43,"")</f>
        <v>0.24040992444292847</v>
      </c>
      <c r="U41" s="690">
        <f>IF(Select2=1,Paper!$W43,"")</f>
        <v>0.1332289553421096</v>
      </c>
      <c r="V41" s="681">
        <f>IF(Select2=1,Nappies!$W43,"")</f>
        <v>0</v>
      </c>
      <c r="W41" s="690">
        <f>IF(Select2=1,Garden!$W43,"")</f>
        <v>0</v>
      </c>
      <c r="X41" s="681">
        <f>IF(Select2=1,Wood!$W43,"")</f>
        <v>7.3837606364504302E-2</v>
      </c>
      <c r="Y41" s="690">
        <f>IF(Select2=1,Textiles!$W43,"")</f>
        <v>1.6731078112730037E-2</v>
      </c>
      <c r="Z41" s="683">
        <f>Sludge!W43</f>
        <v>0</v>
      </c>
      <c r="AA41" s="683" t="str">
        <f>IF(Select2=2,MSW!$W43,"")</f>
        <v/>
      </c>
      <c r="AB41" s="691">
        <f>Industry!$W43</f>
        <v>0</v>
      </c>
      <c r="AC41" s="692">
        <f t="shared" si="0"/>
        <v>0.46420756426227244</v>
      </c>
      <c r="AD41" s="693">
        <f>Recovery_OX!R36</f>
        <v>0</v>
      </c>
      <c r="AE41" s="648"/>
      <c r="AF41" s="695">
        <f>(AC41-AD41)*(1-Recovery_OX!U36)</f>
        <v>0.46420756426227244</v>
      </c>
    </row>
    <row r="42" spans="2:32">
      <c r="B42" s="688">
        <f t="shared" si="1"/>
        <v>2025</v>
      </c>
      <c r="C42" s="689">
        <f>IF(Select2=1,Food!$K44,"")</f>
        <v>0.3682104692949264</v>
      </c>
      <c r="D42" s="690">
        <f>IF(Select2=1,Paper!$K44,"")</f>
        <v>6.681047459909481E-2</v>
      </c>
      <c r="E42" s="681">
        <f>IF(Select2=1,Nappies!$K44,"")</f>
        <v>0.1181439950130522</v>
      </c>
      <c r="F42" s="690">
        <f>IF(Select2=1,Garden!$K44,"")</f>
        <v>0</v>
      </c>
      <c r="G42" s="681">
        <f>IF(Select2=1,Wood!$K44,"")</f>
        <v>0</v>
      </c>
      <c r="H42" s="690">
        <f>IF(Select2=1,Textiles!$K44,"")</f>
        <v>1.5818211300549667E-2</v>
      </c>
      <c r="I42" s="691">
        <f>Sludge!K44</f>
        <v>0</v>
      </c>
      <c r="J42" s="691" t="str">
        <f>IF(Select2=2,MSW!$K44,"")</f>
        <v/>
      </c>
      <c r="K42" s="691">
        <f>Industry!$K44</f>
        <v>0</v>
      </c>
      <c r="L42" s="692">
        <f t="shared" si="3"/>
        <v>0.56898315020762302</v>
      </c>
      <c r="M42" s="693">
        <f>Recovery_OX!C37</f>
        <v>0</v>
      </c>
      <c r="N42" s="648"/>
      <c r="O42" s="694">
        <f>(L42-M42)*(1-Recovery_OX!F37)</f>
        <v>0.56898315020762302</v>
      </c>
      <c r="P42" s="640"/>
      <c r="Q42" s="650"/>
      <c r="S42" s="688">
        <f t="shared" si="2"/>
        <v>2025</v>
      </c>
      <c r="T42" s="689">
        <f>IF(Select2=1,Food!$W44,"")</f>
        <v>0.2463495557280953</v>
      </c>
      <c r="U42" s="690">
        <f>IF(Select2=1,Paper!$W44,"")</f>
        <v>0.13803817065928678</v>
      </c>
      <c r="V42" s="681">
        <f>IF(Select2=1,Nappies!$W44,"")</f>
        <v>0</v>
      </c>
      <c r="W42" s="690">
        <f>IF(Select2=1,Garden!$W44,"")</f>
        <v>0</v>
      </c>
      <c r="X42" s="681">
        <f>IF(Select2=1,Wood!$W44,"")</f>
        <v>7.7096949357602362E-2</v>
      </c>
      <c r="Y42" s="690">
        <f>IF(Select2=1,Textiles!$W44,"")</f>
        <v>1.733502608279415E-2</v>
      </c>
      <c r="Z42" s="683">
        <f>Sludge!W44</f>
        <v>0</v>
      </c>
      <c r="AA42" s="683" t="str">
        <f>IF(Select2=2,MSW!$W44,"")</f>
        <v/>
      </c>
      <c r="AB42" s="691">
        <f>Industry!$W44</f>
        <v>0</v>
      </c>
      <c r="AC42" s="692">
        <f t="shared" si="0"/>
        <v>0.47881970182777855</v>
      </c>
      <c r="AD42" s="693">
        <f>Recovery_OX!R37</f>
        <v>0</v>
      </c>
      <c r="AE42" s="648"/>
      <c r="AF42" s="695">
        <f>(AC42-AD42)*(1-Recovery_OX!U37)</f>
        <v>0.47881970182777855</v>
      </c>
    </row>
    <row r="43" spans="2:32">
      <c r="B43" s="688">
        <f t="shared" si="1"/>
        <v>2026</v>
      </c>
      <c r="C43" s="689">
        <f>IF(Select2=1,Food!$K45,"")</f>
        <v>0.37709427806179791</v>
      </c>
      <c r="D43" s="690">
        <f>IF(Select2=1,Paper!$K45,"")</f>
        <v>6.913478301173985E-2</v>
      </c>
      <c r="E43" s="681">
        <f>IF(Select2=1,Nappies!$K45,"")</f>
        <v>0.12124618156863504</v>
      </c>
      <c r="F43" s="690">
        <f>IF(Select2=1,Garden!$K45,"")</f>
        <v>0</v>
      </c>
      <c r="G43" s="681">
        <f>IF(Select2=1,Wood!$K45,"")</f>
        <v>0</v>
      </c>
      <c r="H43" s="690">
        <f>IF(Select2=1,Textiles!$K45,"")</f>
        <v>1.6368520242665198E-2</v>
      </c>
      <c r="I43" s="691">
        <f>Sludge!K45</f>
        <v>0</v>
      </c>
      <c r="J43" s="691" t="str">
        <f>IF(Select2=2,MSW!$K45,"")</f>
        <v/>
      </c>
      <c r="K43" s="691">
        <f>Industry!$K45</f>
        <v>0</v>
      </c>
      <c r="L43" s="692">
        <f t="shared" si="3"/>
        <v>0.58384376288483797</v>
      </c>
      <c r="M43" s="693">
        <f>Recovery_OX!C38</f>
        <v>0</v>
      </c>
      <c r="N43" s="648"/>
      <c r="O43" s="694">
        <f>(L43-M43)*(1-Recovery_OX!F38)</f>
        <v>0.58384376288483797</v>
      </c>
      <c r="P43" s="640"/>
      <c r="Q43" s="650"/>
      <c r="S43" s="688">
        <f t="shared" si="2"/>
        <v>2026</v>
      </c>
      <c r="T43" s="689">
        <f>IF(Select2=1,Food!$W45,"")</f>
        <v>0.25229322796284426</v>
      </c>
      <c r="U43" s="690">
        <f>IF(Select2=1,Paper!$W45,"")</f>
        <v>0.14284046076805754</v>
      </c>
      <c r="V43" s="681">
        <f>IF(Select2=1,Nappies!$W45,"")</f>
        <v>0</v>
      </c>
      <c r="W43" s="690">
        <f>IF(Select2=1,Garden!$W45,"")</f>
        <v>0</v>
      </c>
      <c r="X43" s="681">
        <f>IF(Select2=1,Wood!$W45,"")</f>
        <v>8.0377746011609491E-2</v>
      </c>
      <c r="Y43" s="690">
        <f>IF(Select2=1,Textiles!$W45,"")</f>
        <v>1.7938104375523505E-2</v>
      </c>
      <c r="Z43" s="683">
        <f>Sludge!W45</f>
        <v>0</v>
      </c>
      <c r="AA43" s="683" t="str">
        <f>IF(Select2=2,MSW!$W45,"")</f>
        <v/>
      </c>
      <c r="AB43" s="691">
        <f>Industry!$W45</f>
        <v>0</v>
      </c>
      <c r="AC43" s="692">
        <f t="shared" si="0"/>
        <v>0.49344953911803485</v>
      </c>
      <c r="AD43" s="693">
        <f>Recovery_OX!R38</f>
        <v>0</v>
      </c>
      <c r="AE43" s="648"/>
      <c r="AF43" s="695">
        <f>(AC43-AD43)*(1-Recovery_OX!U38)</f>
        <v>0.49344953911803485</v>
      </c>
    </row>
    <row r="44" spans="2:32">
      <c r="B44" s="688">
        <f t="shared" si="1"/>
        <v>2027</v>
      </c>
      <c r="C44" s="689">
        <f>IF(Select2=1,Food!$K46,"")</f>
        <v>0.38598213547637672</v>
      </c>
      <c r="D44" s="690">
        <f>IF(Select2=1,Paper!$K46,"")</f>
        <v>7.1455966225969336E-2</v>
      </c>
      <c r="E44" s="681">
        <f>IF(Select2=1,Nappies!$K46,"")</f>
        <v>0.1243490386072026</v>
      </c>
      <c r="F44" s="690">
        <f>IF(Select2=1,Garden!$K46,"")</f>
        <v>0</v>
      </c>
      <c r="G44" s="681">
        <f>IF(Select2=1,Wood!$K46,"")</f>
        <v>0</v>
      </c>
      <c r="H44" s="690">
        <f>IF(Select2=1,Textiles!$K46,"")</f>
        <v>1.6918089255163554E-2</v>
      </c>
      <c r="I44" s="691">
        <f>Sludge!K46</f>
        <v>0</v>
      </c>
      <c r="J44" s="691" t="str">
        <f>IF(Select2=2,MSW!$K46,"")</f>
        <v/>
      </c>
      <c r="K44" s="691">
        <f>Industry!$K46</f>
        <v>0</v>
      </c>
      <c r="L44" s="692">
        <f t="shared" si="3"/>
        <v>0.59870522956471228</v>
      </c>
      <c r="M44" s="693">
        <f>Recovery_OX!C39</f>
        <v>0</v>
      </c>
      <c r="N44" s="648"/>
      <c r="O44" s="694">
        <f>(L44-M44)*(1-Recovery_OX!F39)</f>
        <v>0.59870522956471228</v>
      </c>
      <c r="P44" s="640"/>
      <c r="Q44" s="650"/>
      <c r="S44" s="688">
        <f t="shared" si="2"/>
        <v>2027</v>
      </c>
      <c r="T44" s="689">
        <f>IF(Select2=1,Food!$W46,"")</f>
        <v>0.25823960892710313</v>
      </c>
      <c r="U44" s="690">
        <f>IF(Select2=1,Paper!$W46,"")</f>
        <v>0.14763629385530855</v>
      </c>
      <c r="V44" s="681">
        <f>IF(Select2=1,Nappies!$W46,"")</f>
        <v>0</v>
      </c>
      <c r="W44" s="690">
        <f>IF(Select2=1,Garden!$W46,"")</f>
        <v>0</v>
      </c>
      <c r="X44" s="681">
        <f>IF(Select2=1,Wood!$W46,"")</f>
        <v>8.3679258436788972E-2</v>
      </c>
      <c r="Y44" s="690">
        <f>IF(Select2=1,Textiles!$W46,"")</f>
        <v>1.854037178648061E-2</v>
      </c>
      <c r="Z44" s="683">
        <f>Sludge!W46</f>
        <v>0</v>
      </c>
      <c r="AA44" s="683" t="str">
        <f>IF(Select2=2,MSW!$W46,"")</f>
        <v/>
      </c>
      <c r="AB44" s="691">
        <f>Industry!$W46</f>
        <v>0</v>
      </c>
      <c r="AC44" s="692">
        <f t="shared" si="0"/>
        <v>0.50809553300568133</v>
      </c>
      <c r="AD44" s="693">
        <f>Recovery_OX!R39</f>
        <v>0</v>
      </c>
      <c r="AE44" s="648"/>
      <c r="AF44" s="695">
        <f>(AC44-AD44)*(1-Recovery_OX!U39)</f>
        <v>0.50809553300568133</v>
      </c>
    </row>
    <row r="45" spans="2:32">
      <c r="B45" s="688">
        <f t="shared" si="1"/>
        <v>2028</v>
      </c>
      <c r="C45" s="689">
        <f>IF(Select2=1,Food!$K47,"")</f>
        <v>0.39487270678067332</v>
      </c>
      <c r="D45" s="690">
        <f>IF(Select2=1,Paper!$K47,"")</f>
        <v>7.3774235524510179E-2</v>
      </c>
      <c r="E45" s="681">
        <f>IF(Select2=1,Nappies!$K47,"")</f>
        <v>0.12745246130867455</v>
      </c>
      <c r="F45" s="690">
        <f>IF(Select2=1,Garden!$K47,"")</f>
        <v>0</v>
      </c>
      <c r="G45" s="681">
        <f>IF(Select2=1,Wood!$K47,"")</f>
        <v>0</v>
      </c>
      <c r="H45" s="690">
        <f>IF(Select2=1,Textiles!$K47,"")</f>
        <v>1.7466968361859694E-2</v>
      </c>
      <c r="I45" s="691">
        <f>Sludge!K47</f>
        <v>0</v>
      </c>
      <c r="J45" s="691" t="str">
        <f>IF(Select2=2,MSW!$K47,"")</f>
        <v/>
      </c>
      <c r="K45" s="691">
        <f>Industry!$K47</f>
        <v>0</v>
      </c>
      <c r="L45" s="692">
        <f t="shared" si="3"/>
        <v>0.61356637197571773</v>
      </c>
      <c r="M45" s="693">
        <f>Recovery_OX!C40</f>
        <v>0</v>
      </c>
      <c r="N45" s="648"/>
      <c r="O45" s="694">
        <f>(L45-M45)*(1-Recovery_OX!F40)</f>
        <v>0.61356637197571773</v>
      </c>
      <c r="P45" s="640"/>
      <c r="Q45" s="650"/>
      <c r="S45" s="688">
        <f t="shared" si="2"/>
        <v>2028</v>
      </c>
      <c r="T45" s="689">
        <f>IF(Select2=1,Food!$W47,"")</f>
        <v>0.26418780560705174</v>
      </c>
      <c r="U45" s="690">
        <f>IF(Select2=1,Paper!$W47,"")</f>
        <v>0.15242610645559954</v>
      </c>
      <c r="V45" s="681">
        <f>IF(Select2=1,Nappies!$W47,"")</f>
        <v>0</v>
      </c>
      <c r="W45" s="690">
        <f>IF(Select2=1,Garden!$W47,"")</f>
        <v>0</v>
      </c>
      <c r="X45" s="681">
        <f>IF(Select2=1,Wood!$W47,"")</f>
        <v>8.7000774122814428E-2</v>
      </c>
      <c r="Y45" s="690">
        <f>IF(Select2=1,Textiles!$W47,"")</f>
        <v>1.9141883136284593E-2</v>
      </c>
      <c r="Z45" s="683">
        <f>Sludge!W47</f>
        <v>0</v>
      </c>
      <c r="AA45" s="683" t="str">
        <f>IF(Select2=2,MSW!$W47,"")</f>
        <v/>
      </c>
      <c r="AB45" s="691">
        <f>Industry!$W47</f>
        <v>0</v>
      </c>
      <c r="AC45" s="692">
        <f t="shared" si="0"/>
        <v>0.52275656932175041</v>
      </c>
      <c r="AD45" s="693">
        <f>Recovery_OX!R40</f>
        <v>0</v>
      </c>
      <c r="AE45" s="648"/>
      <c r="AF45" s="695">
        <f>(AC45-AD45)*(1-Recovery_OX!U40)</f>
        <v>0.52275656932175041</v>
      </c>
    </row>
    <row r="46" spans="2:32">
      <c r="B46" s="688">
        <f t="shared" si="1"/>
        <v>2029</v>
      </c>
      <c r="C46" s="689">
        <f>IF(Select2=1,Food!$K48,"")</f>
        <v>0.40376509725965037</v>
      </c>
      <c r="D46" s="690">
        <f>IF(Select2=1,Paper!$K48,"")</f>
        <v>7.608978790607121E-2</v>
      </c>
      <c r="E46" s="681">
        <f>IF(Select2=1,Nappies!$K48,"")</f>
        <v>0.13055636124003694</v>
      </c>
      <c r="F46" s="690">
        <f>IF(Select2=1,Garden!$K48,"")</f>
        <v>0</v>
      </c>
      <c r="G46" s="681">
        <f>IF(Select2=1,Wood!$K48,"")</f>
        <v>0</v>
      </c>
      <c r="H46" s="690">
        <f>IF(Select2=1,Textiles!$K48,"")</f>
        <v>1.801520420464953E-2</v>
      </c>
      <c r="I46" s="691">
        <f>Sludge!K48</f>
        <v>0</v>
      </c>
      <c r="J46" s="691" t="str">
        <f>IF(Select2=2,MSW!$K48,"")</f>
        <v/>
      </c>
      <c r="K46" s="691">
        <f>Industry!$K48</f>
        <v>0</v>
      </c>
      <c r="L46" s="692">
        <f t="shared" si="3"/>
        <v>0.62842645061040803</v>
      </c>
      <c r="M46" s="693">
        <f>Recovery_OX!C41</f>
        <v>0</v>
      </c>
      <c r="N46" s="648"/>
      <c r="O46" s="694">
        <f>(L46-M46)*(1-Recovery_OX!F41)</f>
        <v>0.62842645061040803</v>
      </c>
      <c r="P46" s="640"/>
      <c r="Q46" s="650"/>
      <c r="S46" s="688">
        <f t="shared" si="2"/>
        <v>2029</v>
      </c>
      <c r="T46" s="689">
        <f>IF(Select2=1,Food!$W48,"")</f>
        <v>0.27013721939762519</v>
      </c>
      <c r="U46" s="690">
        <f>IF(Select2=1,Paper!$W48,"")</f>
        <v>0.1572103055910562</v>
      </c>
      <c r="V46" s="681">
        <f>IF(Select2=1,Nappies!$W48,"")</f>
        <v>0</v>
      </c>
      <c r="W46" s="690">
        <f>IF(Select2=1,Garden!$W48,"")</f>
        <v>0</v>
      </c>
      <c r="X46" s="681">
        <f>IF(Select2=1,Wood!$W48,"")</f>
        <v>9.0341605065855562E-2</v>
      </c>
      <c r="Y46" s="690">
        <f>IF(Select2=1,Textiles!$W48,"")</f>
        <v>1.9742689539341947E-2</v>
      </c>
      <c r="Z46" s="683">
        <f>Sludge!W48</f>
        <v>0</v>
      </c>
      <c r="AA46" s="683" t="str">
        <f>IF(Select2=2,MSW!$W48,"")</f>
        <v/>
      </c>
      <c r="AB46" s="691">
        <f>Industry!$W48</f>
        <v>0</v>
      </c>
      <c r="AC46" s="692">
        <f t="shared" si="0"/>
        <v>0.53743181959387898</v>
      </c>
      <c r="AD46" s="693">
        <f>Recovery_OX!R41</f>
        <v>0</v>
      </c>
      <c r="AE46" s="648"/>
      <c r="AF46" s="695">
        <f>(AC46-AD46)*(1-Recovery_OX!U41)</f>
        <v>0.53743181959387898</v>
      </c>
    </row>
    <row r="47" spans="2:32">
      <c r="B47" s="688">
        <f t="shared" si="1"/>
        <v>2030</v>
      </c>
      <c r="C47" s="689">
        <f>IF(Select2=1,Food!$K49,"")</f>
        <v>0.412658707167883</v>
      </c>
      <c r="D47" s="690">
        <f>IF(Select2=1,Paper!$K49,"")</f>
        <v>7.8402807051031059E-2</v>
      </c>
      <c r="E47" s="681">
        <f>IF(Select2=1,Nappies!$K49,"")</f>
        <v>0.13366066379346739</v>
      </c>
      <c r="F47" s="690">
        <f>IF(Select2=1,Garden!$K49,"")</f>
        <v>0</v>
      </c>
      <c r="G47" s="681">
        <f>IF(Select2=1,Wood!$K49,"")</f>
        <v>0</v>
      </c>
      <c r="H47" s="690">
        <f>IF(Select2=1,Textiles!$K49,"")</f>
        <v>1.8562840272148551E-2</v>
      </c>
      <c r="I47" s="691">
        <f>Sludge!K49</f>
        <v>0</v>
      </c>
      <c r="J47" s="691" t="str">
        <f>IF(Select2=2,MSW!$K49,"")</f>
        <v/>
      </c>
      <c r="K47" s="691">
        <f>Industry!$K49</f>
        <v>0</v>
      </c>
      <c r="L47" s="692">
        <f t="shared" si="3"/>
        <v>0.64328501828453</v>
      </c>
      <c r="M47" s="693">
        <f>Recovery_OX!C42</f>
        <v>0</v>
      </c>
      <c r="N47" s="648"/>
      <c r="O47" s="694">
        <f>(L47-M47)*(1-Recovery_OX!F42)</f>
        <v>0.64328501828453</v>
      </c>
      <c r="P47" s="640"/>
      <c r="Q47" s="650"/>
      <c r="S47" s="688">
        <f t="shared" si="2"/>
        <v>2030</v>
      </c>
      <c r="T47" s="689">
        <f>IF(Select2=1,Food!$W49,"")</f>
        <v>0.27608744904184862</v>
      </c>
      <c r="U47" s="690">
        <f>IF(Select2=1,Paper!$W49,"")</f>
        <v>0.16198927076659311</v>
      </c>
      <c r="V47" s="681">
        <f>IF(Select2=1,Nappies!$W49,"")</f>
        <v>0</v>
      </c>
      <c r="W47" s="690">
        <f>IF(Select2=1,Garden!$W49,"")</f>
        <v>0</v>
      </c>
      <c r="X47" s="681">
        <f>IF(Select2=1,Wood!$W49,"")</f>
        <v>9.3701086925687474E-2</v>
      </c>
      <c r="Y47" s="690">
        <f>IF(Select2=1,Textiles!$W49,"")</f>
        <v>2.0342838654409369E-2</v>
      </c>
      <c r="Z47" s="683">
        <f>Sludge!W49</f>
        <v>0</v>
      </c>
      <c r="AA47" s="683" t="str">
        <f>IF(Select2=2,MSW!$W49,"")</f>
        <v/>
      </c>
      <c r="AB47" s="691">
        <f>Industry!$W49</f>
        <v>0</v>
      </c>
      <c r="AC47" s="692">
        <f t="shared" si="0"/>
        <v>0.55212064538853856</v>
      </c>
      <c r="AD47" s="693">
        <f>Recovery_OX!R42</f>
        <v>0</v>
      </c>
      <c r="AE47" s="648"/>
      <c r="AF47" s="695">
        <f>(AC47-AD47)*(1-Recovery_OX!U42)</f>
        <v>0.55212064538853856</v>
      </c>
    </row>
    <row r="48" spans="2:32">
      <c r="B48" s="688">
        <f t="shared" si="1"/>
        <v>2031</v>
      </c>
      <c r="C48" s="689">
        <f>IF(Select2=1,Food!$K50,"")</f>
        <v>0.42155313448399045</v>
      </c>
      <c r="D48" s="690">
        <f>IF(Select2=1,Paper!$K50,"")</f>
        <v>8.0713464221839615E-2</v>
      </c>
      <c r="E48" s="681">
        <f>IF(Select2=1,Nappies!$K50,"")</f>
        <v>0.136765306024971</v>
      </c>
      <c r="F48" s="690">
        <f>IF(Select2=1,Garden!$K50,"")</f>
        <v>0</v>
      </c>
      <c r="G48" s="681">
        <f>IF(Select2=1,Wood!$K50,"")</f>
        <v>0</v>
      </c>
      <c r="H48" s="690">
        <f>IF(Select2=1,Textiles!$K50,"")</f>
        <v>1.910991711287309E-2</v>
      </c>
      <c r="I48" s="691">
        <f>Sludge!K50</f>
        <v>0</v>
      </c>
      <c r="J48" s="691" t="str">
        <f>IF(Select2=2,MSW!$K50,"")</f>
        <v/>
      </c>
      <c r="K48" s="691">
        <f>Industry!$K50</f>
        <v>0</v>
      </c>
      <c r="L48" s="692">
        <f t="shared" si="3"/>
        <v>0.6581418218436742</v>
      </c>
      <c r="M48" s="693">
        <f>Recovery_OX!C43</f>
        <v>0</v>
      </c>
      <c r="N48" s="648"/>
      <c r="O48" s="694">
        <f>(L48-M48)*(1-Recovery_OX!F43)</f>
        <v>0.6581418218436742</v>
      </c>
      <c r="P48" s="640"/>
      <c r="Q48" s="650"/>
      <c r="S48" s="688">
        <f t="shared" si="2"/>
        <v>2031</v>
      </c>
      <c r="T48" s="689">
        <f>IF(Select2=1,Food!$W50,"")</f>
        <v>0.28203822556912833</v>
      </c>
      <c r="U48" s="690">
        <f>IF(Select2=1,Paper!$W50,"")</f>
        <v>0.16676335583024715</v>
      </c>
      <c r="V48" s="681">
        <f>IF(Select2=1,Nappies!$W50,"")</f>
        <v>0</v>
      </c>
      <c r="W48" s="690">
        <f>IF(Select2=1,Garden!$W50,"")</f>
        <v>0</v>
      </c>
      <c r="X48" s="681">
        <f>IF(Select2=1,Wood!$W50,"")</f>
        <v>9.7078578211790723E-2</v>
      </c>
      <c r="Y48" s="690">
        <f>IF(Select2=1,Textiles!$W50,"")</f>
        <v>2.0942374918217085E-2</v>
      </c>
      <c r="Z48" s="683">
        <f>Sludge!W50</f>
        <v>0</v>
      </c>
      <c r="AA48" s="683" t="str">
        <f>IF(Select2=2,MSW!$W50,"")</f>
        <v/>
      </c>
      <c r="AB48" s="691">
        <f>Industry!$W50</f>
        <v>0</v>
      </c>
      <c r="AC48" s="692">
        <f t="shared" si="0"/>
        <v>0.56682253452938325</v>
      </c>
      <c r="AD48" s="693">
        <f>Recovery_OX!R43</f>
        <v>0</v>
      </c>
      <c r="AE48" s="648"/>
      <c r="AF48" s="695">
        <f>(AC48-AD48)*(1-Recovery_OX!U43)</f>
        <v>0.56682253452938325</v>
      </c>
    </row>
    <row r="49" spans="2:32">
      <c r="B49" s="688">
        <f t="shared" si="1"/>
        <v>2032</v>
      </c>
      <c r="C49" s="689">
        <f>IF(Select2=1,Food!$K51,"")</f>
        <v>0.28257551651377649</v>
      </c>
      <c r="D49" s="690">
        <f>IF(Select2=1,Paper!$K51,"")</f>
        <v>7.5256735223643123E-2</v>
      </c>
      <c r="E49" s="681">
        <f>IF(Select2=1,Nappies!$K51,"")</f>
        <v>0.11538407682430547</v>
      </c>
      <c r="F49" s="690">
        <f>IF(Select2=1,Garden!$K51,"")</f>
        <v>0</v>
      </c>
      <c r="G49" s="681">
        <f>IF(Select2=1,Wood!$K51,"")</f>
        <v>0</v>
      </c>
      <c r="H49" s="690">
        <f>IF(Select2=1,Textiles!$K51,"")</f>
        <v>1.7817968614957793E-2</v>
      </c>
      <c r="I49" s="691">
        <f>Sludge!K51</f>
        <v>0</v>
      </c>
      <c r="J49" s="691" t="str">
        <f>IF(Select2=2,MSW!$K51,"")</f>
        <v/>
      </c>
      <c r="K49" s="691">
        <f>Industry!$K51</f>
        <v>0</v>
      </c>
      <c r="L49" s="692">
        <f t="shared" si="3"/>
        <v>0.49103429717668284</v>
      </c>
      <c r="M49" s="693">
        <f>Recovery_OX!C44</f>
        <v>0</v>
      </c>
      <c r="N49" s="648"/>
      <c r="O49" s="694">
        <f>(L49-M49)*(1-Recovery_OX!F44)</f>
        <v>0.49103429717668284</v>
      </c>
      <c r="P49" s="640"/>
      <c r="Q49" s="650"/>
      <c r="S49" s="688">
        <f t="shared" si="2"/>
        <v>2032</v>
      </c>
      <c r="T49" s="689">
        <f>IF(Select2=1,Food!$W51,"")</f>
        <v>0.18905587634730814</v>
      </c>
      <c r="U49" s="690">
        <f>IF(Select2=1,Paper!$W51,"")</f>
        <v>0.15548912236289902</v>
      </c>
      <c r="V49" s="681">
        <f>IF(Select2=1,Nappies!$W51,"")</f>
        <v>0</v>
      </c>
      <c r="W49" s="690">
        <f>IF(Select2=1,Garden!$W51,"")</f>
        <v>0</v>
      </c>
      <c r="X49" s="681">
        <f>IF(Select2=1,Wood!$W51,"")</f>
        <v>9.3739600923888902E-2</v>
      </c>
      <c r="Y49" s="690">
        <f>IF(Select2=1,Textiles!$W51,"")</f>
        <v>1.9526540947898949E-2</v>
      </c>
      <c r="Z49" s="683">
        <f>Sludge!W51</f>
        <v>0</v>
      </c>
      <c r="AA49" s="683" t="str">
        <f>IF(Select2=2,MSW!$W51,"")</f>
        <v/>
      </c>
      <c r="AB49" s="691">
        <f>Industry!$W51</f>
        <v>0</v>
      </c>
      <c r="AC49" s="692">
        <f t="shared" ref="AC49:AC80" si="4">SUM(T49:AA49)</f>
        <v>0.45781114058199501</v>
      </c>
      <c r="AD49" s="693">
        <f>Recovery_OX!R44</f>
        <v>0</v>
      </c>
      <c r="AE49" s="648"/>
      <c r="AF49" s="695">
        <f>(AC49-AD49)*(1-Recovery_OX!U44)</f>
        <v>0.45781114058199501</v>
      </c>
    </row>
    <row r="50" spans="2:32">
      <c r="B50" s="688">
        <f t="shared" si="1"/>
        <v>2033</v>
      </c>
      <c r="C50" s="689">
        <f>IF(Select2=1,Food!$K52,"")</f>
        <v>0.18941603323805925</v>
      </c>
      <c r="D50" s="690">
        <f>IF(Select2=1,Paper!$K52,"")</f>
        <v>7.0168914828823148E-2</v>
      </c>
      <c r="E50" s="681">
        <f>IF(Select2=1,Nappies!$K52,"")</f>
        <v>9.734548601212073E-2</v>
      </c>
      <c r="F50" s="690">
        <f>IF(Select2=1,Garden!$K52,"")</f>
        <v>0</v>
      </c>
      <c r="G50" s="681">
        <f>IF(Select2=1,Wood!$K52,"")</f>
        <v>0</v>
      </c>
      <c r="H50" s="690">
        <f>IF(Select2=1,Textiles!$K52,"")</f>
        <v>1.6613363819864793E-2</v>
      </c>
      <c r="I50" s="691">
        <f>Sludge!K52</f>
        <v>0</v>
      </c>
      <c r="J50" s="691" t="str">
        <f>IF(Select2=2,MSW!$K52,"")</f>
        <v/>
      </c>
      <c r="K50" s="691">
        <f>Industry!$K52</f>
        <v>0</v>
      </c>
      <c r="L50" s="692">
        <f t="shared" si="3"/>
        <v>0.37354379789886788</v>
      </c>
      <c r="M50" s="693">
        <f>Recovery_OX!C45</f>
        <v>0</v>
      </c>
      <c r="N50" s="648"/>
      <c r="O50" s="694">
        <f>(L50-M50)*(1-Recovery_OX!F45)</f>
        <v>0.37354379789886788</v>
      </c>
      <c r="P50" s="640"/>
      <c r="Q50" s="650"/>
      <c r="S50" s="688">
        <f t="shared" si="2"/>
        <v>2033</v>
      </c>
      <c r="T50" s="689">
        <f>IF(Select2=1,Food!$W52,"")</f>
        <v>0.12672794373643573</v>
      </c>
      <c r="U50" s="690">
        <f>IF(Select2=1,Paper!$W52,"")</f>
        <v>0.14497709675376683</v>
      </c>
      <c r="V50" s="681">
        <f>IF(Select2=1,Nappies!$W52,"")</f>
        <v>0</v>
      </c>
      <c r="W50" s="690">
        <f>IF(Select2=1,Garden!$W52,"")</f>
        <v>0</v>
      </c>
      <c r="X50" s="681">
        <f>IF(Select2=1,Wood!$W52,"")</f>
        <v>9.0515466369929909E-2</v>
      </c>
      <c r="Y50" s="690">
        <f>IF(Select2=1,Textiles!$W52,"")</f>
        <v>1.8206426103961417E-2</v>
      </c>
      <c r="Z50" s="683">
        <f>Sludge!W52</f>
        <v>0</v>
      </c>
      <c r="AA50" s="683" t="str">
        <f>IF(Select2=2,MSW!$W52,"")</f>
        <v/>
      </c>
      <c r="AB50" s="691">
        <f>Industry!$W52</f>
        <v>0</v>
      </c>
      <c r="AC50" s="692">
        <f t="shared" si="4"/>
        <v>0.38042693296409386</v>
      </c>
      <c r="AD50" s="693">
        <f>Recovery_OX!R45</f>
        <v>0</v>
      </c>
      <c r="AE50" s="648"/>
      <c r="AF50" s="695">
        <f>(AC50-AD50)*(1-Recovery_OX!U45)</f>
        <v>0.38042693296409386</v>
      </c>
    </row>
    <row r="51" spans="2:32">
      <c r="B51" s="688">
        <f t="shared" si="1"/>
        <v>2034</v>
      </c>
      <c r="C51" s="689">
        <f>IF(Select2=1,Food!$K53,"")</f>
        <v>0.12696936412002408</v>
      </c>
      <c r="D51" s="690">
        <f>IF(Select2=1,Paper!$K53,"")</f>
        <v>6.5425062535901551E-2</v>
      </c>
      <c r="E51" s="681">
        <f>IF(Select2=1,Nappies!$K53,"")</f>
        <v>8.2126961602901671E-2</v>
      </c>
      <c r="F51" s="690">
        <f>IF(Select2=1,Garden!$K53,"")</f>
        <v>0</v>
      </c>
      <c r="G51" s="681">
        <f>IF(Select2=1,Wood!$K53,"")</f>
        <v>0</v>
      </c>
      <c r="H51" s="690">
        <f>IF(Select2=1,Textiles!$K53,"")</f>
        <v>1.5490197753491012E-2</v>
      </c>
      <c r="I51" s="691">
        <f>Sludge!K53</f>
        <v>0</v>
      </c>
      <c r="J51" s="691" t="str">
        <f>IF(Select2=2,MSW!$K53,"")</f>
        <v/>
      </c>
      <c r="K51" s="691">
        <f>Industry!$K53</f>
        <v>0</v>
      </c>
      <c r="L51" s="692">
        <f t="shared" si="3"/>
        <v>0.29001158601231836</v>
      </c>
      <c r="M51" s="693">
        <f>Recovery_OX!C46</f>
        <v>0</v>
      </c>
      <c r="N51" s="648"/>
      <c r="O51" s="694">
        <f>(L51-M51)*(1-Recovery_OX!F46)</f>
        <v>0.29001158601231836</v>
      </c>
      <c r="P51" s="640"/>
      <c r="Q51" s="650"/>
      <c r="S51" s="688">
        <f t="shared" si="2"/>
        <v>2034</v>
      </c>
      <c r="T51" s="689">
        <f>IF(Select2=1,Food!$W53,"")</f>
        <v>8.4948281079409507E-2</v>
      </c>
      <c r="U51" s="690">
        <f>IF(Select2=1,Paper!$W53,"")</f>
        <v>0.1351757490411189</v>
      </c>
      <c r="V51" s="681">
        <f>IF(Select2=1,Nappies!$W53,"")</f>
        <v>0</v>
      </c>
      <c r="W51" s="690">
        <f>IF(Select2=1,Garden!$W53,"")</f>
        <v>0</v>
      </c>
      <c r="X51" s="681">
        <f>IF(Select2=1,Wood!$W53,"")</f>
        <v>8.7402224581883917E-2</v>
      </c>
      <c r="Y51" s="690">
        <f>IF(Select2=1,Textiles!$W53,"")</f>
        <v>1.6975559181907955E-2</v>
      </c>
      <c r="Z51" s="683">
        <f>Sludge!W53</f>
        <v>0</v>
      </c>
      <c r="AA51" s="683" t="str">
        <f>IF(Select2=2,MSW!$W53,"")</f>
        <v/>
      </c>
      <c r="AB51" s="691">
        <f>Industry!$W53</f>
        <v>0</v>
      </c>
      <c r="AC51" s="692">
        <f t="shared" si="4"/>
        <v>0.32450181388432026</v>
      </c>
      <c r="AD51" s="693">
        <f>Recovery_OX!R46</f>
        <v>0</v>
      </c>
      <c r="AE51" s="648"/>
      <c r="AF51" s="695">
        <f>(AC51-AD51)*(1-Recovery_OX!U46)</f>
        <v>0.32450181388432026</v>
      </c>
    </row>
    <row r="52" spans="2:32">
      <c r="B52" s="688">
        <f t="shared" si="1"/>
        <v>2035</v>
      </c>
      <c r="C52" s="689">
        <f>IF(Select2=1,Food!$K54,"")</f>
        <v>8.511011000205039E-2</v>
      </c>
      <c r="D52" s="690">
        <f>IF(Select2=1,Paper!$K54,"")</f>
        <v>6.1001923975434802E-2</v>
      </c>
      <c r="E52" s="681">
        <f>IF(Select2=1,Nappies!$K54,"")</f>
        <v>6.9287627998330284E-2</v>
      </c>
      <c r="F52" s="690">
        <f>IF(Select2=1,Garden!$K54,"")</f>
        <v>0</v>
      </c>
      <c r="G52" s="681">
        <f>IF(Select2=1,Wood!$K54,"")</f>
        <v>0</v>
      </c>
      <c r="H52" s="690">
        <f>IF(Select2=1,Textiles!$K54,"")</f>
        <v>1.4442964654476021E-2</v>
      </c>
      <c r="I52" s="691">
        <f>Sludge!K54</f>
        <v>0</v>
      </c>
      <c r="J52" s="691" t="str">
        <f>IF(Select2=2,MSW!$K54,"")</f>
        <v/>
      </c>
      <c r="K52" s="691">
        <f>Industry!$K54</f>
        <v>0</v>
      </c>
      <c r="L52" s="692">
        <f t="shared" si="3"/>
        <v>0.22984262663029148</v>
      </c>
      <c r="M52" s="693">
        <f>Recovery_OX!C47</f>
        <v>0</v>
      </c>
      <c r="N52" s="648"/>
      <c r="O52" s="694">
        <f>(L52-M52)*(1-Recovery_OX!F47)</f>
        <v>0.22984262663029148</v>
      </c>
      <c r="P52" s="640"/>
      <c r="Q52" s="650"/>
      <c r="S52" s="688">
        <f t="shared" si="2"/>
        <v>2035</v>
      </c>
      <c r="T52" s="689">
        <f>IF(Select2=1,Food!$W54,"")</f>
        <v>5.6942535683798215E-2</v>
      </c>
      <c r="U52" s="690">
        <f>IF(Select2=1,Paper!$W54,"")</f>
        <v>0.12603703300709668</v>
      </c>
      <c r="V52" s="681">
        <f>IF(Select2=1,Nappies!$W54,"")</f>
        <v>0</v>
      </c>
      <c r="W52" s="690">
        <f>IF(Select2=1,Garden!$W54,"")</f>
        <v>0</v>
      </c>
      <c r="X52" s="681">
        <f>IF(Select2=1,Wood!$W54,"")</f>
        <v>8.4396061449227316E-2</v>
      </c>
      <c r="Y52" s="690">
        <f>IF(Select2=1,Textiles!$W54,"")</f>
        <v>1.5827906470658654E-2</v>
      </c>
      <c r="Z52" s="683">
        <f>Sludge!W54</f>
        <v>0</v>
      </c>
      <c r="AA52" s="683" t="str">
        <f>IF(Select2=2,MSW!$W54,"")</f>
        <v/>
      </c>
      <c r="AB52" s="691">
        <f>Industry!$W54</f>
        <v>0</v>
      </c>
      <c r="AC52" s="692">
        <f t="shared" si="4"/>
        <v>0.2832035366107809</v>
      </c>
      <c r="AD52" s="693">
        <f>Recovery_OX!R47</f>
        <v>0</v>
      </c>
      <c r="AE52" s="648"/>
      <c r="AF52" s="695">
        <f>(AC52-AD52)*(1-Recovery_OX!U47)</f>
        <v>0.2832035366107809</v>
      </c>
    </row>
    <row r="53" spans="2:32">
      <c r="B53" s="688">
        <f t="shared" si="1"/>
        <v>2036</v>
      </c>
      <c r="C53" s="689">
        <f>IF(Select2=1,Food!$K55,"")</f>
        <v>5.7051012854672747E-2</v>
      </c>
      <c r="D53" s="690">
        <f>IF(Select2=1,Paper!$K55,"")</f>
        <v>5.6877816917067905E-2</v>
      </c>
      <c r="E53" s="681">
        <f>IF(Select2=1,Nappies!$K55,"")</f>
        <v>5.8455533967609774E-2</v>
      </c>
      <c r="F53" s="690">
        <f>IF(Select2=1,Garden!$K55,"")</f>
        <v>0</v>
      </c>
      <c r="G53" s="681">
        <f>IF(Select2=1,Wood!$K55,"")</f>
        <v>0</v>
      </c>
      <c r="H53" s="690">
        <f>IF(Select2=1,Textiles!$K55,"")</f>
        <v>1.3466530984953493E-2</v>
      </c>
      <c r="I53" s="691">
        <f>Sludge!K55</f>
        <v>0</v>
      </c>
      <c r="J53" s="691" t="str">
        <f>IF(Select2=2,MSW!$K55,"")</f>
        <v/>
      </c>
      <c r="K53" s="691">
        <f>Industry!$K55</f>
        <v>0</v>
      </c>
      <c r="L53" s="692">
        <f t="shared" si="3"/>
        <v>0.18585089472430391</v>
      </c>
      <c r="M53" s="693">
        <f>Recovery_OX!C48</f>
        <v>0</v>
      </c>
      <c r="N53" s="648"/>
      <c r="O53" s="694">
        <f>(L53-M53)*(1-Recovery_OX!F48)</f>
        <v>0.18585089472430391</v>
      </c>
      <c r="P53" s="640"/>
      <c r="Q53" s="650"/>
      <c r="S53" s="688">
        <f t="shared" si="2"/>
        <v>2036</v>
      </c>
      <c r="T53" s="689">
        <f>IF(Select2=1,Food!$W55,"")</f>
        <v>3.816972314094965E-2</v>
      </c>
      <c r="U53" s="690">
        <f>IF(Select2=1,Paper!$W55,"")</f>
        <v>0.11751615065509896</v>
      </c>
      <c r="V53" s="681">
        <f>IF(Select2=1,Nappies!$W55,"")</f>
        <v>0</v>
      </c>
      <c r="W53" s="690">
        <f>IF(Select2=1,Garden!$W55,"")</f>
        <v>0</v>
      </c>
      <c r="X53" s="681">
        <f>IF(Select2=1,Wood!$W55,"")</f>
        <v>8.1493294046180317E-2</v>
      </c>
      <c r="Y53" s="690">
        <f>IF(Select2=1,Textiles!$W55,"")</f>
        <v>1.4757842175291499E-2</v>
      </c>
      <c r="Z53" s="683">
        <f>Sludge!W55</f>
        <v>0</v>
      </c>
      <c r="AA53" s="683" t="str">
        <f>IF(Select2=2,MSW!$W55,"")</f>
        <v/>
      </c>
      <c r="AB53" s="691">
        <f>Industry!$W55</f>
        <v>0</v>
      </c>
      <c r="AC53" s="692">
        <f t="shared" si="4"/>
        <v>0.25193701001752045</v>
      </c>
      <c r="AD53" s="693">
        <f>Recovery_OX!R48</f>
        <v>0</v>
      </c>
      <c r="AE53" s="648"/>
      <c r="AF53" s="695">
        <f>(AC53-AD53)*(1-Recovery_OX!U48)</f>
        <v>0.25193701001752045</v>
      </c>
    </row>
    <row r="54" spans="2:32">
      <c r="B54" s="688">
        <f t="shared" si="1"/>
        <v>2037</v>
      </c>
      <c r="C54" s="689">
        <f>IF(Select2=1,Food!$K56,"")</f>
        <v>3.8242437563124086E-2</v>
      </c>
      <c r="D54" s="690">
        <f>IF(Select2=1,Paper!$K56,"")</f>
        <v>5.3032524983216117E-2</v>
      </c>
      <c r="E54" s="681">
        <f>IF(Select2=1,Nappies!$K56,"")</f>
        <v>4.9316877343827177E-2</v>
      </c>
      <c r="F54" s="690">
        <f>IF(Select2=1,Garden!$K56,"")</f>
        <v>0</v>
      </c>
      <c r="G54" s="681">
        <f>IF(Select2=1,Wood!$K56,"")</f>
        <v>0</v>
      </c>
      <c r="H54" s="690">
        <f>IF(Select2=1,Textiles!$K56,"")</f>
        <v>1.2556110265942598E-2</v>
      </c>
      <c r="I54" s="691">
        <f>Sludge!K56</f>
        <v>0</v>
      </c>
      <c r="J54" s="691" t="str">
        <f>IF(Select2=2,MSW!$K56,"")</f>
        <v/>
      </c>
      <c r="K54" s="691">
        <f>Industry!$K56</f>
        <v>0</v>
      </c>
      <c r="L54" s="692">
        <f t="shared" si="3"/>
        <v>0.15314795015610999</v>
      </c>
      <c r="M54" s="693">
        <f>Recovery_OX!C49</f>
        <v>0</v>
      </c>
      <c r="N54" s="648"/>
      <c r="O54" s="694">
        <f>(L54-M54)*(1-Recovery_OX!F49)</f>
        <v>0.15314795015610999</v>
      </c>
      <c r="P54" s="640"/>
      <c r="Q54" s="650"/>
      <c r="S54" s="688">
        <f t="shared" si="2"/>
        <v>2037</v>
      </c>
      <c r="T54" s="689">
        <f>IF(Select2=1,Food!$W56,"")</f>
        <v>2.558593057300898E-2</v>
      </c>
      <c r="U54" s="690">
        <f>IF(Select2=1,Paper!$W56,"")</f>
        <v>0.10957133260995063</v>
      </c>
      <c r="V54" s="681">
        <f>IF(Select2=1,Nappies!$W56,"")</f>
        <v>0</v>
      </c>
      <c r="W54" s="690">
        <f>IF(Select2=1,Garden!$W56,"")</f>
        <v>0</v>
      </c>
      <c r="X54" s="681">
        <f>IF(Select2=1,Wood!$W56,"")</f>
        <v>7.8690366119662208E-2</v>
      </c>
      <c r="Y54" s="690">
        <f>IF(Select2=1,Textiles!$W56,"")</f>
        <v>1.3760120839389151E-2</v>
      </c>
      <c r="Z54" s="683">
        <f>Sludge!W56</f>
        <v>0</v>
      </c>
      <c r="AA54" s="683" t="str">
        <f>IF(Select2=2,MSW!$W56,"")</f>
        <v/>
      </c>
      <c r="AB54" s="691">
        <f>Industry!$W56</f>
        <v>0</v>
      </c>
      <c r="AC54" s="692">
        <f t="shared" si="4"/>
        <v>0.22760775014201098</v>
      </c>
      <c r="AD54" s="693">
        <f>Recovery_OX!R49</f>
        <v>0</v>
      </c>
      <c r="AE54" s="648"/>
      <c r="AF54" s="695">
        <f>(AC54-AD54)*(1-Recovery_OX!U49)</f>
        <v>0.22760775014201098</v>
      </c>
    </row>
    <row r="55" spans="2:32">
      <c r="B55" s="688">
        <f t="shared" si="1"/>
        <v>2038</v>
      </c>
      <c r="C55" s="689">
        <f>IF(Select2=1,Food!$K57,"")</f>
        <v>2.5634672507828402E-2</v>
      </c>
      <c r="D55" s="690">
        <f>IF(Select2=1,Paper!$K57,"")</f>
        <v>4.9447198548358509E-2</v>
      </c>
      <c r="E55" s="681">
        <f>IF(Select2=1,Nappies!$K57,"")</f>
        <v>4.1606914279386308E-2</v>
      </c>
      <c r="F55" s="690">
        <f>IF(Select2=1,Garden!$K57,"")</f>
        <v>0</v>
      </c>
      <c r="G55" s="681">
        <f>IF(Select2=1,Wood!$K57,"")</f>
        <v>0</v>
      </c>
      <c r="H55" s="690">
        <f>IF(Select2=1,Textiles!$K57,"")</f>
        <v>1.1707239614022509E-2</v>
      </c>
      <c r="I55" s="691">
        <f>Sludge!K57</f>
        <v>0</v>
      </c>
      <c r="J55" s="691" t="str">
        <f>IF(Select2=2,MSW!$K57,"")</f>
        <v/>
      </c>
      <c r="K55" s="691">
        <f>Industry!$K57</f>
        <v>0</v>
      </c>
      <c r="L55" s="692">
        <f t="shared" si="3"/>
        <v>0.12839602494959573</v>
      </c>
      <c r="M55" s="693">
        <f>Recovery_OX!C50</f>
        <v>0</v>
      </c>
      <c r="N55" s="648"/>
      <c r="O55" s="694">
        <f>(L55-M55)*(1-Recovery_OX!F50)</f>
        <v>0.12839602494959573</v>
      </c>
      <c r="P55" s="640"/>
      <c r="Q55" s="650"/>
      <c r="S55" s="688">
        <f t="shared" si="2"/>
        <v>2038</v>
      </c>
      <c r="T55" s="689">
        <f>IF(Select2=1,Food!$W57,"")</f>
        <v>1.7150762159564049E-2</v>
      </c>
      <c r="U55" s="690">
        <f>IF(Select2=1,Paper!$W57,"")</f>
        <v>0.10216363336437706</v>
      </c>
      <c r="V55" s="681">
        <f>IF(Select2=1,Nappies!$W57,"")</f>
        <v>0</v>
      </c>
      <c r="W55" s="690">
        <f>IF(Select2=1,Garden!$W57,"")</f>
        <v>0</v>
      </c>
      <c r="X55" s="681">
        <f>IF(Select2=1,Wood!$W57,"")</f>
        <v>7.5983843732436732E-2</v>
      </c>
      <c r="Y55" s="690">
        <f>IF(Select2=1,Textiles!$W57,"")</f>
        <v>1.2829851631805493E-2</v>
      </c>
      <c r="Z55" s="683">
        <f>Sludge!W57</f>
        <v>0</v>
      </c>
      <c r="AA55" s="683" t="str">
        <f>IF(Select2=2,MSW!$W57,"")</f>
        <v/>
      </c>
      <c r="AB55" s="691">
        <f>Industry!$W57</f>
        <v>0</v>
      </c>
      <c r="AC55" s="692">
        <f t="shared" si="4"/>
        <v>0.20812809088818335</v>
      </c>
      <c r="AD55" s="693">
        <f>Recovery_OX!R50</f>
        <v>0</v>
      </c>
      <c r="AE55" s="648"/>
      <c r="AF55" s="695">
        <f>(AC55-AD55)*(1-Recovery_OX!U50)</f>
        <v>0.20812809088818335</v>
      </c>
    </row>
    <row r="56" spans="2:32">
      <c r="B56" s="688">
        <f t="shared" si="1"/>
        <v>2039</v>
      </c>
      <c r="C56" s="689">
        <f>IF(Select2=1,Food!$K58,"")</f>
        <v>1.7183434855556071E-2</v>
      </c>
      <c r="D56" s="690">
        <f>IF(Select2=1,Paper!$K58,"")</f>
        <v>4.6104262338151854E-2</v>
      </c>
      <c r="E56" s="681">
        <f>IF(Select2=1,Nappies!$K58,"")</f>
        <v>3.5102289704659909E-2</v>
      </c>
      <c r="F56" s="690">
        <f>IF(Select2=1,Garden!$K58,"")</f>
        <v>0</v>
      </c>
      <c r="G56" s="681">
        <f>IF(Select2=1,Wood!$K58,"")</f>
        <v>0</v>
      </c>
      <c r="H56" s="690">
        <f>IF(Select2=1,Textiles!$K58,"")</f>
        <v>1.0915757864272688E-2</v>
      </c>
      <c r="I56" s="691">
        <f>Sludge!K58</f>
        <v>0</v>
      </c>
      <c r="J56" s="691" t="str">
        <f>IF(Select2=2,MSW!$K58,"")</f>
        <v/>
      </c>
      <c r="K56" s="691">
        <f>Industry!$K58</f>
        <v>0</v>
      </c>
      <c r="L56" s="692">
        <f t="shared" si="3"/>
        <v>0.10930574476264053</v>
      </c>
      <c r="M56" s="693">
        <f>Recovery_OX!C51</f>
        <v>0</v>
      </c>
      <c r="N56" s="648"/>
      <c r="O56" s="694">
        <f>(L56-M56)*(1-Recovery_OX!F51)</f>
        <v>0.10930574476264053</v>
      </c>
      <c r="P56" s="640"/>
      <c r="Q56" s="650"/>
      <c r="S56" s="688">
        <f t="shared" si="2"/>
        <v>2039</v>
      </c>
      <c r="T56" s="689">
        <f>IF(Select2=1,Food!$W58,"")</f>
        <v>1.1496499680345273E-2</v>
      </c>
      <c r="U56" s="690">
        <f>IF(Select2=1,Paper!$W58,"")</f>
        <v>9.5256740368082307E-2</v>
      </c>
      <c r="V56" s="681">
        <f>IF(Select2=1,Nappies!$W58,"")</f>
        <v>0</v>
      </c>
      <c r="W56" s="690">
        <f>IF(Select2=1,Garden!$W58,"")</f>
        <v>0</v>
      </c>
      <c r="X56" s="681">
        <f>IF(Select2=1,Wood!$W58,"")</f>
        <v>7.3370411056109447E-2</v>
      </c>
      <c r="Y56" s="690">
        <f>IF(Select2=1,Textiles!$W58,"")</f>
        <v>1.1962474371805686E-2</v>
      </c>
      <c r="Z56" s="683">
        <f>Sludge!W58</f>
        <v>0</v>
      </c>
      <c r="AA56" s="683" t="str">
        <f>IF(Select2=2,MSW!$W58,"")</f>
        <v/>
      </c>
      <c r="AB56" s="691">
        <f>Industry!$W58</f>
        <v>0</v>
      </c>
      <c r="AC56" s="692">
        <f t="shared" si="4"/>
        <v>0.19208612547634274</v>
      </c>
      <c r="AD56" s="693">
        <f>Recovery_OX!R51</f>
        <v>0</v>
      </c>
      <c r="AE56" s="648"/>
      <c r="AF56" s="695">
        <f>(AC56-AD56)*(1-Recovery_OX!U51)</f>
        <v>0.19208612547634274</v>
      </c>
    </row>
    <row r="57" spans="2:32">
      <c r="B57" s="688">
        <f t="shared" si="1"/>
        <v>2040</v>
      </c>
      <c r="C57" s="689">
        <f>IF(Select2=1,Food!$K59,"")</f>
        <v>1.1518400843426754E-2</v>
      </c>
      <c r="D57" s="690">
        <f>IF(Select2=1,Paper!$K59,"")</f>
        <v>4.2987329275415355E-2</v>
      </c>
      <c r="E57" s="681">
        <f>IF(Select2=1,Nappies!$K59,"")</f>
        <v>2.961456680579503E-2</v>
      </c>
      <c r="F57" s="690">
        <f>IF(Select2=1,Garden!$K59,"")</f>
        <v>0</v>
      </c>
      <c r="G57" s="681">
        <f>IF(Select2=1,Wood!$K59,"")</f>
        <v>0</v>
      </c>
      <c r="H57" s="690">
        <f>IF(Select2=1,Textiles!$K59,"")</f>
        <v>1.0177785172237608E-2</v>
      </c>
      <c r="I57" s="691">
        <f>Sludge!K59</f>
        <v>0</v>
      </c>
      <c r="J57" s="691" t="str">
        <f>IF(Select2=2,MSW!$K59,"")</f>
        <v/>
      </c>
      <c r="K57" s="691">
        <f>Industry!$K59</f>
        <v>0</v>
      </c>
      <c r="L57" s="692">
        <f t="shared" si="3"/>
        <v>9.4298082096874736E-2</v>
      </c>
      <c r="M57" s="693">
        <f>Recovery_OX!C52</f>
        <v>0</v>
      </c>
      <c r="N57" s="648"/>
      <c r="O57" s="694">
        <f>(L57-M57)*(1-Recovery_OX!F52)</f>
        <v>9.4298082096874736E-2</v>
      </c>
      <c r="P57" s="640"/>
      <c r="Q57" s="650"/>
      <c r="S57" s="688">
        <f t="shared" si="2"/>
        <v>2040</v>
      </c>
      <c r="T57" s="689">
        <f>IF(Select2=1,Food!$W59,"")</f>
        <v>7.7063341949777566E-3</v>
      </c>
      <c r="U57" s="690">
        <f>IF(Select2=1,Paper!$W59,"")</f>
        <v>8.8816796023585415E-2</v>
      </c>
      <c r="V57" s="681">
        <f>IF(Select2=1,Nappies!$W59,"")</f>
        <v>0</v>
      </c>
      <c r="W57" s="690">
        <f>IF(Select2=1,Garden!$W59,"")</f>
        <v>0</v>
      </c>
      <c r="X57" s="681">
        <f>IF(Select2=1,Wood!$W59,"")</f>
        <v>7.0846866308823322E-2</v>
      </c>
      <c r="Y57" s="690">
        <f>IF(Select2=1,Textiles!$W59,"")</f>
        <v>1.1153737175054914E-2</v>
      </c>
      <c r="Z57" s="683">
        <f>Sludge!W59</f>
        <v>0</v>
      </c>
      <c r="AA57" s="683" t="str">
        <f>IF(Select2=2,MSW!$W59,"")</f>
        <v/>
      </c>
      <c r="AB57" s="691">
        <f>Industry!$W59</f>
        <v>0</v>
      </c>
      <c r="AC57" s="692">
        <f t="shared" si="4"/>
        <v>0.1785237337024414</v>
      </c>
      <c r="AD57" s="693">
        <f>Recovery_OX!R52</f>
        <v>0</v>
      </c>
      <c r="AE57" s="648"/>
      <c r="AF57" s="695">
        <f>(AC57-AD57)*(1-Recovery_OX!U52)</f>
        <v>0.1785237337024414</v>
      </c>
    </row>
    <row r="58" spans="2:32">
      <c r="B58" s="688">
        <f t="shared" si="1"/>
        <v>2041</v>
      </c>
      <c r="C58" s="689">
        <f>IF(Select2=1,Food!$K60,"")</f>
        <v>7.7210149836227692E-3</v>
      </c>
      <c r="D58" s="690">
        <f>IF(Select2=1,Paper!$K60,"")</f>
        <v>4.0081120150659323E-2</v>
      </c>
      <c r="E58" s="681">
        <f>IF(Select2=1,Nappies!$K60,"")</f>
        <v>2.4984768072792419E-2</v>
      </c>
      <c r="F58" s="690">
        <f>IF(Select2=1,Garden!$K60,"")</f>
        <v>0</v>
      </c>
      <c r="G58" s="681">
        <f>IF(Select2=1,Wood!$K60,"")</f>
        <v>0</v>
      </c>
      <c r="H58" s="690">
        <f>IF(Select2=1,Textiles!$K60,"")</f>
        <v>9.4897039949247419E-3</v>
      </c>
      <c r="I58" s="691">
        <f>Sludge!K60</f>
        <v>0</v>
      </c>
      <c r="J58" s="691" t="str">
        <f>IF(Select2=2,MSW!$K60,"")</f>
        <v/>
      </c>
      <c r="K58" s="691">
        <f>Industry!$K60</f>
        <v>0</v>
      </c>
      <c r="L58" s="692">
        <f t="shared" si="3"/>
        <v>8.2276607201999252E-2</v>
      </c>
      <c r="M58" s="693">
        <f>Recovery_OX!C53</f>
        <v>0</v>
      </c>
      <c r="N58" s="648"/>
      <c r="O58" s="694">
        <f>(L58-M58)*(1-Recovery_OX!F53)</f>
        <v>8.2276607201999252E-2</v>
      </c>
      <c r="P58" s="640"/>
      <c r="Q58" s="650"/>
      <c r="S58" s="688">
        <f t="shared" si="2"/>
        <v>2041</v>
      </c>
      <c r="T58" s="689">
        <f>IF(Select2=1,Food!$W60,"")</f>
        <v>5.1657102923435118E-3</v>
      </c>
      <c r="U58" s="690">
        <f>IF(Select2=1,Paper!$W60,"")</f>
        <v>8.2812231716238235E-2</v>
      </c>
      <c r="V58" s="681">
        <f>IF(Select2=1,Nappies!$W60,"")</f>
        <v>0</v>
      </c>
      <c r="W58" s="690">
        <f>IF(Select2=1,Garden!$W60,"")</f>
        <v>0</v>
      </c>
      <c r="X58" s="681">
        <f>IF(Select2=1,Wood!$W60,"")</f>
        <v>6.8410117832675504E-2</v>
      </c>
      <c r="Y58" s="690">
        <f>IF(Select2=1,Textiles!$W60,"")</f>
        <v>1.039967561087643E-2</v>
      </c>
      <c r="Z58" s="683">
        <f>Sludge!W60</f>
        <v>0</v>
      </c>
      <c r="AA58" s="683" t="str">
        <f>IF(Select2=2,MSW!$W60,"")</f>
        <v/>
      </c>
      <c r="AB58" s="691">
        <f>Industry!$W60</f>
        <v>0</v>
      </c>
      <c r="AC58" s="692">
        <f t="shared" si="4"/>
        <v>0.16678773545213368</v>
      </c>
      <c r="AD58" s="693">
        <f>Recovery_OX!R53</f>
        <v>0</v>
      </c>
      <c r="AE58" s="648"/>
      <c r="AF58" s="695">
        <f>(AC58-AD58)*(1-Recovery_OX!U53)</f>
        <v>0.16678773545213368</v>
      </c>
    </row>
    <row r="59" spans="2:32">
      <c r="B59" s="688">
        <f t="shared" si="1"/>
        <v>2042</v>
      </c>
      <c r="C59" s="689">
        <f>IF(Select2=1,Food!$K61,"")</f>
        <v>5.1755511192638753E-3</v>
      </c>
      <c r="D59" s="690">
        <f>IF(Select2=1,Paper!$K61,"")</f>
        <v>3.7371388723382526E-2</v>
      </c>
      <c r="E59" s="681">
        <f>IF(Select2=1,Nappies!$K61,"")</f>
        <v>2.1078769773835597E-2</v>
      </c>
      <c r="F59" s="690">
        <f>IF(Select2=1,Garden!$K61,"")</f>
        <v>0</v>
      </c>
      <c r="G59" s="681">
        <f>IF(Select2=1,Wood!$K61,"")</f>
        <v>0</v>
      </c>
      <c r="H59" s="690">
        <f>IF(Select2=1,Textiles!$K61,"")</f>
        <v>8.8481413576046164E-3</v>
      </c>
      <c r="I59" s="691">
        <f>Sludge!K61</f>
        <v>0</v>
      </c>
      <c r="J59" s="691" t="str">
        <f>IF(Select2=2,MSW!$K61,"")</f>
        <v/>
      </c>
      <c r="K59" s="691">
        <f>Industry!$K61</f>
        <v>0</v>
      </c>
      <c r="L59" s="692">
        <f t="shared" si="3"/>
        <v>7.2473850974086623E-2</v>
      </c>
      <c r="M59" s="693">
        <f>Recovery_OX!C54</f>
        <v>0</v>
      </c>
      <c r="N59" s="648"/>
      <c r="O59" s="694">
        <f>(L59-M59)*(1-Recovery_OX!F54)</f>
        <v>7.2473850974086623E-2</v>
      </c>
      <c r="P59" s="640"/>
      <c r="Q59" s="650"/>
      <c r="S59" s="688">
        <f t="shared" si="2"/>
        <v>2042</v>
      </c>
      <c r="T59" s="689">
        <f>IF(Select2=1,Food!$W61,"")</f>
        <v>3.4626791609704785E-3</v>
      </c>
      <c r="U59" s="690">
        <f>IF(Select2=1,Paper!$W61,"")</f>
        <v>7.7213613064839898E-2</v>
      </c>
      <c r="V59" s="681">
        <f>IF(Select2=1,Nappies!$W61,"")</f>
        <v>0</v>
      </c>
      <c r="W59" s="690">
        <f>IF(Select2=1,Garden!$W61,"")</f>
        <v>0</v>
      </c>
      <c r="X59" s="681">
        <f>IF(Select2=1,Wood!$W61,"")</f>
        <v>6.6057180306049804E-2</v>
      </c>
      <c r="Y59" s="690">
        <f>IF(Select2=1,Textiles!$W61,"")</f>
        <v>9.6965932686078008E-3</v>
      </c>
      <c r="Z59" s="683">
        <f>Sludge!W61</f>
        <v>0</v>
      </c>
      <c r="AA59" s="683" t="str">
        <f>IF(Select2=2,MSW!$W61,"")</f>
        <v/>
      </c>
      <c r="AB59" s="691">
        <f>Industry!$W61</f>
        <v>0</v>
      </c>
      <c r="AC59" s="692">
        <f t="shared" si="4"/>
        <v>0.156430065800468</v>
      </c>
      <c r="AD59" s="693">
        <f>Recovery_OX!R54</f>
        <v>0</v>
      </c>
      <c r="AE59" s="648"/>
      <c r="AF59" s="695">
        <f>(AC59-AD59)*(1-Recovery_OX!U54)</f>
        <v>0.156430065800468</v>
      </c>
    </row>
    <row r="60" spans="2:32">
      <c r="B60" s="688">
        <f t="shared" si="1"/>
        <v>2043</v>
      </c>
      <c r="C60" s="689">
        <f>IF(Select2=1,Food!$K62,"")</f>
        <v>3.4692756645247659E-3</v>
      </c>
      <c r="D60" s="690">
        <f>IF(Select2=1,Paper!$K62,"")</f>
        <v>3.4844851886984711E-2</v>
      </c>
      <c r="E60" s="681">
        <f>IF(Select2=1,Nappies!$K62,"")</f>
        <v>1.7783416435320408E-2</v>
      </c>
      <c r="F60" s="690">
        <f>IF(Select2=1,Garden!$K62,"")</f>
        <v>0</v>
      </c>
      <c r="G60" s="681">
        <f>IF(Select2=1,Wood!$K62,"")</f>
        <v>0</v>
      </c>
      <c r="H60" s="690">
        <f>IF(Select2=1,Textiles!$K62,"")</f>
        <v>8.2499523194847716E-3</v>
      </c>
      <c r="I60" s="691">
        <f>Sludge!K62</f>
        <v>0</v>
      </c>
      <c r="J60" s="691" t="str">
        <f>IF(Select2=2,MSW!$K62,"")</f>
        <v/>
      </c>
      <c r="K60" s="691">
        <f>Industry!$K62</f>
        <v>0</v>
      </c>
      <c r="L60" s="692">
        <f t="shared" si="3"/>
        <v>6.4347496306314658E-2</v>
      </c>
      <c r="M60" s="693">
        <f>Recovery_OX!C55</f>
        <v>0</v>
      </c>
      <c r="N60" s="648"/>
      <c r="O60" s="694">
        <f>(L60-M60)*(1-Recovery_OX!F55)</f>
        <v>6.4347496306314658E-2</v>
      </c>
      <c r="P60" s="640"/>
      <c r="Q60" s="650"/>
      <c r="S60" s="688">
        <f t="shared" si="2"/>
        <v>2043</v>
      </c>
      <c r="T60" s="689">
        <f>IF(Select2=1,Food!$W62,"")</f>
        <v>2.3211032545883805E-3</v>
      </c>
      <c r="U60" s="690">
        <f>IF(Select2=1,Paper!$W62,"")</f>
        <v>7.1993495634265894E-2</v>
      </c>
      <c r="V60" s="681">
        <f>IF(Select2=1,Nappies!$W62,"")</f>
        <v>0</v>
      </c>
      <c r="W60" s="690">
        <f>IF(Select2=1,Garden!$W62,"")</f>
        <v>0</v>
      </c>
      <c r="X60" s="681">
        <f>IF(Select2=1,Wood!$W62,"")</f>
        <v>6.3785171086224335E-2</v>
      </c>
      <c r="Y60" s="690">
        <f>IF(Select2=1,Textiles!$W62,"")</f>
        <v>9.0410436377915335E-3</v>
      </c>
      <c r="Z60" s="683">
        <f>Sludge!W62</f>
        <v>0</v>
      </c>
      <c r="AA60" s="683" t="str">
        <f>IF(Select2=2,MSW!$W62,"")</f>
        <v/>
      </c>
      <c r="AB60" s="691">
        <f>Industry!$W62</f>
        <v>0</v>
      </c>
      <c r="AC60" s="692">
        <f t="shared" si="4"/>
        <v>0.14714081361287015</v>
      </c>
      <c r="AD60" s="693">
        <f>Recovery_OX!R55</f>
        <v>0</v>
      </c>
      <c r="AE60" s="648"/>
      <c r="AF60" s="695">
        <f>(AC60-AD60)*(1-Recovery_OX!U55)</f>
        <v>0.14714081361287015</v>
      </c>
    </row>
    <row r="61" spans="2:32">
      <c r="B61" s="688">
        <f t="shared" si="1"/>
        <v>2044</v>
      </c>
      <c r="C61" s="689">
        <f>IF(Select2=1,Food!$K63,"")</f>
        <v>2.3255250231545644E-3</v>
      </c>
      <c r="D61" s="690">
        <f>IF(Select2=1,Paper!$K63,"")</f>
        <v>3.2489124554962667E-2</v>
      </c>
      <c r="E61" s="681">
        <f>IF(Select2=1,Nappies!$K63,"")</f>
        <v>1.5003242765361706E-2</v>
      </c>
      <c r="F61" s="690">
        <f>IF(Select2=1,Garden!$K63,"")</f>
        <v>0</v>
      </c>
      <c r="G61" s="681">
        <f>IF(Select2=1,Wood!$K63,"")</f>
        <v>0</v>
      </c>
      <c r="H61" s="690">
        <f>IF(Select2=1,Textiles!$K63,"")</f>
        <v>7.6922045572063447E-3</v>
      </c>
      <c r="I61" s="691">
        <f>Sludge!K63</f>
        <v>0</v>
      </c>
      <c r="J61" s="691" t="str">
        <f>IF(Select2=2,MSW!$K63,"")</f>
        <v/>
      </c>
      <c r="K61" s="691">
        <f>Industry!$K63</f>
        <v>0</v>
      </c>
      <c r="L61" s="692">
        <f t="shared" si="3"/>
        <v>5.751009690068528E-2</v>
      </c>
      <c r="M61" s="693">
        <f>Recovery_OX!C56</f>
        <v>0</v>
      </c>
      <c r="N61" s="648"/>
      <c r="O61" s="694">
        <f>(L61-M61)*(1-Recovery_OX!F56)</f>
        <v>5.751009690068528E-2</v>
      </c>
      <c r="P61" s="640"/>
      <c r="Q61" s="650"/>
      <c r="S61" s="688">
        <f t="shared" si="2"/>
        <v>2044</v>
      </c>
      <c r="T61" s="689">
        <f>IF(Select2=1,Food!$W63,"")</f>
        <v>1.5558820404691556E-3</v>
      </c>
      <c r="U61" s="690">
        <f>IF(Select2=1,Paper!$W63,"")</f>
        <v>6.7126290402815397E-2</v>
      </c>
      <c r="V61" s="681">
        <f>IF(Select2=1,Nappies!$W63,"")</f>
        <v>0</v>
      </c>
      <c r="W61" s="690">
        <f>IF(Select2=1,Garden!$W63,"")</f>
        <v>0</v>
      </c>
      <c r="X61" s="681">
        <f>IF(Select2=1,Wood!$W63,"")</f>
        <v>6.1591306677773745E-2</v>
      </c>
      <c r="Y61" s="690">
        <f>IF(Select2=1,Textiles!$W63,"")</f>
        <v>8.4298132133768175E-3</v>
      </c>
      <c r="Z61" s="683">
        <f>Sludge!W63</f>
        <v>0</v>
      </c>
      <c r="AA61" s="683" t="str">
        <f>IF(Select2=2,MSW!$W63,"")</f>
        <v/>
      </c>
      <c r="AB61" s="691">
        <f>Industry!$W63</f>
        <v>0</v>
      </c>
      <c r="AC61" s="692">
        <f t="shared" si="4"/>
        <v>0.13870329233443512</v>
      </c>
      <c r="AD61" s="693">
        <f>Recovery_OX!R56</f>
        <v>0</v>
      </c>
      <c r="AE61" s="648"/>
      <c r="AF61" s="695">
        <f>(AC61-AD61)*(1-Recovery_OX!U56)</f>
        <v>0.13870329233443512</v>
      </c>
    </row>
    <row r="62" spans="2:32">
      <c r="B62" s="688">
        <f t="shared" si="1"/>
        <v>2045</v>
      </c>
      <c r="C62" s="689">
        <f>IF(Select2=1,Food!$K64,"")</f>
        <v>1.5588460405779989E-3</v>
      </c>
      <c r="D62" s="690">
        <f>IF(Select2=1,Paper!$K64,"")</f>
        <v>3.029265894920178E-2</v>
      </c>
      <c r="E62" s="681">
        <f>IF(Select2=1,Nappies!$K64,"")</f>
        <v>1.2657708055989906E-2</v>
      </c>
      <c r="F62" s="690">
        <f>IF(Select2=1,Garden!$K64,"")</f>
        <v>0</v>
      </c>
      <c r="G62" s="681">
        <f>IF(Select2=1,Wood!$K64,"")</f>
        <v>0</v>
      </c>
      <c r="H62" s="690">
        <f>IF(Select2=1,Textiles!$K64,"")</f>
        <v>7.1721639905915667E-3</v>
      </c>
      <c r="I62" s="691">
        <f>Sludge!K64</f>
        <v>0</v>
      </c>
      <c r="J62" s="691" t="str">
        <f>IF(Select2=2,MSW!$K64,"")</f>
        <v/>
      </c>
      <c r="K62" s="691">
        <f>Industry!$K64</f>
        <v>0</v>
      </c>
      <c r="L62" s="692">
        <f t="shared" si="3"/>
        <v>5.1681377036361255E-2</v>
      </c>
      <c r="M62" s="693">
        <f>Recovery_OX!C57</f>
        <v>0</v>
      </c>
      <c r="N62" s="648"/>
      <c r="O62" s="694">
        <f>(L62-M62)*(1-Recovery_OX!F57)</f>
        <v>5.1681377036361255E-2</v>
      </c>
      <c r="P62" s="640"/>
      <c r="Q62" s="650"/>
      <c r="S62" s="688">
        <f t="shared" si="2"/>
        <v>2045</v>
      </c>
      <c r="T62" s="689">
        <f>IF(Select2=1,Food!$W64,"")</f>
        <v>1.0429389209933087E-3</v>
      </c>
      <c r="U62" s="690">
        <f>IF(Select2=1,Paper!$W64,"")</f>
        <v>6.2588138324797038E-2</v>
      </c>
      <c r="V62" s="681">
        <f>IF(Select2=1,Nappies!$W64,"")</f>
        <v>0</v>
      </c>
      <c r="W62" s="690">
        <f>IF(Select2=1,Garden!$W64,"")</f>
        <v>0</v>
      </c>
      <c r="X62" s="681">
        <f>IF(Select2=1,Wood!$W64,"")</f>
        <v>5.9472899322439154E-2</v>
      </c>
      <c r="Y62" s="690">
        <f>IF(Select2=1,Textiles!$W64,"")</f>
        <v>7.8599057431140464E-3</v>
      </c>
      <c r="Z62" s="683">
        <f>Sludge!W64</f>
        <v>0</v>
      </c>
      <c r="AA62" s="683" t="str">
        <f>IF(Select2=2,MSW!$W64,"")</f>
        <v/>
      </c>
      <c r="AB62" s="691">
        <f>Industry!$W64</f>
        <v>0</v>
      </c>
      <c r="AC62" s="692">
        <f t="shared" si="4"/>
        <v>0.13096388231134354</v>
      </c>
      <c r="AD62" s="693">
        <f>Recovery_OX!R57</f>
        <v>0</v>
      </c>
      <c r="AE62" s="648"/>
      <c r="AF62" s="695">
        <f>(AC62-AD62)*(1-Recovery_OX!U57)</f>
        <v>0.13096388231134354</v>
      </c>
    </row>
    <row r="63" spans="2:32">
      <c r="B63" s="688">
        <f t="shared" si="1"/>
        <v>2046</v>
      </c>
      <c r="C63" s="689">
        <f>IF(Select2=1,Food!$K65,"")</f>
        <v>1.0449257496827182E-3</v>
      </c>
      <c r="D63" s="690">
        <f>IF(Select2=1,Paper!$K65,"")</f>
        <v>2.8244687992754359E-2</v>
      </c>
      <c r="E63" s="681">
        <f>IF(Select2=1,Nappies!$K65,"")</f>
        <v>1.067886294558729E-2</v>
      </c>
      <c r="F63" s="690">
        <f>IF(Select2=1,Garden!$K65,"")</f>
        <v>0</v>
      </c>
      <c r="G63" s="681">
        <f>IF(Select2=1,Wood!$K65,"")</f>
        <v>0</v>
      </c>
      <c r="H63" s="690">
        <f>IF(Select2=1,Textiles!$K65,"")</f>
        <v>6.6872813801795612E-3</v>
      </c>
      <c r="I63" s="691">
        <f>Sludge!K65</f>
        <v>0</v>
      </c>
      <c r="J63" s="691" t="str">
        <f>IF(Select2=2,MSW!$K65,"")</f>
        <v/>
      </c>
      <c r="K63" s="691">
        <f>Industry!$K65</f>
        <v>0</v>
      </c>
      <c r="L63" s="692">
        <f t="shared" si="3"/>
        <v>4.665575806820392E-2</v>
      </c>
      <c r="M63" s="693">
        <f>Recovery_OX!C58</f>
        <v>0</v>
      </c>
      <c r="N63" s="648"/>
      <c r="O63" s="694">
        <f>(L63-M63)*(1-Recovery_OX!F58)</f>
        <v>4.665575806820392E-2</v>
      </c>
      <c r="P63" s="640"/>
      <c r="Q63" s="650"/>
      <c r="S63" s="688">
        <f t="shared" si="2"/>
        <v>2046</v>
      </c>
      <c r="T63" s="689">
        <f>IF(Select2=1,Food!$W65,"")</f>
        <v>6.9910286553259465E-4</v>
      </c>
      <c r="U63" s="690">
        <f>IF(Select2=1,Paper!$W65,"")</f>
        <v>5.8356793373459392E-2</v>
      </c>
      <c r="V63" s="681">
        <f>IF(Select2=1,Nappies!$W65,"")</f>
        <v>0</v>
      </c>
      <c r="W63" s="690">
        <f>IF(Select2=1,Garden!$W65,"")</f>
        <v>0</v>
      </c>
      <c r="X63" s="681">
        <f>IF(Select2=1,Wood!$W65,"")</f>
        <v>5.7427353706288195E-2</v>
      </c>
      <c r="Y63" s="690">
        <f>IF(Select2=1,Textiles!$W65,"")</f>
        <v>7.3285275399228075E-3</v>
      </c>
      <c r="Z63" s="683">
        <f>Sludge!W65</f>
        <v>0</v>
      </c>
      <c r="AA63" s="683" t="str">
        <f>IF(Select2=2,MSW!$W65,"")</f>
        <v/>
      </c>
      <c r="AB63" s="691">
        <f>Industry!$W65</f>
        <v>0</v>
      </c>
      <c r="AC63" s="692">
        <f t="shared" si="4"/>
        <v>0.12381177748520299</v>
      </c>
      <c r="AD63" s="693">
        <f>Recovery_OX!R58</f>
        <v>0</v>
      </c>
      <c r="AE63" s="648"/>
      <c r="AF63" s="695">
        <f>(AC63-AD63)*(1-Recovery_OX!U58)</f>
        <v>0.12381177748520299</v>
      </c>
    </row>
    <row r="64" spans="2:32">
      <c r="B64" s="688">
        <f t="shared" si="1"/>
        <v>2047</v>
      </c>
      <c r="C64" s="689">
        <f>IF(Select2=1,Food!$K66,"")</f>
        <v>7.0043467663114466E-4</v>
      </c>
      <c r="D64" s="690">
        <f>IF(Select2=1,Paper!$K66,"")</f>
        <v>2.6335172529615911E-2</v>
      </c>
      <c r="E64" s="681">
        <f>IF(Select2=1,Nappies!$K66,"")</f>
        <v>9.0093809484468185E-3</v>
      </c>
      <c r="F64" s="690">
        <f>IF(Select2=1,Garden!$K66,"")</f>
        <v>0</v>
      </c>
      <c r="G64" s="681">
        <f>IF(Select2=1,Wood!$K66,"")</f>
        <v>0</v>
      </c>
      <c r="H64" s="690">
        <f>IF(Select2=1,Textiles!$K66,"")</f>
        <v>6.2351798308515425E-3</v>
      </c>
      <c r="I64" s="691">
        <f>Sludge!K66</f>
        <v>0</v>
      </c>
      <c r="J64" s="691" t="str">
        <f>IF(Select2=2,MSW!$K66,"")</f>
        <v/>
      </c>
      <c r="K64" s="691">
        <f>Industry!$K66</f>
        <v>0</v>
      </c>
      <c r="L64" s="692">
        <f t="shared" si="3"/>
        <v>4.228016798554541E-2</v>
      </c>
      <c r="M64" s="693">
        <f>Recovery_OX!C59</f>
        <v>0</v>
      </c>
      <c r="N64" s="648"/>
      <c r="O64" s="694">
        <f>(L64-M64)*(1-Recovery_OX!F59)</f>
        <v>4.228016798554541E-2</v>
      </c>
      <c r="P64" s="640"/>
      <c r="Q64" s="650"/>
      <c r="S64" s="688">
        <f t="shared" si="2"/>
        <v>2047</v>
      </c>
      <c r="T64" s="689">
        <f>IF(Select2=1,Food!$W66,"")</f>
        <v>4.6862266500745625E-4</v>
      </c>
      <c r="U64" s="690">
        <f>IF(Select2=1,Paper!$W66,"")</f>
        <v>5.4411513490941928E-2</v>
      </c>
      <c r="V64" s="681">
        <f>IF(Select2=1,Nappies!$W66,"")</f>
        <v>0</v>
      </c>
      <c r="W64" s="690">
        <f>IF(Select2=1,Garden!$W66,"")</f>
        <v>0</v>
      </c>
      <c r="X64" s="681">
        <f>IF(Select2=1,Wood!$W66,"")</f>
        <v>5.5452163780130917E-2</v>
      </c>
      <c r="Y64" s="690">
        <f>IF(Select2=1,Textiles!$W66,"")</f>
        <v>6.8330737872345686E-3</v>
      </c>
      <c r="Z64" s="683">
        <f>Sludge!W66</f>
        <v>0</v>
      </c>
      <c r="AA64" s="683" t="str">
        <f>IF(Select2=2,MSW!$W66,"")</f>
        <v/>
      </c>
      <c r="AB64" s="691">
        <f>Industry!$W66</f>
        <v>0</v>
      </c>
      <c r="AC64" s="692">
        <f t="shared" si="4"/>
        <v>0.11716537372331486</v>
      </c>
      <c r="AD64" s="693">
        <f>Recovery_OX!R59</f>
        <v>0</v>
      </c>
      <c r="AE64" s="648"/>
      <c r="AF64" s="695">
        <f>(AC64-AD64)*(1-Recovery_OX!U59)</f>
        <v>0.11716537372331486</v>
      </c>
    </row>
    <row r="65" spans="2:32">
      <c r="B65" s="688">
        <f t="shared" si="1"/>
        <v>2048</v>
      </c>
      <c r="C65" s="689">
        <f>IF(Select2=1,Food!$K67,"")</f>
        <v>4.6951540468434701E-4</v>
      </c>
      <c r="D65" s="690">
        <f>IF(Select2=1,Paper!$K67,"")</f>
        <v>2.4554752112770771E-2</v>
      </c>
      <c r="E65" s="681">
        <f>IF(Select2=1,Nappies!$K67,"")</f>
        <v>7.6008977255183395E-3</v>
      </c>
      <c r="F65" s="690">
        <f>IF(Select2=1,Garden!$K67,"")</f>
        <v>0</v>
      </c>
      <c r="G65" s="681">
        <f>IF(Select2=1,Wood!$K67,"")</f>
        <v>0</v>
      </c>
      <c r="H65" s="690">
        <f>IF(Select2=1,Textiles!$K67,"")</f>
        <v>5.8136431402881945E-3</v>
      </c>
      <c r="I65" s="691">
        <f>Sludge!K67</f>
        <v>0</v>
      </c>
      <c r="J65" s="691" t="str">
        <f>IF(Select2=2,MSW!$K67,"")</f>
        <v/>
      </c>
      <c r="K65" s="691">
        <f>Industry!$K67</f>
        <v>0</v>
      </c>
      <c r="L65" s="692">
        <f t="shared" si="3"/>
        <v>3.843880838326165E-2</v>
      </c>
      <c r="M65" s="693">
        <f>Recovery_OX!C60</f>
        <v>0</v>
      </c>
      <c r="N65" s="648"/>
      <c r="O65" s="694">
        <f>(L65-M65)*(1-Recovery_OX!F60)</f>
        <v>3.843880838326165E-2</v>
      </c>
      <c r="P65" s="640"/>
      <c r="Q65" s="650"/>
      <c r="S65" s="688">
        <f t="shared" si="2"/>
        <v>2048</v>
      </c>
      <c r="T65" s="689">
        <f>IF(Select2=1,Food!$W67,"")</f>
        <v>3.1412716638114203E-4</v>
      </c>
      <c r="U65" s="690">
        <f>IF(Select2=1,Paper!$W67,"")</f>
        <v>5.0732958910683391E-2</v>
      </c>
      <c r="V65" s="681">
        <f>IF(Select2=1,Nappies!$W67,"")</f>
        <v>0</v>
      </c>
      <c r="W65" s="690">
        <f>IF(Select2=1,Garden!$W67,"")</f>
        <v>0</v>
      </c>
      <c r="X65" s="681">
        <f>IF(Select2=1,Wood!$W67,"")</f>
        <v>5.3544909689296066E-2</v>
      </c>
      <c r="Y65" s="690">
        <f>IF(Select2=1,Textiles!$W67,"")</f>
        <v>6.3711157701788444E-3</v>
      </c>
      <c r="Z65" s="683">
        <f>Sludge!W67</f>
        <v>0</v>
      </c>
      <c r="AA65" s="683" t="str">
        <f>IF(Select2=2,MSW!$W67,"")</f>
        <v/>
      </c>
      <c r="AB65" s="691">
        <f>Industry!$W67</f>
        <v>0</v>
      </c>
      <c r="AC65" s="692">
        <f t="shared" si="4"/>
        <v>0.11096311153653945</v>
      </c>
      <c r="AD65" s="693">
        <f>Recovery_OX!R60</f>
        <v>0</v>
      </c>
      <c r="AE65" s="648"/>
      <c r="AF65" s="695">
        <f>(AC65-AD65)*(1-Recovery_OX!U60)</f>
        <v>0.11096311153653945</v>
      </c>
    </row>
    <row r="66" spans="2:32">
      <c r="B66" s="688">
        <f t="shared" si="1"/>
        <v>2049</v>
      </c>
      <c r="C66" s="689">
        <f>IF(Select2=1,Food!$K68,"")</f>
        <v>3.1472558768245334E-4</v>
      </c>
      <c r="D66" s="690">
        <f>IF(Select2=1,Paper!$K68,"")</f>
        <v>2.2894699119269994E-2</v>
      </c>
      <c r="E66" s="681">
        <f>IF(Select2=1,Nappies!$K68,"")</f>
        <v>6.4126099855672993E-3</v>
      </c>
      <c r="F66" s="690">
        <f>IF(Select2=1,Garden!$K68,"")</f>
        <v>0</v>
      </c>
      <c r="G66" s="681">
        <f>IF(Select2=1,Wood!$K68,"")</f>
        <v>0</v>
      </c>
      <c r="H66" s="690">
        <f>IF(Select2=1,Textiles!$K68,"")</f>
        <v>5.4206049351433212E-3</v>
      </c>
      <c r="I66" s="691">
        <f>Sludge!K68</f>
        <v>0</v>
      </c>
      <c r="J66" s="691" t="str">
        <f>IF(Select2=2,MSW!$K68,"")</f>
        <v/>
      </c>
      <c r="K66" s="691">
        <f>Industry!$K68</f>
        <v>0</v>
      </c>
      <c r="L66" s="692">
        <f t="shared" si="3"/>
        <v>3.5042639627663068E-2</v>
      </c>
      <c r="M66" s="693">
        <f>Recovery_OX!C61</f>
        <v>0</v>
      </c>
      <c r="N66" s="648"/>
      <c r="O66" s="694">
        <f>(L66-M66)*(1-Recovery_OX!F61)</f>
        <v>3.5042639627663068E-2</v>
      </c>
      <c r="P66" s="640"/>
      <c r="Q66" s="650"/>
      <c r="S66" s="688">
        <f t="shared" si="2"/>
        <v>2049</v>
      </c>
      <c r="T66" s="689">
        <f>IF(Select2=1,Food!$W68,"")</f>
        <v>2.1056573662965207E-4</v>
      </c>
      <c r="U66" s="690">
        <f>IF(Select2=1,Paper!$W68,"")</f>
        <v>4.73030973538636E-2</v>
      </c>
      <c r="V66" s="681">
        <f>IF(Select2=1,Nappies!$W68,"")</f>
        <v>0</v>
      </c>
      <c r="W66" s="690">
        <f>IF(Select2=1,Garden!$W68,"")</f>
        <v>0</v>
      </c>
      <c r="X66" s="681">
        <f>IF(Select2=1,Wood!$W68,"")</f>
        <v>5.1703254809006539E-2</v>
      </c>
      <c r="Y66" s="690">
        <f>IF(Select2=1,Textiles!$W68,"")</f>
        <v>5.9403889700200795E-3</v>
      </c>
      <c r="Z66" s="683">
        <f>Sludge!W68</f>
        <v>0</v>
      </c>
      <c r="AA66" s="683" t="str">
        <f>IF(Select2=2,MSW!$W68,"")</f>
        <v/>
      </c>
      <c r="AB66" s="691">
        <f>Industry!$W68</f>
        <v>0</v>
      </c>
      <c r="AC66" s="692">
        <f t="shared" si="4"/>
        <v>0.10515730686951988</v>
      </c>
      <c r="AD66" s="693">
        <f>Recovery_OX!R61</f>
        <v>0</v>
      </c>
      <c r="AE66" s="648"/>
      <c r="AF66" s="695">
        <f>(AC66-AD66)*(1-Recovery_OX!U61)</f>
        <v>0.10515730686951988</v>
      </c>
    </row>
    <row r="67" spans="2:32">
      <c r="B67" s="688">
        <f t="shared" si="1"/>
        <v>2050</v>
      </c>
      <c r="C67" s="689">
        <f>IF(Select2=1,Food!$K69,"")</f>
        <v>2.1096687042389576E-4</v>
      </c>
      <c r="D67" s="690">
        <f>IF(Select2=1,Paper!$K69,"")</f>
        <v>2.1346875967413498E-2</v>
      </c>
      <c r="E67" s="681">
        <f>IF(Select2=1,Nappies!$K69,"")</f>
        <v>5.4100934273777742E-3</v>
      </c>
      <c r="F67" s="690">
        <f>IF(Select2=1,Garden!$K69,"")</f>
        <v>0</v>
      </c>
      <c r="G67" s="681">
        <f>IF(Select2=1,Wood!$K69,"")</f>
        <v>0</v>
      </c>
      <c r="H67" s="690">
        <f>IF(Select2=1,Textiles!$K69,"")</f>
        <v>5.0541385416793174E-3</v>
      </c>
      <c r="I67" s="691">
        <f>Sludge!K69</f>
        <v>0</v>
      </c>
      <c r="J67" s="691" t="str">
        <f>IF(Select2=2,MSW!$K69,"")</f>
        <v/>
      </c>
      <c r="K67" s="691">
        <f>Industry!$K69</f>
        <v>0</v>
      </c>
      <c r="L67" s="692">
        <f t="shared" si="3"/>
        <v>3.2022074806894486E-2</v>
      </c>
      <c r="M67" s="693">
        <f>Recovery_OX!C62</f>
        <v>0</v>
      </c>
      <c r="N67" s="648"/>
      <c r="O67" s="694">
        <f>(L67-M67)*(1-Recovery_OX!F62)</f>
        <v>3.2022074806894486E-2</v>
      </c>
      <c r="P67" s="640"/>
      <c r="Q67" s="650"/>
      <c r="S67" s="688">
        <f t="shared" si="2"/>
        <v>2050</v>
      </c>
      <c r="T67" s="689">
        <f>IF(Select2=1,Food!$W69,"")</f>
        <v>1.4114643427111669E-4</v>
      </c>
      <c r="U67" s="690">
        <f>IF(Select2=1,Paper!$W69,"")</f>
        <v>4.4105115635151834E-2</v>
      </c>
      <c r="V67" s="681">
        <f>IF(Select2=1,Nappies!$W69,"")</f>
        <v>0</v>
      </c>
      <c r="W67" s="690">
        <f>IF(Select2=1,Garden!$W69,"")</f>
        <v>0</v>
      </c>
      <c r="X67" s="681">
        <f>IF(Select2=1,Wood!$W69,"")</f>
        <v>4.9924942881721779E-2</v>
      </c>
      <c r="Y67" s="690">
        <f>IF(Select2=1,Textiles!$W69,"")</f>
        <v>5.5387819634841826E-3</v>
      </c>
      <c r="Z67" s="683">
        <f>Sludge!W69</f>
        <v>0</v>
      </c>
      <c r="AA67" s="683" t="str">
        <f>IF(Select2=2,MSW!$W69,"")</f>
        <v/>
      </c>
      <c r="AB67" s="691">
        <f>Industry!$W69</f>
        <v>0</v>
      </c>
      <c r="AC67" s="692">
        <f t="shared" si="4"/>
        <v>9.9709986914628915E-2</v>
      </c>
      <c r="AD67" s="693">
        <f>Recovery_OX!R62</f>
        <v>0</v>
      </c>
      <c r="AE67" s="648"/>
      <c r="AF67" s="695">
        <f>(AC67-AD67)*(1-Recovery_OX!U62)</f>
        <v>9.9709986914628915E-2</v>
      </c>
    </row>
    <row r="68" spans="2:32">
      <c r="B68" s="688">
        <f t="shared" si="1"/>
        <v>2051</v>
      </c>
      <c r="C68" s="689">
        <f>IF(Select2=1,Food!$K70,"")</f>
        <v>1.4141532229454054E-4</v>
      </c>
      <c r="D68" s="690">
        <f>IF(Select2=1,Paper!$K70,"")</f>
        <v>1.9903695226315157E-2</v>
      </c>
      <c r="E68" s="681">
        <f>IF(Select2=1,Nappies!$K70,"")</f>
        <v>4.564305479177971E-3</v>
      </c>
      <c r="F68" s="690">
        <f>IF(Select2=1,Garden!$K70,"")</f>
        <v>0</v>
      </c>
      <c r="G68" s="681">
        <f>IF(Select2=1,Wood!$K70,"")</f>
        <v>0</v>
      </c>
      <c r="H68" s="690">
        <f>IF(Select2=1,Textiles!$K70,"")</f>
        <v>4.712447541210257E-3</v>
      </c>
      <c r="I68" s="691">
        <f>Sludge!K70</f>
        <v>0</v>
      </c>
      <c r="J68" s="691" t="str">
        <f>IF(Select2=2,MSW!$K70,"")</f>
        <v/>
      </c>
      <c r="K68" s="691">
        <f>Industry!$K70</f>
        <v>0</v>
      </c>
      <c r="L68" s="692">
        <f t="shared" si="3"/>
        <v>2.9321863568997929E-2</v>
      </c>
      <c r="M68" s="693">
        <f>Recovery_OX!C63</f>
        <v>0</v>
      </c>
      <c r="N68" s="648"/>
      <c r="O68" s="694">
        <f>(L68-M68)*(1-Recovery_OX!F63)</f>
        <v>2.9321863568997929E-2</v>
      </c>
      <c r="P68" s="640"/>
      <c r="Q68" s="650"/>
      <c r="S68" s="688">
        <f t="shared" si="2"/>
        <v>2051</v>
      </c>
      <c r="T68" s="689">
        <f>IF(Select2=1,Food!$W70,"")</f>
        <v>9.4613284318381268E-5</v>
      </c>
      <c r="U68" s="690">
        <f>IF(Select2=1,Paper!$W70,"")</f>
        <v>4.1123337244452787E-2</v>
      </c>
      <c r="V68" s="681">
        <f>IF(Select2=1,Nappies!$W70,"")</f>
        <v>0</v>
      </c>
      <c r="W68" s="690">
        <f>IF(Select2=1,Garden!$W70,"")</f>
        <v>0</v>
      </c>
      <c r="X68" s="681">
        <f>IF(Select2=1,Wood!$W70,"")</f>
        <v>4.820779525294018E-2</v>
      </c>
      <c r="Y68" s="690">
        <f>IF(Select2=1,Textiles!$W70,"")</f>
        <v>5.1643260725591864E-3</v>
      </c>
      <c r="Z68" s="683">
        <f>Sludge!W70</f>
        <v>0</v>
      </c>
      <c r="AA68" s="683" t="str">
        <f>IF(Select2=2,MSW!$W70,"")</f>
        <v/>
      </c>
      <c r="AB68" s="691">
        <f>Industry!$W70</f>
        <v>0</v>
      </c>
      <c r="AC68" s="692">
        <f t="shared" si="4"/>
        <v>9.4590071854270541E-2</v>
      </c>
      <c r="AD68" s="693">
        <f>Recovery_OX!R63</f>
        <v>0</v>
      </c>
      <c r="AE68" s="648"/>
      <c r="AF68" s="695">
        <f>(AC68-AD68)*(1-Recovery_OX!U63)</f>
        <v>9.4590071854270541E-2</v>
      </c>
    </row>
    <row r="69" spans="2:32">
      <c r="B69" s="688">
        <f t="shared" si="1"/>
        <v>2052</v>
      </c>
      <c r="C69" s="689">
        <f>IF(Select2=1,Food!$K71,"")</f>
        <v>9.4793525350621186E-5</v>
      </c>
      <c r="D69" s="690">
        <f>IF(Select2=1,Paper!$K71,"")</f>
        <v>1.8558082422307776E-2</v>
      </c>
      <c r="E69" s="681">
        <f>IF(Select2=1,Nappies!$K71,"")</f>
        <v>3.8507439449805524E-3</v>
      </c>
      <c r="F69" s="690">
        <f>IF(Select2=1,Garden!$K71,"")</f>
        <v>0</v>
      </c>
      <c r="G69" s="681">
        <f>IF(Select2=1,Wood!$K71,"")</f>
        <v>0</v>
      </c>
      <c r="H69" s="690">
        <f>IF(Select2=1,Textiles!$K71,"")</f>
        <v>4.3938569640554256E-3</v>
      </c>
      <c r="I69" s="691">
        <f>Sludge!K71</f>
        <v>0</v>
      </c>
      <c r="J69" s="691" t="str">
        <f>IF(Select2=2,MSW!$K71,"")</f>
        <v/>
      </c>
      <c r="K69" s="691">
        <f>Industry!$K71</f>
        <v>0</v>
      </c>
      <c r="L69" s="692">
        <f t="shared" si="3"/>
        <v>2.6897476856694372E-2</v>
      </c>
      <c r="M69" s="693">
        <f>Recovery_OX!C64</f>
        <v>0</v>
      </c>
      <c r="N69" s="648"/>
      <c r="O69" s="694">
        <f>(L69-M69)*(1-Recovery_OX!F64)</f>
        <v>2.6897476856694372E-2</v>
      </c>
      <c r="P69" s="640"/>
      <c r="Q69" s="650"/>
      <c r="S69" s="688">
        <f t="shared" si="2"/>
        <v>2052</v>
      </c>
      <c r="T69" s="689">
        <f>IF(Select2=1,Food!$W71,"")</f>
        <v>6.3421181099880373E-5</v>
      </c>
      <c r="U69" s="690">
        <f>IF(Select2=1,Paper!$W71,"")</f>
        <v>3.8343145500635889E-2</v>
      </c>
      <c r="V69" s="681">
        <f>IF(Select2=1,Nappies!$W71,"")</f>
        <v>0</v>
      </c>
      <c r="W69" s="690">
        <f>IF(Select2=1,Garden!$W71,"")</f>
        <v>0</v>
      </c>
      <c r="X69" s="681">
        <f>IF(Select2=1,Wood!$W71,"")</f>
        <v>4.6549708202074838E-2</v>
      </c>
      <c r="Y69" s="690">
        <f>IF(Select2=1,Textiles!$W71,"")</f>
        <v>4.8151857140333425E-3</v>
      </c>
      <c r="Z69" s="683">
        <f>Sludge!W71</f>
        <v>0</v>
      </c>
      <c r="AA69" s="683" t="str">
        <f>IF(Select2=2,MSW!$W71,"")</f>
        <v/>
      </c>
      <c r="AB69" s="691">
        <f>Industry!$W71</f>
        <v>0</v>
      </c>
      <c r="AC69" s="692">
        <f t="shared" si="4"/>
        <v>8.9771460597843952E-2</v>
      </c>
      <c r="AD69" s="693">
        <f>Recovery_OX!R64</f>
        <v>0</v>
      </c>
      <c r="AE69" s="648"/>
      <c r="AF69" s="695">
        <f>(AC69-AD69)*(1-Recovery_OX!U64)</f>
        <v>8.9771460597843952E-2</v>
      </c>
    </row>
    <row r="70" spans="2:32">
      <c r="B70" s="688">
        <f t="shared" si="1"/>
        <v>2053</v>
      </c>
      <c r="C70" s="689">
        <f>IF(Select2=1,Food!$K72,"")</f>
        <v>6.3542000276908944E-5</v>
      </c>
      <c r="D70" s="690">
        <f>IF(Select2=1,Paper!$K72,"")</f>
        <v>1.7303441359864981E-2</v>
      </c>
      <c r="E70" s="681">
        <f>IF(Select2=1,Nappies!$K72,"")</f>
        <v>3.2487371841016526E-3</v>
      </c>
      <c r="F70" s="690">
        <f>IF(Select2=1,Garden!$K72,"")</f>
        <v>0</v>
      </c>
      <c r="G70" s="681">
        <f>IF(Select2=1,Wood!$K72,"")</f>
        <v>0</v>
      </c>
      <c r="H70" s="690">
        <f>IF(Select2=1,Textiles!$K72,"")</f>
        <v>4.0968050788359901E-3</v>
      </c>
      <c r="I70" s="691">
        <f>Sludge!K72</f>
        <v>0</v>
      </c>
      <c r="J70" s="691" t="str">
        <f>IF(Select2=2,MSW!$K72,"")</f>
        <v/>
      </c>
      <c r="K70" s="691">
        <f>Industry!$K72</f>
        <v>0</v>
      </c>
      <c r="L70" s="692">
        <f t="shared" si="3"/>
        <v>2.4712525623079531E-2</v>
      </c>
      <c r="M70" s="693">
        <f>Recovery_OX!C65</f>
        <v>0</v>
      </c>
      <c r="N70" s="648"/>
      <c r="O70" s="694">
        <f>(L70-M70)*(1-Recovery_OX!F65)</f>
        <v>2.4712525623079531E-2</v>
      </c>
      <c r="P70" s="640"/>
      <c r="Q70" s="650"/>
      <c r="S70" s="688">
        <f t="shared" si="2"/>
        <v>2053</v>
      </c>
      <c r="T70" s="689">
        <f>IF(Select2=1,Food!$W72,"")</f>
        <v>4.2512489034506428E-5</v>
      </c>
      <c r="U70" s="690">
        <f>IF(Select2=1,Paper!$W72,"")</f>
        <v>3.5750911900547466E-2</v>
      </c>
      <c r="V70" s="681">
        <f>IF(Select2=1,Nappies!$W72,"")</f>
        <v>0</v>
      </c>
      <c r="W70" s="690">
        <f>IF(Select2=1,Garden!$W72,"")</f>
        <v>0</v>
      </c>
      <c r="X70" s="681">
        <f>IF(Select2=1,Wood!$W72,"")</f>
        <v>4.4948650365132736E-2</v>
      </c>
      <c r="Y70" s="690">
        <f>IF(Select2=1,Textiles!$W72,"")</f>
        <v>4.4896494014640999E-3</v>
      </c>
      <c r="Z70" s="683">
        <f>Sludge!W72</f>
        <v>0</v>
      </c>
      <c r="AA70" s="683" t="str">
        <f>IF(Select2=2,MSW!$W72,"")</f>
        <v/>
      </c>
      <c r="AB70" s="691">
        <f>Industry!$W72</f>
        <v>0</v>
      </c>
      <c r="AC70" s="692">
        <f t="shared" si="4"/>
        <v>8.5231724156178801E-2</v>
      </c>
      <c r="AD70" s="693">
        <f>Recovery_OX!R65</f>
        <v>0</v>
      </c>
      <c r="AE70" s="648"/>
      <c r="AF70" s="695">
        <f>(AC70-AD70)*(1-Recovery_OX!U65)</f>
        <v>8.5231724156178801E-2</v>
      </c>
    </row>
    <row r="71" spans="2:32">
      <c r="B71" s="688">
        <f t="shared" si="1"/>
        <v>2054</v>
      </c>
      <c r="C71" s="689">
        <f>IF(Select2=1,Food!$K73,"")</f>
        <v>4.2593476550814208E-5</v>
      </c>
      <c r="D71" s="690">
        <f>IF(Select2=1,Paper!$K73,"")</f>
        <v>1.6133621787043084E-2</v>
      </c>
      <c r="E71" s="681">
        <f>IF(Select2=1,Nappies!$K73,"")</f>
        <v>2.7408452605949731E-3</v>
      </c>
      <c r="F71" s="690">
        <f>IF(Select2=1,Garden!$K73,"")</f>
        <v>0</v>
      </c>
      <c r="G71" s="681">
        <f>IF(Select2=1,Wood!$K73,"")</f>
        <v>0</v>
      </c>
      <c r="H71" s="690">
        <f>IF(Select2=1,Textiles!$K73,"")</f>
        <v>3.8198357368659785E-3</v>
      </c>
      <c r="I71" s="691">
        <f>Sludge!K73</f>
        <v>0</v>
      </c>
      <c r="J71" s="691" t="str">
        <f>IF(Select2=2,MSW!$K73,"")</f>
        <v/>
      </c>
      <c r="K71" s="691">
        <f>Industry!$K73</f>
        <v>0</v>
      </c>
      <c r="L71" s="692">
        <f t="shared" si="3"/>
        <v>2.2736896261054851E-2</v>
      </c>
      <c r="M71" s="693">
        <f>Recovery_OX!C66</f>
        <v>0</v>
      </c>
      <c r="N71" s="648"/>
      <c r="O71" s="694">
        <f>(L71-M71)*(1-Recovery_OX!F66)</f>
        <v>2.2736896261054851E-2</v>
      </c>
      <c r="P71" s="640"/>
      <c r="Q71" s="650"/>
      <c r="S71" s="688">
        <f t="shared" si="2"/>
        <v>2054</v>
      </c>
      <c r="T71" s="689">
        <f>IF(Select2=1,Food!$W73,"")</f>
        <v>2.8496973606699964E-5</v>
      </c>
      <c r="U71" s="690">
        <f>IF(Select2=1,Paper!$W73,"")</f>
        <v>3.3333929312072477E-2</v>
      </c>
      <c r="V71" s="681">
        <f>IF(Select2=1,Nappies!$W73,"")</f>
        <v>0</v>
      </c>
      <c r="W71" s="690">
        <f>IF(Select2=1,Garden!$W73,"")</f>
        <v>0</v>
      </c>
      <c r="X71" s="681">
        <f>IF(Select2=1,Wood!$W73,"")</f>
        <v>4.3402660246039809E-2</v>
      </c>
      <c r="Y71" s="690">
        <f>IF(Select2=1,Textiles!$W73,"")</f>
        <v>4.1861213554695662E-3</v>
      </c>
      <c r="Z71" s="683">
        <f>Sludge!W73</f>
        <v>0</v>
      </c>
      <c r="AA71" s="683" t="str">
        <f>IF(Select2=2,MSW!$W73,"")</f>
        <v/>
      </c>
      <c r="AB71" s="691">
        <f>Industry!$W73</f>
        <v>0</v>
      </c>
      <c r="AC71" s="692">
        <f t="shared" si="4"/>
        <v>8.0951207887188556E-2</v>
      </c>
      <c r="AD71" s="693">
        <f>Recovery_OX!R66</f>
        <v>0</v>
      </c>
      <c r="AE71" s="648"/>
      <c r="AF71" s="695">
        <f>(AC71-AD71)*(1-Recovery_OX!U66)</f>
        <v>8.0951207887188556E-2</v>
      </c>
    </row>
    <row r="72" spans="2:32">
      <c r="B72" s="688">
        <f t="shared" si="1"/>
        <v>2055</v>
      </c>
      <c r="C72" s="689">
        <f>IF(Select2=1,Food!$K74,"")</f>
        <v>2.8551261162359704E-5</v>
      </c>
      <c r="D72" s="690">
        <f>IF(Select2=1,Paper!$K74,"")</f>
        <v>1.5042889246938933E-2</v>
      </c>
      <c r="E72" s="681">
        <f>IF(Select2=1,Nappies!$K74,"")</f>
        <v>2.3123547140989254E-3</v>
      </c>
      <c r="F72" s="690">
        <f>IF(Select2=1,Garden!$K74,"")</f>
        <v>0</v>
      </c>
      <c r="G72" s="681">
        <f>IF(Select2=1,Wood!$K74,"")</f>
        <v>0</v>
      </c>
      <c r="H72" s="690">
        <f>IF(Select2=1,Textiles!$K74,"")</f>
        <v>3.5615912341097223E-3</v>
      </c>
      <c r="I72" s="691">
        <f>Sludge!K74</f>
        <v>0</v>
      </c>
      <c r="J72" s="691" t="str">
        <f>IF(Select2=2,MSW!$K74,"")</f>
        <v/>
      </c>
      <c r="K72" s="691">
        <f>Industry!$K74</f>
        <v>0</v>
      </c>
      <c r="L72" s="692">
        <f t="shared" si="3"/>
        <v>2.0945386456309938E-2</v>
      </c>
      <c r="M72" s="693">
        <f>Recovery_OX!C67</f>
        <v>0</v>
      </c>
      <c r="N72" s="648"/>
      <c r="O72" s="694">
        <f>(L72-M72)*(1-Recovery_OX!F67)</f>
        <v>2.0945386456309938E-2</v>
      </c>
      <c r="P72" s="640"/>
      <c r="Q72" s="650"/>
      <c r="S72" s="688">
        <f t="shared" si="2"/>
        <v>2055</v>
      </c>
      <c r="T72" s="689">
        <f>IF(Select2=1,Food!$W74,"")</f>
        <v>1.910209265991952E-5</v>
      </c>
      <c r="U72" s="690">
        <f>IF(Select2=1,Paper!$W74,"")</f>
        <v>3.108034968375812E-2</v>
      </c>
      <c r="V72" s="681">
        <f>IF(Select2=1,Nappies!$W74,"")</f>
        <v>0</v>
      </c>
      <c r="W72" s="690">
        <f>IF(Select2=1,Garden!$W74,"")</f>
        <v>0</v>
      </c>
      <c r="X72" s="681">
        <f>IF(Select2=1,Wood!$W74,"")</f>
        <v>4.1909843813563004E-2</v>
      </c>
      <c r="Y72" s="690">
        <f>IF(Select2=1,Textiles!$W74,"")</f>
        <v>3.9031136812161353E-3</v>
      </c>
      <c r="Z72" s="683">
        <f>Sludge!W74</f>
        <v>0</v>
      </c>
      <c r="AA72" s="683" t="str">
        <f>IF(Select2=2,MSW!$W74,"")</f>
        <v/>
      </c>
      <c r="AB72" s="691">
        <f>Industry!$W74</f>
        <v>0</v>
      </c>
      <c r="AC72" s="692">
        <f t="shared" si="4"/>
        <v>7.6912409271197177E-2</v>
      </c>
      <c r="AD72" s="693">
        <f>Recovery_OX!R67</f>
        <v>0</v>
      </c>
      <c r="AE72" s="648"/>
      <c r="AF72" s="695">
        <f>(AC72-AD72)*(1-Recovery_OX!U67)</f>
        <v>7.6912409271197177E-2</v>
      </c>
    </row>
    <row r="73" spans="2:32">
      <c r="B73" s="688">
        <f t="shared" si="1"/>
        <v>2056</v>
      </c>
      <c r="C73" s="689">
        <f>IF(Select2=1,Food!$K75,"")</f>
        <v>1.913848269672852E-5</v>
      </c>
      <c r="D73" s="690">
        <f>IF(Select2=1,Paper!$K75,"")</f>
        <v>1.4025896967375504E-2</v>
      </c>
      <c r="E73" s="681">
        <f>IF(Select2=1,Nappies!$K75,"")</f>
        <v>1.9508523157760532E-3</v>
      </c>
      <c r="F73" s="690">
        <f>IF(Select2=1,Garden!$K75,"")</f>
        <v>0</v>
      </c>
      <c r="G73" s="681">
        <f>IF(Select2=1,Wood!$K75,"")</f>
        <v>0</v>
      </c>
      <c r="H73" s="690">
        <f>IF(Select2=1,Textiles!$K75,"")</f>
        <v>3.3208056557151042E-3</v>
      </c>
      <c r="I73" s="691">
        <f>Sludge!K75</f>
        <v>0</v>
      </c>
      <c r="J73" s="691" t="str">
        <f>IF(Select2=2,MSW!$K75,"")</f>
        <v/>
      </c>
      <c r="K73" s="691">
        <f>Industry!$K75</f>
        <v>0</v>
      </c>
      <c r="L73" s="692">
        <f t="shared" si="3"/>
        <v>1.9316693421563388E-2</v>
      </c>
      <c r="M73" s="693">
        <f>Recovery_OX!C68</f>
        <v>0</v>
      </c>
      <c r="N73" s="648"/>
      <c r="O73" s="694">
        <f>(L73-M73)*(1-Recovery_OX!F68)</f>
        <v>1.9316693421563388E-2</v>
      </c>
      <c r="P73" s="640"/>
      <c r="Q73" s="650"/>
      <c r="S73" s="688">
        <f t="shared" si="2"/>
        <v>2056</v>
      </c>
      <c r="T73" s="689">
        <f>IF(Select2=1,Food!$W75,"")</f>
        <v>1.2804515631174299E-5</v>
      </c>
      <c r="U73" s="690">
        <f>IF(Select2=1,Paper!$W75,"")</f>
        <v>2.8979125965651865E-2</v>
      </c>
      <c r="V73" s="681">
        <f>IF(Select2=1,Nappies!$W75,"")</f>
        <v>0</v>
      </c>
      <c r="W73" s="690">
        <f>IF(Select2=1,Garden!$W75,"")</f>
        <v>0</v>
      </c>
      <c r="X73" s="681">
        <f>IF(Select2=1,Wood!$W75,"")</f>
        <v>4.0468372180885101E-2</v>
      </c>
      <c r="Y73" s="690">
        <f>IF(Select2=1,Textiles!$W75,"")</f>
        <v>3.63923907475628E-3</v>
      </c>
      <c r="Z73" s="683">
        <f>Sludge!W75</f>
        <v>0</v>
      </c>
      <c r="AA73" s="683" t="str">
        <f>IF(Select2=2,MSW!$W75,"")</f>
        <v/>
      </c>
      <c r="AB73" s="691">
        <f>Industry!$W75</f>
        <v>0</v>
      </c>
      <c r="AC73" s="692">
        <f t="shared" si="4"/>
        <v>7.3099541736924428E-2</v>
      </c>
      <c r="AD73" s="693">
        <f>Recovery_OX!R68</f>
        <v>0</v>
      </c>
      <c r="AE73" s="648"/>
      <c r="AF73" s="695">
        <f>(AC73-AD73)*(1-Recovery_OX!U68)</f>
        <v>7.3099541736924428E-2</v>
      </c>
    </row>
    <row r="74" spans="2:32">
      <c r="B74" s="688">
        <f t="shared" si="1"/>
        <v>2057</v>
      </c>
      <c r="C74" s="689">
        <f>IF(Select2=1,Food!$K76,"")</f>
        <v>1.2828908602323347E-5</v>
      </c>
      <c r="D74" s="690">
        <f>IF(Select2=1,Paper!$K76,"")</f>
        <v>1.3077659651018501E-2</v>
      </c>
      <c r="E74" s="681">
        <f>IF(Select2=1,Nappies!$K76,"")</f>
        <v>1.6458654611958342E-3</v>
      </c>
      <c r="F74" s="690">
        <f>IF(Select2=1,Garden!$K76,"")</f>
        <v>0</v>
      </c>
      <c r="G74" s="681">
        <f>IF(Select2=1,Wood!$K76,"")</f>
        <v>0</v>
      </c>
      <c r="H74" s="690">
        <f>IF(Select2=1,Textiles!$K76,"")</f>
        <v>3.0962986704974834E-3</v>
      </c>
      <c r="I74" s="691">
        <f>Sludge!K76</f>
        <v>0</v>
      </c>
      <c r="J74" s="691" t="str">
        <f>IF(Select2=2,MSW!$K76,"")</f>
        <v/>
      </c>
      <c r="K74" s="691">
        <f>Industry!$K76</f>
        <v>0</v>
      </c>
      <c r="L74" s="692">
        <f t="shared" si="3"/>
        <v>1.7832652691314142E-2</v>
      </c>
      <c r="M74" s="693">
        <f>Recovery_OX!C69</f>
        <v>0</v>
      </c>
      <c r="N74" s="648"/>
      <c r="O74" s="694">
        <f>(L74-M74)*(1-Recovery_OX!F69)</f>
        <v>1.7832652691314142E-2</v>
      </c>
      <c r="P74" s="640"/>
      <c r="Q74" s="650"/>
      <c r="S74" s="688">
        <f t="shared" si="2"/>
        <v>2057</v>
      </c>
      <c r="T74" s="689">
        <f>IF(Select2=1,Food!$W76,"")</f>
        <v>8.5831235073528187E-6</v>
      </c>
      <c r="U74" s="690">
        <f>IF(Select2=1,Paper!$W76,"")</f>
        <v>2.7019957956649798E-2</v>
      </c>
      <c r="V74" s="681">
        <f>IF(Select2=1,Nappies!$W76,"")</f>
        <v>0</v>
      </c>
      <c r="W74" s="690">
        <f>IF(Select2=1,Garden!$W76,"")</f>
        <v>0</v>
      </c>
      <c r="X74" s="681">
        <f>IF(Select2=1,Wood!$W76,"")</f>
        <v>3.9076479364989675E-2</v>
      </c>
      <c r="Y74" s="690">
        <f>IF(Select2=1,Textiles!$W76,"")</f>
        <v>3.3932040224629971E-3</v>
      </c>
      <c r="Z74" s="683">
        <f>Sludge!W76</f>
        <v>0</v>
      </c>
      <c r="AA74" s="683" t="str">
        <f>IF(Select2=2,MSW!$W76,"")</f>
        <v/>
      </c>
      <c r="AB74" s="691">
        <f>Industry!$W76</f>
        <v>0</v>
      </c>
      <c r="AC74" s="692">
        <f t="shared" si="4"/>
        <v>6.9498224467609823E-2</v>
      </c>
      <c r="AD74" s="693">
        <f>Recovery_OX!R69</f>
        <v>0</v>
      </c>
      <c r="AE74" s="648"/>
      <c r="AF74" s="695">
        <f>(AC74-AD74)*(1-Recovery_OX!U69)</f>
        <v>6.9498224467609823E-2</v>
      </c>
    </row>
    <row r="75" spans="2:32">
      <c r="B75" s="688">
        <f t="shared" si="1"/>
        <v>2058</v>
      </c>
      <c r="C75" s="689">
        <f>IF(Select2=1,Food!$K77,"")</f>
        <v>8.5994746048963957E-6</v>
      </c>
      <c r="D75" s="690">
        <f>IF(Select2=1,Paper!$K77,"")</f>
        <v>1.2193529037443031E-2</v>
      </c>
      <c r="E75" s="681">
        <f>IF(Select2=1,Nappies!$K77,"")</f>
        <v>1.3885587824621058E-3</v>
      </c>
      <c r="F75" s="690">
        <f>IF(Select2=1,Garden!$K77,"")</f>
        <v>0</v>
      </c>
      <c r="G75" s="681">
        <f>IF(Select2=1,Wood!$K77,"")</f>
        <v>0</v>
      </c>
      <c r="H75" s="690">
        <f>IF(Select2=1,Textiles!$K77,"")</f>
        <v>2.8869697449548579E-3</v>
      </c>
      <c r="I75" s="691">
        <f>Sludge!K77</f>
        <v>0</v>
      </c>
      <c r="J75" s="691" t="str">
        <f>IF(Select2=2,MSW!$K77,"")</f>
        <v/>
      </c>
      <c r="K75" s="691">
        <f>Industry!$K77</f>
        <v>0</v>
      </c>
      <c r="L75" s="692">
        <f t="shared" si="3"/>
        <v>1.6477657039464889E-2</v>
      </c>
      <c r="M75" s="693">
        <f>Recovery_OX!C70</f>
        <v>0</v>
      </c>
      <c r="N75" s="648"/>
      <c r="O75" s="694">
        <f>(L75-M75)*(1-Recovery_OX!F70)</f>
        <v>1.6477657039464889E-2</v>
      </c>
      <c r="P75" s="640"/>
      <c r="Q75" s="650"/>
      <c r="S75" s="688">
        <f t="shared" si="2"/>
        <v>2058</v>
      </c>
      <c r="T75" s="689">
        <f>IF(Select2=1,Food!$W77,"")</f>
        <v>5.7534397445783202E-6</v>
      </c>
      <c r="U75" s="690">
        <f>IF(Select2=1,Paper!$W77,"")</f>
        <v>2.5193241812898823E-2</v>
      </c>
      <c r="V75" s="681">
        <f>IF(Select2=1,Nappies!$W77,"")</f>
        <v>0</v>
      </c>
      <c r="W75" s="690">
        <f>IF(Select2=1,Garden!$W77,"")</f>
        <v>0</v>
      </c>
      <c r="X75" s="681">
        <f>IF(Select2=1,Wood!$W77,"")</f>
        <v>3.7732460123111058E-2</v>
      </c>
      <c r="Y75" s="690">
        <f>IF(Select2=1,Textiles!$W77,"")</f>
        <v>3.1638024602245029E-3</v>
      </c>
      <c r="Z75" s="683">
        <f>Sludge!W77</f>
        <v>0</v>
      </c>
      <c r="AA75" s="683" t="str">
        <f>IF(Select2=2,MSW!$W77,"")</f>
        <v/>
      </c>
      <c r="AB75" s="691">
        <f>Industry!$W77</f>
        <v>0</v>
      </c>
      <c r="AC75" s="692">
        <f t="shared" si="4"/>
        <v>6.6095257835978957E-2</v>
      </c>
      <c r="AD75" s="693">
        <f>Recovery_OX!R70</f>
        <v>0</v>
      </c>
      <c r="AE75" s="648"/>
      <c r="AF75" s="695">
        <f>(AC75-AD75)*(1-Recovery_OX!U70)</f>
        <v>6.6095257835978957E-2</v>
      </c>
    </row>
    <row r="76" spans="2:32">
      <c r="B76" s="688">
        <f t="shared" si="1"/>
        <v>2059</v>
      </c>
      <c r="C76" s="689">
        <f>IF(Select2=1,Food!$K78,"")</f>
        <v>5.7644002130364631E-6</v>
      </c>
      <c r="D76" s="690">
        <f>IF(Select2=1,Paper!$K78,"")</f>
        <v>1.1369171117355605E-2</v>
      </c>
      <c r="E76" s="681">
        <f>IF(Select2=1,Nappies!$K78,"")</f>
        <v>1.1714781905391904E-3</v>
      </c>
      <c r="F76" s="690">
        <f>IF(Select2=1,Garden!$K78,"")</f>
        <v>0</v>
      </c>
      <c r="G76" s="681">
        <f>IF(Select2=1,Wood!$K78,"")</f>
        <v>0</v>
      </c>
      <c r="H76" s="690">
        <f>IF(Select2=1,Textiles!$K78,"")</f>
        <v>2.6917927484513609E-3</v>
      </c>
      <c r="I76" s="691">
        <f>Sludge!K78</f>
        <v>0</v>
      </c>
      <c r="J76" s="691" t="str">
        <f>IF(Select2=2,MSW!$K78,"")</f>
        <v/>
      </c>
      <c r="K76" s="691">
        <f>Industry!$K78</f>
        <v>0</v>
      </c>
      <c r="L76" s="692">
        <f t="shared" si="3"/>
        <v>1.5238206456559194E-2</v>
      </c>
      <c r="M76" s="693">
        <f>Recovery_OX!C71</f>
        <v>0</v>
      </c>
      <c r="N76" s="648"/>
      <c r="O76" s="694">
        <f>(L76-M76)*(1-Recovery_OX!F71)</f>
        <v>1.5238206456559194E-2</v>
      </c>
      <c r="P76" s="640"/>
      <c r="Q76" s="650"/>
      <c r="S76" s="688">
        <f t="shared" si="2"/>
        <v>2059</v>
      </c>
      <c r="T76" s="689">
        <f>IF(Select2=1,Food!$W78,"")</f>
        <v>3.8566459944490166E-6</v>
      </c>
      <c r="U76" s="690">
        <f>IF(Select2=1,Paper!$W78,"")</f>
        <v>2.3490022969742994E-2</v>
      </c>
      <c r="V76" s="681">
        <f>IF(Select2=1,Nappies!$W78,"")</f>
        <v>0</v>
      </c>
      <c r="W76" s="690">
        <f>IF(Select2=1,Garden!$W78,"")</f>
        <v>0</v>
      </c>
      <c r="X76" s="681">
        <f>IF(Select2=1,Wood!$W78,"")</f>
        <v>3.6434667863598683E-2</v>
      </c>
      <c r="Y76" s="690">
        <f>IF(Select2=1,Textiles!$W78,"")</f>
        <v>2.9499098613165612E-3</v>
      </c>
      <c r="Z76" s="683">
        <f>Sludge!W78</f>
        <v>0</v>
      </c>
      <c r="AA76" s="683" t="str">
        <f>IF(Select2=2,MSW!$W78,"")</f>
        <v/>
      </c>
      <c r="AB76" s="691">
        <f>Industry!$W78</f>
        <v>0</v>
      </c>
      <c r="AC76" s="692">
        <f t="shared" si="4"/>
        <v>6.2878457340652685E-2</v>
      </c>
      <c r="AD76" s="693">
        <f>Recovery_OX!R71</f>
        <v>0</v>
      </c>
      <c r="AE76" s="648"/>
      <c r="AF76" s="695">
        <f>(AC76-AD76)*(1-Recovery_OX!U71)</f>
        <v>6.2878457340652685E-2</v>
      </c>
    </row>
    <row r="77" spans="2:32">
      <c r="B77" s="688">
        <f t="shared" si="1"/>
        <v>2060</v>
      </c>
      <c r="C77" s="689">
        <f>IF(Select2=1,Food!$K79,"")</f>
        <v>3.8639930161704508E-6</v>
      </c>
      <c r="D77" s="690">
        <f>IF(Select2=1,Paper!$K79,"")</f>
        <v>1.0600544887275572E-2</v>
      </c>
      <c r="E77" s="681">
        <f>IF(Select2=1,Nappies!$K79,"")</f>
        <v>9.8833493276790935E-4</v>
      </c>
      <c r="F77" s="690">
        <f>IF(Select2=1,Garden!$K79,"")</f>
        <v>0</v>
      </c>
      <c r="G77" s="681">
        <f>IF(Select2=1,Wood!$K79,"")</f>
        <v>0</v>
      </c>
      <c r="H77" s="690">
        <f>IF(Select2=1,Textiles!$K79,"")</f>
        <v>2.5098109231236959E-3</v>
      </c>
      <c r="I77" s="691">
        <f>Sludge!K79</f>
        <v>0</v>
      </c>
      <c r="J77" s="691" t="str">
        <f>IF(Select2=2,MSW!$K79,"")</f>
        <v/>
      </c>
      <c r="K77" s="691">
        <f>Industry!$K79</f>
        <v>0</v>
      </c>
      <c r="L77" s="692">
        <f t="shared" si="3"/>
        <v>1.410255473618335E-2</v>
      </c>
      <c r="M77" s="693">
        <f>Recovery_OX!C72</f>
        <v>0</v>
      </c>
      <c r="N77" s="648"/>
      <c r="O77" s="694">
        <f>(L77-M77)*(1-Recovery_OX!F72)</f>
        <v>1.410255473618335E-2</v>
      </c>
      <c r="P77" s="640"/>
      <c r="Q77" s="650"/>
      <c r="S77" s="688">
        <f t="shared" si="2"/>
        <v>2060</v>
      </c>
      <c r="T77" s="689">
        <f>IF(Select2=1,Food!$W79,"")</f>
        <v>2.5851871205422291E-6</v>
      </c>
      <c r="U77" s="690">
        <f>IF(Select2=1,Paper!$W79,"")</f>
        <v>2.190195224643713E-2</v>
      </c>
      <c r="V77" s="681">
        <f>IF(Select2=1,Nappies!$W79,"")</f>
        <v>0</v>
      </c>
      <c r="W77" s="690">
        <f>IF(Select2=1,Garden!$W79,"")</f>
        <v>0</v>
      </c>
      <c r="X77" s="681">
        <f>IF(Select2=1,Wood!$W79,"")</f>
        <v>3.5181512628636391E-2</v>
      </c>
      <c r="Y77" s="690">
        <f>IF(Select2=1,Textiles!$W79,"")</f>
        <v>2.7504777239711745E-3</v>
      </c>
      <c r="Z77" s="683">
        <f>Sludge!W79</f>
        <v>0</v>
      </c>
      <c r="AA77" s="683" t="str">
        <f>IF(Select2=2,MSW!$W79,"")</f>
        <v/>
      </c>
      <c r="AB77" s="691">
        <f>Industry!$W79</f>
        <v>0</v>
      </c>
      <c r="AC77" s="692">
        <f t="shared" si="4"/>
        <v>5.9836527786165238E-2</v>
      </c>
      <c r="AD77" s="693">
        <f>Recovery_OX!R72</f>
        <v>0</v>
      </c>
      <c r="AE77" s="648"/>
      <c r="AF77" s="695">
        <f>(AC77-AD77)*(1-Recovery_OX!U72)</f>
        <v>5.9836527786165238E-2</v>
      </c>
    </row>
    <row r="78" spans="2:32">
      <c r="B78" s="688">
        <f t="shared" si="1"/>
        <v>2061</v>
      </c>
      <c r="C78" s="689">
        <f>IF(Select2=1,Food!$K80,"")</f>
        <v>2.5901119764807655E-6</v>
      </c>
      <c r="D78" s="690">
        <f>IF(Select2=1,Paper!$K80,"")</f>
        <v>9.8838825405313403E-3</v>
      </c>
      <c r="E78" s="681">
        <f>IF(Select2=1,Nappies!$K80,"")</f>
        <v>8.3382340978943744E-4</v>
      </c>
      <c r="F78" s="690">
        <f>IF(Select2=1,Garden!$K80,"")</f>
        <v>0</v>
      </c>
      <c r="G78" s="681">
        <f>IF(Select2=1,Wood!$K80,"")</f>
        <v>0</v>
      </c>
      <c r="H78" s="690">
        <f>IF(Select2=1,Textiles!$K80,"")</f>
        <v>2.340132193852977E-3</v>
      </c>
      <c r="I78" s="691">
        <f>Sludge!K80</f>
        <v>0</v>
      </c>
      <c r="J78" s="691" t="str">
        <f>IF(Select2=2,MSW!$K80,"")</f>
        <v/>
      </c>
      <c r="K78" s="691">
        <f>Industry!$K80</f>
        <v>0</v>
      </c>
      <c r="L78" s="692">
        <f t="shared" si="3"/>
        <v>1.3060428256150235E-2</v>
      </c>
      <c r="M78" s="693">
        <f>Recovery_OX!C73</f>
        <v>0</v>
      </c>
      <c r="N78" s="648"/>
      <c r="O78" s="694">
        <f>(L78-M78)*(1-Recovery_OX!F73)</f>
        <v>1.3060428256150235E-2</v>
      </c>
      <c r="P78" s="640"/>
      <c r="Q78" s="650"/>
      <c r="S78" s="688">
        <f t="shared" si="2"/>
        <v>2061</v>
      </c>
      <c r="T78" s="689">
        <f>IF(Select2=1,Food!$W80,"")</f>
        <v>1.7329027496526085E-6</v>
      </c>
      <c r="U78" s="690">
        <f>IF(Select2=1,Paper!$W80,"")</f>
        <v>2.0421244918453183E-2</v>
      </c>
      <c r="V78" s="681">
        <f>IF(Select2=1,Nappies!$W80,"")</f>
        <v>0</v>
      </c>
      <c r="W78" s="690">
        <f>IF(Select2=1,Garden!$W80,"")</f>
        <v>0</v>
      </c>
      <c r="X78" s="681">
        <f>IF(Select2=1,Wood!$W80,"")</f>
        <v>3.3971459146345272E-2</v>
      </c>
      <c r="Y78" s="690">
        <f>IF(Select2=1,Textiles!$W80,"")</f>
        <v>2.5645284316197017E-3</v>
      </c>
      <c r="Z78" s="683">
        <f>Sludge!W80</f>
        <v>0</v>
      </c>
      <c r="AA78" s="683" t="str">
        <f>IF(Select2=2,MSW!$W80,"")</f>
        <v/>
      </c>
      <c r="AB78" s="691">
        <f>Industry!$W80</f>
        <v>0</v>
      </c>
      <c r="AC78" s="692">
        <f t="shared" si="4"/>
        <v>5.695896539916781E-2</v>
      </c>
      <c r="AD78" s="693">
        <f>Recovery_OX!R73</f>
        <v>0</v>
      </c>
      <c r="AE78" s="648"/>
      <c r="AF78" s="695">
        <f>(AC78-AD78)*(1-Recovery_OX!U73)</f>
        <v>5.695896539916781E-2</v>
      </c>
    </row>
    <row r="79" spans="2:32">
      <c r="B79" s="688">
        <f t="shared" si="1"/>
        <v>2062</v>
      </c>
      <c r="C79" s="689">
        <f>IF(Select2=1,Food!$K81,"")</f>
        <v>1.7362039793120475E-6</v>
      </c>
      <c r="D79" s="690">
        <f>IF(Select2=1,Paper!$K81,"")</f>
        <v>9.2156709974677252E-3</v>
      </c>
      <c r="E79" s="681">
        <f>IF(Select2=1,Nappies!$K81,"")</f>
        <v>7.0346747409377709E-4</v>
      </c>
      <c r="F79" s="690">
        <f>IF(Select2=1,Garden!$K81,"")</f>
        <v>0</v>
      </c>
      <c r="G79" s="681">
        <f>IF(Select2=1,Wood!$K81,"")</f>
        <v>0</v>
      </c>
      <c r="H79" s="690">
        <f>IF(Select2=1,Textiles!$K81,"")</f>
        <v>2.1819247953114643E-3</v>
      </c>
      <c r="I79" s="691">
        <f>Sludge!K81</f>
        <v>0</v>
      </c>
      <c r="J79" s="691" t="str">
        <f>IF(Select2=2,MSW!$K81,"")</f>
        <v/>
      </c>
      <c r="K79" s="691">
        <f>Industry!$K81</f>
        <v>0</v>
      </c>
      <c r="L79" s="692">
        <f t="shared" si="3"/>
        <v>1.2102799470852278E-2</v>
      </c>
      <c r="M79" s="693">
        <f>Recovery_OX!C74</f>
        <v>0</v>
      </c>
      <c r="N79" s="648"/>
      <c r="O79" s="694">
        <f>(L79-M79)*(1-Recovery_OX!F74)</f>
        <v>1.2102799470852278E-2</v>
      </c>
      <c r="P79" s="640"/>
      <c r="Q79" s="650"/>
      <c r="S79" s="688">
        <f t="shared" si="2"/>
        <v>2062</v>
      </c>
      <c r="T79" s="689">
        <f>IF(Select2=1,Food!$W81,"")</f>
        <v>1.1615994509224226E-6</v>
      </c>
      <c r="U79" s="690">
        <f>IF(Select2=1,Paper!$W81,"")</f>
        <v>1.9040642556751499E-2</v>
      </c>
      <c r="V79" s="681">
        <f>IF(Select2=1,Nappies!$W81,"")</f>
        <v>0</v>
      </c>
      <c r="W79" s="690">
        <f>IF(Select2=1,Garden!$W81,"")</f>
        <v>0</v>
      </c>
      <c r="X79" s="681">
        <f>IF(Select2=1,Wood!$W81,"")</f>
        <v>3.2803024949883637E-2</v>
      </c>
      <c r="Y79" s="690">
        <f>IF(Select2=1,Textiles!$W81,"")</f>
        <v>2.3911504606153045E-3</v>
      </c>
      <c r="Z79" s="683">
        <f>Sludge!W81</f>
        <v>0</v>
      </c>
      <c r="AA79" s="683" t="str">
        <f>IF(Select2=2,MSW!$W81,"")</f>
        <v/>
      </c>
      <c r="AB79" s="691">
        <f>Industry!$W81</f>
        <v>0</v>
      </c>
      <c r="AC79" s="692">
        <f t="shared" si="4"/>
        <v>5.4235979566701363E-2</v>
      </c>
      <c r="AD79" s="693">
        <f>Recovery_OX!R74</f>
        <v>0</v>
      </c>
      <c r="AE79" s="648"/>
      <c r="AF79" s="695">
        <f>(AC79-AD79)*(1-Recovery_OX!U74)</f>
        <v>5.4235979566701363E-2</v>
      </c>
    </row>
    <row r="80" spans="2:32">
      <c r="B80" s="688">
        <f t="shared" si="1"/>
        <v>2063</v>
      </c>
      <c r="C80" s="689">
        <f>IF(Select2=1,Food!$K82,"")</f>
        <v>1.1638123313397118E-6</v>
      </c>
      <c r="D80" s="690">
        <f>IF(Select2=1,Paper!$K82,"")</f>
        <v>8.5926346843253933E-3</v>
      </c>
      <c r="E80" s="681">
        <f>IF(Select2=1,Nappies!$K82,"")</f>
        <v>5.9349075751284771E-4</v>
      </c>
      <c r="F80" s="690">
        <f>IF(Select2=1,Garden!$K82,"")</f>
        <v>0</v>
      </c>
      <c r="G80" s="681">
        <f>IF(Select2=1,Wood!$K82,"")</f>
        <v>0</v>
      </c>
      <c r="H80" s="690">
        <f>IF(Select2=1,Textiles!$K82,"")</f>
        <v>2.0344131946479602E-3</v>
      </c>
      <c r="I80" s="691">
        <f>Sludge!K82</f>
        <v>0</v>
      </c>
      <c r="J80" s="691" t="str">
        <f>IF(Select2=2,MSW!$K82,"")</f>
        <v/>
      </c>
      <c r="K80" s="691">
        <f>Industry!$K82</f>
        <v>0</v>
      </c>
      <c r="L80" s="692">
        <f t="shared" si="3"/>
        <v>1.122170244881754E-2</v>
      </c>
      <c r="M80" s="693">
        <f>Recovery_OX!C75</f>
        <v>0</v>
      </c>
      <c r="N80" s="648"/>
      <c r="O80" s="694">
        <f>(L80-M80)*(1-Recovery_OX!F75)</f>
        <v>1.122170244881754E-2</v>
      </c>
      <c r="P80" s="640"/>
      <c r="Q80" s="650"/>
      <c r="S80" s="688">
        <f t="shared" si="2"/>
        <v>2063</v>
      </c>
      <c r="T80" s="689">
        <f>IF(Select2=1,Food!$W82,"")</f>
        <v>7.7864339741729166E-7</v>
      </c>
      <c r="U80" s="690">
        <f>IF(Select2=1,Paper!$W82,"")</f>
        <v>1.7753377446953295E-2</v>
      </c>
      <c r="V80" s="681">
        <f>IF(Select2=1,Nappies!$W82,"")</f>
        <v>0</v>
      </c>
      <c r="W80" s="690">
        <f>IF(Select2=1,Garden!$W82,"")</f>
        <v>0</v>
      </c>
      <c r="X80" s="681">
        <f>IF(Select2=1,Wood!$W82,"")</f>
        <v>3.1674778561239722E-2</v>
      </c>
      <c r="Y80" s="690">
        <f>IF(Select2=1,Textiles!$W82,"")</f>
        <v>2.2294939119429712E-3</v>
      </c>
      <c r="Z80" s="683">
        <f>Sludge!W82</f>
        <v>0</v>
      </c>
      <c r="AA80" s="683" t="str">
        <f>IF(Select2=2,MSW!$W82,"")</f>
        <v/>
      </c>
      <c r="AB80" s="691">
        <f>Industry!$W82</f>
        <v>0</v>
      </c>
      <c r="AC80" s="692">
        <f t="shared" si="4"/>
        <v>5.1658428563533407E-2</v>
      </c>
      <c r="AD80" s="693">
        <f>Recovery_OX!R75</f>
        <v>0</v>
      </c>
      <c r="AE80" s="648"/>
      <c r="AF80" s="695">
        <f>(AC80-AD80)*(1-Recovery_OX!U75)</f>
        <v>5.1658428563533407E-2</v>
      </c>
    </row>
    <row r="81" spans="2:32">
      <c r="B81" s="688">
        <f t="shared" si="1"/>
        <v>2064</v>
      </c>
      <c r="C81" s="689">
        <f>IF(Select2=1,Food!$K83,"")</f>
        <v>7.8012673552048031E-7</v>
      </c>
      <c r="D81" s="690">
        <f>IF(Select2=1,Paper!$K83,"")</f>
        <v>8.0117194763744959E-3</v>
      </c>
      <c r="E81" s="681">
        <f>IF(Select2=1,Nappies!$K83,"")</f>
        <v>5.0070727108872544E-4</v>
      </c>
      <c r="F81" s="690">
        <f>IF(Select2=1,Garden!$K83,"")</f>
        <v>0</v>
      </c>
      <c r="G81" s="681">
        <f>IF(Select2=1,Wood!$K83,"")</f>
        <v>0</v>
      </c>
      <c r="H81" s="690">
        <f>IF(Select2=1,Textiles!$K83,"")</f>
        <v>1.8968742898248753E-3</v>
      </c>
      <c r="I81" s="691">
        <f>Sludge!K83</f>
        <v>0</v>
      </c>
      <c r="J81" s="691" t="str">
        <f>IF(Select2=2,MSW!$K83,"")</f>
        <v/>
      </c>
      <c r="K81" s="691">
        <f>Industry!$K83</f>
        <v>0</v>
      </c>
      <c r="L81" s="692">
        <f t="shared" si="3"/>
        <v>1.0410081164023617E-2</v>
      </c>
      <c r="M81" s="693">
        <f>Recovery_OX!C76</f>
        <v>0</v>
      </c>
      <c r="N81" s="648"/>
      <c r="O81" s="694">
        <f>(L81-M81)*(1-Recovery_OX!F76)</f>
        <v>1.0410081164023617E-2</v>
      </c>
      <c r="P81" s="640"/>
      <c r="Q81" s="650"/>
      <c r="S81" s="688">
        <f t="shared" si="2"/>
        <v>2064</v>
      </c>
      <c r="T81" s="689">
        <f>IF(Select2=1,Food!$W83,"")</f>
        <v>5.2194027800210554E-7</v>
      </c>
      <c r="U81" s="690">
        <f>IF(Select2=1,Paper!$W83,"")</f>
        <v>1.655313941399689E-2</v>
      </c>
      <c r="V81" s="681">
        <f>IF(Select2=1,Nappies!$W83,"")</f>
        <v>0</v>
      </c>
      <c r="W81" s="690">
        <f>IF(Select2=1,Garden!$W83,"")</f>
        <v>0</v>
      </c>
      <c r="X81" s="681">
        <f>IF(Select2=1,Wood!$W83,"")</f>
        <v>3.058533773749213E-2</v>
      </c>
      <c r="Y81" s="690">
        <f>IF(Select2=1,Textiles!$W83,"")</f>
        <v>2.078766345013563E-3</v>
      </c>
      <c r="Z81" s="683">
        <f>Sludge!W83</f>
        <v>0</v>
      </c>
      <c r="AA81" s="683" t="str">
        <f>IF(Select2=2,MSW!$W83,"")</f>
        <v/>
      </c>
      <c r="AB81" s="691">
        <f>Industry!$W83</f>
        <v>0</v>
      </c>
      <c r="AC81" s="692">
        <f t="shared" ref="AC81:AC97" si="5">SUM(T81:AA81)</f>
        <v>4.9217765436780588E-2</v>
      </c>
      <c r="AD81" s="693">
        <f>Recovery_OX!R76</f>
        <v>0</v>
      </c>
      <c r="AE81" s="648"/>
      <c r="AF81" s="695">
        <f>(AC81-AD81)*(1-Recovery_OX!U76)</f>
        <v>4.9217765436780588E-2</v>
      </c>
    </row>
    <row r="82" spans="2:32">
      <c r="B82" s="688">
        <f t="shared" ref="B82:B97" si="6">B81+1</f>
        <v>2065</v>
      </c>
      <c r="C82" s="689">
        <f>IF(Select2=1,Food!$K84,"")</f>
        <v>5.2293458926772139E-7</v>
      </c>
      <c r="D82" s="690">
        <f>IF(Select2=1,Paper!$K84,"")</f>
        <v>7.4700777265916994E-3</v>
      </c>
      <c r="E82" s="681">
        <f>IF(Select2=1,Nappies!$K84,"")</f>
        <v>4.2242910803154534E-4</v>
      </c>
      <c r="F82" s="690">
        <f>IF(Select2=1,Garden!$K84,"")</f>
        <v>0</v>
      </c>
      <c r="G82" s="681">
        <f>IF(Select2=1,Wood!$K84,"")</f>
        <v>0</v>
      </c>
      <c r="H82" s="690">
        <f>IF(Select2=1,Textiles!$K84,"")</f>
        <v>1.7686338649711985E-3</v>
      </c>
      <c r="I82" s="691">
        <f>Sludge!K84</f>
        <v>0</v>
      </c>
      <c r="J82" s="691" t="str">
        <f>IF(Select2=2,MSW!$K84,"")</f>
        <v/>
      </c>
      <c r="K82" s="691">
        <f>Industry!$K84</f>
        <v>0</v>
      </c>
      <c r="L82" s="692">
        <f t="shared" si="3"/>
        <v>9.6616636341837116E-3</v>
      </c>
      <c r="M82" s="693">
        <f>Recovery_OX!C77</f>
        <v>0</v>
      </c>
      <c r="N82" s="648"/>
      <c r="O82" s="694">
        <f>(L82-M82)*(1-Recovery_OX!F77)</f>
        <v>9.6616636341837116E-3</v>
      </c>
      <c r="P82" s="640"/>
      <c r="Q82" s="650"/>
      <c r="S82" s="688">
        <f t="shared" ref="S82:S97" si="7">S81+1</f>
        <v>2065</v>
      </c>
      <c r="T82" s="689">
        <f>IF(Select2=1,Food!$W84,"")</f>
        <v>3.4986703117822587E-7</v>
      </c>
      <c r="U82" s="690">
        <f>IF(Select2=1,Paper!$W84,"")</f>
        <v>1.5434044889652271E-2</v>
      </c>
      <c r="V82" s="681">
        <f>IF(Select2=1,Nappies!$W84,"")</f>
        <v>0</v>
      </c>
      <c r="W82" s="690">
        <f>IF(Select2=1,Garden!$W84,"")</f>
        <v>0</v>
      </c>
      <c r="X82" s="681">
        <f>IF(Select2=1,Wood!$W84,"")</f>
        <v>2.9533367777389345E-2</v>
      </c>
      <c r="Y82" s="690">
        <f>IF(Select2=1,Textiles!$W84,"")</f>
        <v>1.9382288931191222E-3</v>
      </c>
      <c r="Z82" s="683">
        <f>Sludge!W84</f>
        <v>0</v>
      </c>
      <c r="AA82" s="683" t="str">
        <f>IF(Select2=2,MSW!$W84,"")</f>
        <v/>
      </c>
      <c r="AB82" s="691">
        <f>Industry!$W84</f>
        <v>0</v>
      </c>
      <c r="AC82" s="692">
        <f t="shared" si="5"/>
        <v>4.6905991427191915E-2</v>
      </c>
      <c r="AD82" s="693">
        <f>Recovery_OX!R77</f>
        <v>0</v>
      </c>
      <c r="AE82" s="648"/>
      <c r="AF82" s="695">
        <f>(AC82-AD82)*(1-Recovery_OX!U77)</f>
        <v>4.6905991427191915E-2</v>
      </c>
    </row>
    <row r="83" spans="2:32">
      <c r="B83" s="688">
        <f t="shared" si="6"/>
        <v>2066</v>
      </c>
      <c r="C83" s="689">
        <f>IF(Select2=1,Food!$K85,"")</f>
        <v>3.5053353795156716E-7</v>
      </c>
      <c r="D83" s="690">
        <f>IF(Select2=1,Paper!$K85,"")</f>
        <v>6.965054306491178E-3</v>
      </c>
      <c r="E83" s="681">
        <f>IF(Select2=1,Nappies!$K85,"")</f>
        <v>3.5638857595240764E-4</v>
      </c>
      <c r="F83" s="690">
        <f>IF(Select2=1,Garden!$K85,"")</f>
        <v>0</v>
      </c>
      <c r="G83" s="681">
        <f>IF(Select2=1,Wood!$K85,"")</f>
        <v>0</v>
      </c>
      <c r="H83" s="690">
        <f>IF(Select2=1,Textiles!$K85,"")</f>
        <v>1.6490632853755169E-3</v>
      </c>
      <c r="I83" s="691">
        <f>Sludge!K85</f>
        <v>0</v>
      </c>
      <c r="J83" s="691" t="str">
        <f>IF(Select2=2,MSW!$K85,"")</f>
        <v/>
      </c>
      <c r="K83" s="691">
        <f>Industry!$K85</f>
        <v>0</v>
      </c>
      <c r="L83" s="692">
        <f t="shared" ref="L83:L97" si="8">SUM(C83:K83)</f>
        <v>8.9708567013570533E-3</v>
      </c>
      <c r="M83" s="693">
        <f>Recovery_OX!C78</f>
        <v>0</v>
      </c>
      <c r="N83" s="648"/>
      <c r="O83" s="694">
        <f>(L83-M83)*(1-Recovery_OX!F78)</f>
        <v>8.9708567013570533E-3</v>
      </c>
      <c r="P83" s="640"/>
      <c r="Q83" s="650"/>
      <c r="S83" s="688">
        <f t="shared" si="7"/>
        <v>2066</v>
      </c>
      <c r="T83" s="689">
        <f>IF(Select2=1,Food!$W85,"")</f>
        <v>2.3452288444574081E-7</v>
      </c>
      <c r="U83" s="690">
        <f>IF(Select2=1,Paper!$W85,"")</f>
        <v>1.439060807126276E-2</v>
      </c>
      <c r="V83" s="681">
        <f>IF(Select2=1,Nappies!$W85,"")</f>
        <v>0</v>
      </c>
      <c r="W83" s="690">
        <f>IF(Select2=1,Garden!$W85,"")</f>
        <v>0</v>
      </c>
      <c r="X83" s="681">
        <f>IF(Select2=1,Wood!$W85,"")</f>
        <v>2.8517579886173837E-2</v>
      </c>
      <c r="Y83" s="690">
        <f>IF(Select2=1,Textiles!$W85,"")</f>
        <v>1.8071926415074166E-3</v>
      </c>
      <c r="Z83" s="683">
        <f>Sludge!W85</f>
        <v>0</v>
      </c>
      <c r="AA83" s="683" t="str">
        <f>IF(Select2=2,MSW!$W85,"")</f>
        <v/>
      </c>
      <c r="AB83" s="691">
        <f>Industry!$W85</f>
        <v>0</v>
      </c>
      <c r="AC83" s="692">
        <f t="shared" si="5"/>
        <v>4.4715615121828457E-2</v>
      </c>
      <c r="AD83" s="693">
        <f>Recovery_OX!R78</f>
        <v>0</v>
      </c>
      <c r="AE83" s="648"/>
      <c r="AF83" s="695">
        <f>(AC83-AD83)*(1-Recovery_OX!U78)</f>
        <v>4.4715615121828457E-2</v>
      </c>
    </row>
    <row r="84" spans="2:32">
      <c r="B84" s="688">
        <f t="shared" si="6"/>
        <v>2067</v>
      </c>
      <c r="C84" s="689">
        <f>IF(Select2=1,Food!$K86,"")</f>
        <v>2.3496965729673001E-7</v>
      </c>
      <c r="D84" s="690">
        <f>IF(Select2=1,Paper!$K86,"")</f>
        <v>6.4941735906816839E-3</v>
      </c>
      <c r="E84" s="681">
        <f>IF(Select2=1,Nappies!$K86,"")</f>
        <v>3.0067250256793441E-4</v>
      </c>
      <c r="F84" s="690">
        <f>IF(Select2=1,Garden!$K86,"")</f>
        <v>0</v>
      </c>
      <c r="G84" s="681">
        <f>IF(Select2=1,Wood!$K86,"")</f>
        <v>0</v>
      </c>
      <c r="H84" s="690">
        <f>IF(Select2=1,Textiles!$K86,"")</f>
        <v>1.5375764159179311E-3</v>
      </c>
      <c r="I84" s="691">
        <f>Sludge!K86</f>
        <v>0</v>
      </c>
      <c r="J84" s="691" t="str">
        <f>IF(Select2=2,MSW!$K86,"")</f>
        <v/>
      </c>
      <c r="K84" s="691">
        <f>Industry!$K86</f>
        <v>0</v>
      </c>
      <c r="L84" s="692">
        <f t="shared" si="8"/>
        <v>8.3326574788248464E-3</v>
      </c>
      <c r="M84" s="693">
        <f>Recovery_OX!C79</f>
        <v>0</v>
      </c>
      <c r="N84" s="648"/>
      <c r="O84" s="694">
        <f>(L84-M84)*(1-Recovery_OX!F79)</f>
        <v>8.3326574788248464E-3</v>
      </c>
      <c r="P84" s="640"/>
      <c r="Q84" s="650"/>
      <c r="S84" s="688">
        <f t="shared" si="7"/>
        <v>2067</v>
      </c>
      <c r="T84" s="689">
        <f>IF(Select2=1,Food!$W86,"")</f>
        <v>1.572053906980799E-7</v>
      </c>
      <c r="U84" s="690">
        <f>IF(Select2=1,Paper!$W86,"")</f>
        <v>1.3417714030334055E-2</v>
      </c>
      <c r="V84" s="681">
        <f>IF(Select2=1,Nappies!$W86,"")</f>
        <v>0</v>
      </c>
      <c r="W84" s="690">
        <f>IF(Select2=1,Garden!$W86,"")</f>
        <v>0</v>
      </c>
      <c r="X84" s="681">
        <f>IF(Select2=1,Wood!$W86,"")</f>
        <v>2.7536729596647297E-2</v>
      </c>
      <c r="Y84" s="690">
        <f>IF(Select2=1,Textiles!$W86,"")</f>
        <v>1.6850152503210211E-3</v>
      </c>
      <c r="Z84" s="683">
        <f>Sludge!W86</f>
        <v>0</v>
      </c>
      <c r="AA84" s="683" t="str">
        <f>IF(Select2=2,MSW!$W86,"")</f>
        <v/>
      </c>
      <c r="AB84" s="691">
        <f>Industry!$W86</f>
        <v>0</v>
      </c>
      <c r="AC84" s="692">
        <f t="shared" si="5"/>
        <v>4.2639616082693073E-2</v>
      </c>
      <c r="AD84" s="693">
        <f>Recovery_OX!R79</f>
        <v>0</v>
      </c>
      <c r="AE84" s="648"/>
      <c r="AF84" s="695">
        <f>(AC84-AD84)*(1-Recovery_OX!U79)</f>
        <v>4.2639616082693073E-2</v>
      </c>
    </row>
    <row r="85" spans="2:32">
      <c r="B85" s="688">
        <f t="shared" si="6"/>
        <v>2068</v>
      </c>
      <c r="C85" s="689">
        <f>IF(Select2=1,Food!$K87,"")</f>
        <v>1.5750487149612246E-7</v>
      </c>
      <c r="D85" s="690">
        <f>IF(Select2=1,Paper!$K87,"")</f>
        <v>6.055127321348025E-3</v>
      </c>
      <c r="E85" s="681">
        <f>IF(Select2=1,Nappies!$K87,"")</f>
        <v>2.5366681173455207E-4</v>
      </c>
      <c r="F85" s="690">
        <f>IF(Select2=1,Garden!$K87,"")</f>
        <v>0</v>
      </c>
      <c r="G85" s="681">
        <f>IF(Select2=1,Wood!$K87,"")</f>
        <v>0</v>
      </c>
      <c r="H85" s="690">
        <f>IF(Select2=1,Textiles!$K87,"")</f>
        <v>1.4336267478350167E-3</v>
      </c>
      <c r="I85" s="691">
        <f>Sludge!K87</f>
        <v>0</v>
      </c>
      <c r="J85" s="691" t="str">
        <f>IF(Select2=2,MSW!$K87,"")</f>
        <v/>
      </c>
      <c r="K85" s="691">
        <f>Industry!$K87</f>
        <v>0</v>
      </c>
      <c r="L85" s="692">
        <f t="shared" si="8"/>
        <v>7.7425783857890899E-3</v>
      </c>
      <c r="M85" s="693">
        <f>Recovery_OX!C80</f>
        <v>0</v>
      </c>
      <c r="N85" s="648"/>
      <c r="O85" s="694">
        <f>(L85-M85)*(1-Recovery_OX!F80)</f>
        <v>7.7425783857890899E-3</v>
      </c>
      <c r="P85" s="640"/>
      <c r="Q85" s="650"/>
      <c r="S85" s="688">
        <f t="shared" si="7"/>
        <v>2068</v>
      </c>
      <c r="T85" s="689">
        <f>IF(Select2=1,Food!$W87,"")</f>
        <v>1.0537792472978759E-7</v>
      </c>
      <c r="U85" s="690">
        <f>IF(Select2=1,Paper!$W87,"")</f>
        <v>1.2510593639148807E-2</v>
      </c>
      <c r="V85" s="681">
        <f>IF(Select2=1,Nappies!$W87,"")</f>
        <v>0</v>
      </c>
      <c r="W85" s="690">
        <f>IF(Select2=1,Garden!$W87,"")</f>
        <v>0</v>
      </c>
      <c r="X85" s="681">
        <f>IF(Select2=1,Wood!$W87,"")</f>
        <v>2.6589615244542664E-2</v>
      </c>
      <c r="Y85" s="690">
        <f>IF(Select2=1,Textiles!$W87,"")</f>
        <v>1.5710978058465943E-3</v>
      </c>
      <c r="Z85" s="683">
        <f>Sludge!W87</f>
        <v>0</v>
      </c>
      <c r="AA85" s="683" t="str">
        <f>IF(Select2=2,MSW!$W87,"")</f>
        <v/>
      </c>
      <c r="AB85" s="691">
        <f>Industry!$W87</f>
        <v>0</v>
      </c>
      <c r="AC85" s="692">
        <f t="shared" si="5"/>
        <v>4.0671412067462789E-2</v>
      </c>
      <c r="AD85" s="693">
        <f>Recovery_OX!R80</f>
        <v>0</v>
      </c>
      <c r="AE85" s="648"/>
      <c r="AF85" s="695">
        <f>(AC85-AD85)*(1-Recovery_OX!U80)</f>
        <v>4.0671412067462789E-2</v>
      </c>
    </row>
    <row r="86" spans="2:32">
      <c r="B86" s="688">
        <f t="shared" si="6"/>
        <v>2069</v>
      </c>
      <c r="C86" s="689">
        <f>IF(Select2=1,Food!$K88,"")</f>
        <v>1.0557867271211825E-7</v>
      </c>
      <c r="D86" s="690">
        <f>IF(Select2=1,Paper!$K88,"")</f>
        <v>5.645763293168557E-3</v>
      </c>
      <c r="E86" s="681">
        <f>IF(Select2=1,Nappies!$K88,"")</f>
        <v>2.1400976419862027E-4</v>
      </c>
      <c r="F86" s="690">
        <f>IF(Select2=1,Garden!$K88,"")</f>
        <v>0</v>
      </c>
      <c r="G86" s="681">
        <f>IF(Select2=1,Wood!$K88,"")</f>
        <v>0</v>
      </c>
      <c r="H86" s="690">
        <f>IF(Select2=1,Textiles!$K88,"")</f>
        <v>1.3367047197332328E-3</v>
      </c>
      <c r="I86" s="691">
        <f>Sludge!K88</f>
        <v>0</v>
      </c>
      <c r="J86" s="691" t="str">
        <f>IF(Select2=2,MSW!$K88,"")</f>
        <v/>
      </c>
      <c r="K86" s="691">
        <f>Industry!$K88</f>
        <v>0</v>
      </c>
      <c r="L86" s="692">
        <f t="shared" si="8"/>
        <v>7.1965833557731222E-3</v>
      </c>
      <c r="M86" s="693">
        <f>Recovery_OX!C81</f>
        <v>0</v>
      </c>
      <c r="N86" s="648"/>
      <c r="O86" s="694">
        <f>(L86-M86)*(1-Recovery_OX!F81)</f>
        <v>7.1965833557731222E-3</v>
      </c>
      <c r="P86" s="640"/>
      <c r="Q86" s="650"/>
      <c r="S86" s="688">
        <f t="shared" si="7"/>
        <v>2069</v>
      </c>
      <c r="T86" s="689">
        <f>IF(Select2=1,Food!$W88,"")</f>
        <v>7.0636935356011351E-8</v>
      </c>
      <c r="U86" s="690">
        <f>IF(Select2=1,Paper!$W88,"")</f>
        <v>1.1664800192497014E-2</v>
      </c>
      <c r="V86" s="681">
        <f>IF(Select2=1,Nappies!$W88,"")</f>
        <v>0</v>
      </c>
      <c r="W86" s="690">
        <f>IF(Select2=1,Garden!$W88,"")</f>
        <v>0</v>
      </c>
      <c r="X86" s="681">
        <f>IF(Select2=1,Wood!$W88,"")</f>
        <v>2.5675076496335152E-2</v>
      </c>
      <c r="Y86" s="690">
        <f>IF(Select2=1,Textiles!$W88,"")</f>
        <v>1.46488188463916E-3</v>
      </c>
      <c r="Z86" s="683">
        <f>Sludge!W88</f>
        <v>0</v>
      </c>
      <c r="AA86" s="683" t="str">
        <f>IF(Select2=2,MSW!$W88,"")</f>
        <v/>
      </c>
      <c r="AB86" s="691">
        <f>Industry!$W88</f>
        <v>0</v>
      </c>
      <c r="AC86" s="692">
        <f t="shared" si="5"/>
        <v>3.8804829210406684E-2</v>
      </c>
      <c r="AD86" s="693">
        <f>Recovery_OX!R81</f>
        <v>0</v>
      </c>
      <c r="AE86" s="648"/>
      <c r="AF86" s="695">
        <f>(AC86-AD86)*(1-Recovery_OX!U81)</f>
        <v>3.8804829210406684E-2</v>
      </c>
    </row>
    <row r="87" spans="2:32">
      <c r="B87" s="688">
        <f t="shared" si="6"/>
        <v>2070</v>
      </c>
      <c r="C87" s="689">
        <f>IF(Select2=1,Food!$K89,"")</f>
        <v>7.0771500752768801E-8</v>
      </c>
      <c r="D87" s="690">
        <f>IF(Select2=1,Paper!$K89,"")</f>
        <v>5.2640748032022171E-3</v>
      </c>
      <c r="E87" s="681">
        <f>IF(Select2=1,Nappies!$K89,"")</f>
        <v>1.8055250846246427E-4</v>
      </c>
      <c r="F87" s="690">
        <f>IF(Select2=1,Garden!$K89,"")</f>
        <v>0</v>
      </c>
      <c r="G87" s="681">
        <f>IF(Select2=1,Wood!$K89,"")</f>
        <v>0</v>
      </c>
      <c r="H87" s="690">
        <f>IF(Select2=1,Textiles!$K89,"")</f>
        <v>1.246335219718379E-3</v>
      </c>
      <c r="I87" s="691">
        <f>Sludge!K89</f>
        <v>0</v>
      </c>
      <c r="J87" s="691" t="str">
        <f>IF(Select2=2,MSW!$K89,"")</f>
        <v/>
      </c>
      <c r="K87" s="691">
        <f>Industry!$K89</f>
        <v>0</v>
      </c>
      <c r="L87" s="692">
        <f t="shared" si="8"/>
        <v>6.6910333028838134E-3</v>
      </c>
      <c r="M87" s="693">
        <f>Recovery_OX!C82</f>
        <v>0</v>
      </c>
      <c r="N87" s="648"/>
      <c r="O87" s="694">
        <f>(L87-M87)*(1-Recovery_OX!F82)</f>
        <v>6.6910333028838134E-3</v>
      </c>
      <c r="P87" s="640"/>
      <c r="Q87" s="650"/>
      <c r="S87" s="688">
        <f t="shared" si="7"/>
        <v>2070</v>
      </c>
      <c r="T87" s="689">
        <f>IF(Select2=1,Food!$W89,"")</f>
        <v>4.7349353759658011E-8</v>
      </c>
      <c r="U87" s="690">
        <f>IF(Select2=1,Paper!$W89,"")</f>
        <v>1.0876187609921931E-2</v>
      </c>
      <c r="V87" s="681">
        <f>IF(Select2=1,Nappies!$W89,"")</f>
        <v>0</v>
      </c>
      <c r="W87" s="690">
        <f>IF(Select2=1,Garden!$W89,"")</f>
        <v>0</v>
      </c>
      <c r="X87" s="681">
        <f>IF(Select2=1,Wood!$W89,"")</f>
        <v>2.4791992927688567E-2</v>
      </c>
      <c r="Y87" s="690">
        <f>IF(Select2=1,Textiles!$W89,"")</f>
        <v>1.3658468161297311E-3</v>
      </c>
      <c r="Z87" s="683">
        <f>Sludge!W89</f>
        <v>0</v>
      </c>
      <c r="AA87" s="683" t="str">
        <f>IF(Select2=2,MSW!$W89,"")</f>
        <v/>
      </c>
      <c r="AB87" s="691">
        <f>Industry!$W89</f>
        <v>0</v>
      </c>
      <c r="AC87" s="692">
        <f t="shared" si="5"/>
        <v>3.7034074703093986E-2</v>
      </c>
      <c r="AD87" s="693">
        <f>Recovery_OX!R82</f>
        <v>0</v>
      </c>
      <c r="AE87" s="648"/>
      <c r="AF87" s="695">
        <f>(AC87-AD87)*(1-Recovery_OX!U82)</f>
        <v>3.7034074703093986E-2</v>
      </c>
    </row>
    <row r="88" spans="2:32">
      <c r="B88" s="688">
        <f t="shared" si="6"/>
        <v>2071</v>
      </c>
      <c r="C88" s="689">
        <f>IF(Select2=1,Food!$K90,"")</f>
        <v>4.743955564260727E-8</v>
      </c>
      <c r="D88" s="690">
        <f>IF(Select2=1,Paper!$K90,"")</f>
        <v>4.9081908140283679E-3</v>
      </c>
      <c r="E88" s="681">
        <f>IF(Select2=1,Nappies!$K90,"")</f>
        <v>1.5232579893800194E-4</v>
      </c>
      <c r="F88" s="690">
        <f>IF(Select2=1,Garden!$K90,"")</f>
        <v>0</v>
      </c>
      <c r="G88" s="681">
        <f>IF(Select2=1,Wood!$K90,"")</f>
        <v>0</v>
      </c>
      <c r="H88" s="690">
        <f>IF(Select2=1,Textiles!$K90,"")</f>
        <v>1.1620752563965388E-3</v>
      </c>
      <c r="I88" s="691">
        <f>Sludge!K90</f>
        <v>0</v>
      </c>
      <c r="J88" s="691" t="str">
        <f>IF(Select2=2,MSW!$K90,"")</f>
        <v/>
      </c>
      <c r="K88" s="691">
        <f>Industry!$K90</f>
        <v>0</v>
      </c>
      <c r="L88" s="692">
        <f t="shared" si="8"/>
        <v>6.2226393089185508E-3</v>
      </c>
      <c r="M88" s="693">
        <f>Recovery_OX!C83</f>
        <v>0</v>
      </c>
      <c r="N88" s="648"/>
      <c r="O88" s="694">
        <f>(L88-M88)*(1-Recovery_OX!F83)</f>
        <v>6.2226393089185508E-3</v>
      </c>
      <c r="P88" s="640"/>
      <c r="Q88" s="650"/>
      <c r="S88" s="688">
        <f t="shared" si="7"/>
        <v>2071</v>
      </c>
      <c r="T88" s="689">
        <f>IF(Select2=1,Food!$W90,"")</f>
        <v>3.1739220991931731E-8</v>
      </c>
      <c r="U88" s="690">
        <f>IF(Select2=1,Paper!$W90,"")</f>
        <v>1.0140890111628855E-2</v>
      </c>
      <c r="V88" s="681">
        <f>IF(Select2=1,Nappies!$W90,"")</f>
        <v>0</v>
      </c>
      <c r="W88" s="690">
        <f>IF(Select2=1,Garden!$W90,"")</f>
        <v>0</v>
      </c>
      <c r="X88" s="681">
        <f>IF(Select2=1,Wood!$W90,"")</f>
        <v>2.3939282650795361E-2</v>
      </c>
      <c r="Y88" s="690">
        <f>IF(Select2=1,Textiles!$W90,"")</f>
        <v>1.2735071302975773E-3</v>
      </c>
      <c r="Z88" s="683">
        <f>Sludge!W90</f>
        <v>0</v>
      </c>
      <c r="AA88" s="683" t="str">
        <f>IF(Select2=2,MSW!$W90,"")</f>
        <v/>
      </c>
      <c r="AB88" s="691">
        <f>Industry!$W90</f>
        <v>0</v>
      </c>
      <c r="AC88" s="692">
        <f t="shared" si="5"/>
        <v>3.5353711631942786E-2</v>
      </c>
      <c r="AD88" s="693">
        <f>Recovery_OX!R83</f>
        <v>0</v>
      </c>
      <c r="AE88" s="648"/>
      <c r="AF88" s="695">
        <f>(AC88-AD88)*(1-Recovery_OX!U83)</f>
        <v>3.5353711631942786E-2</v>
      </c>
    </row>
    <row r="89" spans="2:32">
      <c r="B89" s="688">
        <f t="shared" si="6"/>
        <v>2072</v>
      </c>
      <c r="C89" s="689">
        <f>IF(Select2=1,Food!$K91,"")</f>
        <v>3.1799685122262776E-8</v>
      </c>
      <c r="D89" s="690">
        <f>IF(Select2=1,Paper!$K91,"")</f>
        <v>4.5763667819191962E-3</v>
      </c>
      <c r="E89" s="681">
        <f>IF(Select2=1,Nappies!$K91,"")</f>
        <v>1.2851191722392701E-4</v>
      </c>
      <c r="F89" s="690">
        <f>IF(Select2=1,Garden!$K91,"")</f>
        <v>0</v>
      </c>
      <c r="G89" s="681">
        <f>IF(Select2=1,Wood!$K91,"")</f>
        <v>0</v>
      </c>
      <c r="H89" s="690">
        <f>IF(Select2=1,Textiles!$K91,"")</f>
        <v>1.0835117873297532E-3</v>
      </c>
      <c r="I89" s="691">
        <f>Sludge!K91</f>
        <v>0</v>
      </c>
      <c r="J89" s="691" t="str">
        <f>IF(Select2=2,MSW!$K91,"")</f>
        <v/>
      </c>
      <c r="K89" s="691">
        <f>Industry!$K91</f>
        <v>0</v>
      </c>
      <c r="L89" s="692">
        <f t="shared" si="8"/>
        <v>5.7884222861579989E-3</v>
      </c>
      <c r="M89" s="693">
        <f>Recovery_OX!C84</f>
        <v>0</v>
      </c>
      <c r="N89" s="648"/>
      <c r="O89" s="694">
        <f>(L89-M89)*(1-Recovery_OX!F84)</f>
        <v>5.7884222861579989E-3</v>
      </c>
      <c r="P89" s="640"/>
      <c r="Q89" s="650"/>
      <c r="S89" s="688">
        <f t="shared" si="7"/>
        <v>2072</v>
      </c>
      <c r="T89" s="689">
        <f>IF(Select2=1,Food!$W91,"")</f>
        <v>2.1275436076447007E-8</v>
      </c>
      <c r="U89" s="690">
        <f>IF(Select2=1,Paper!$W91,"")</f>
        <v>9.455303268428087E-3</v>
      </c>
      <c r="V89" s="681">
        <f>IF(Select2=1,Nappies!$W91,"")</f>
        <v>0</v>
      </c>
      <c r="W89" s="690">
        <f>IF(Select2=1,Garden!$W91,"")</f>
        <v>0</v>
      </c>
      <c r="X89" s="681">
        <f>IF(Select2=1,Wood!$W91,"")</f>
        <v>2.3115900988928798E-2</v>
      </c>
      <c r="Y89" s="690">
        <f>IF(Select2=1,Textiles!$W91,"")</f>
        <v>1.1874101778956202E-3</v>
      </c>
      <c r="Z89" s="683">
        <f>Sludge!W91</f>
        <v>0</v>
      </c>
      <c r="AA89" s="683" t="str">
        <f>IF(Select2=2,MSW!$W91,"")</f>
        <v/>
      </c>
      <c r="AB89" s="691">
        <f>Industry!$W91</f>
        <v>0</v>
      </c>
      <c r="AC89" s="692">
        <f t="shared" si="5"/>
        <v>3.375863571068858E-2</v>
      </c>
      <c r="AD89" s="693">
        <f>Recovery_OX!R84</f>
        <v>0</v>
      </c>
      <c r="AE89" s="648"/>
      <c r="AF89" s="695">
        <f>(AC89-AD89)*(1-Recovery_OX!U84)</f>
        <v>3.375863571068858E-2</v>
      </c>
    </row>
    <row r="90" spans="2:32">
      <c r="B90" s="688">
        <f t="shared" si="6"/>
        <v>2073</v>
      </c>
      <c r="C90" s="689">
        <f>IF(Select2=1,Food!$K92,"")</f>
        <v>2.1315966395074023E-8</v>
      </c>
      <c r="D90" s="690">
        <f>IF(Select2=1,Paper!$K92,"")</f>
        <v>4.2669761050843306E-3</v>
      </c>
      <c r="E90" s="681">
        <f>IF(Select2=1,Nappies!$K92,"")</f>
        <v>1.0842098307517404E-4</v>
      </c>
      <c r="F90" s="690">
        <f>IF(Select2=1,Garden!$K92,"")</f>
        <v>0</v>
      </c>
      <c r="G90" s="681">
        <f>IF(Select2=1,Wood!$K92,"")</f>
        <v>0</v>
      </c>
      <c r="H90" s="690">
        <f>IF(Select2=1,Textiles!$K92,"")</f>
        <v>1.0102596943015098E-3</v>
      </c>
      <c r="I90" s="691">
        <f>Sludge!K92</f>
        <v>0</v>
      </c>
      <c r="J90" s="691" t="str">
        <f>IF(Select2=2,MSW!$K92,"")</f>
        <v/>
      </c>
      <c r="K90" s="691">
        <f>Industry!$K92</f>
        <v>0</v>
      </c>
      <c r="L90" s="692">
        <f t="shared" si="8"/>
        <v>5.3856780984274091E-3</v>
      </c>
      <c r="M90" s="693">
        <f>Recovery_OX!C85</f>
        <v>0</v>
      </c>
      <c r="N90" s="648"/>
      <c r="O90" s="694">
        <f>(L90-M90)*(1-Recovery_OX!F85)</f>
        <v>5.3856780984274091E-3</v>
      </c>
      <c r="P90" s="640"/>
      <c r="Q90" s="650"/>
      <c r="S90" s="688">
        <f t="shared" si="7"/>
        <v>2073</v>
      </c>
      <c r="T90" s="689">
        <f>IF(Select2=1,Food!$W92,"")</f>
        <v>1.4261351290192261E-8</v>
      </c>
      <c r="U90" s="690">
        <f>IF(Select2=1,Paper!$W92,"")</f>
        <v>8.8160663328188636E-3</v>
      </c>
      <c r="V90" s="681">
        <f>IF(Select2=1,Nappies!$W92,"")</f>
        <v>0</v>
      </c>
      <c r="W90" s="690">
        <f>IF(Select2=1,Garden!$W92,"")</f>
        <v>0</v>
      </c>
      <c r="X90" s="681">
        <f>IF(Select2=1,Wood!$W92,"")</f>
        <v>2.2320839196583286E-2</v>
      </c>
      <c r="Y90" s="690">
        <f>IF(Select2=1,Textiles!$W92,"")</f>
        <v>1.107133911563299E-3</v>
      </c>
      <c r="Z90" s="683">
        <f>Sludge!W92</f>
        <v>0</v>
      </c>
      <c r="AA90" s="683" t="str">
        <f>IF(Select2=2,MSW!$W92,"")</f>
        <v/>
      </c>
      <c r="AB90" s="691">
        <f>Industry!$W92</f>
        <v>0</v>
      </c>
      <c r="AC90" s="692">
        <f t="shared" si="5"/>
        <v>3.2244053702316741E-2</v>
      </c>
      <c r="AD90" s="693">
        <f>Recovery_OX!R85</f>
        <v>0</v>
      </c>
      <c r="AE90" s="648"/>
      <c r="AF90" s="695">
        <f>(AC90-AD90)*(1-Recovery_OX!U85)</f>
        <v>3.2244053702316741E-2</v>
      </c>
    </row>
    <row r="91" spans="2:32">
      <c r="B91" s="688">
        <f t="shared" si="6"/>
        <v>2074</v>
      </c>
      <c r="C91" s="689">
        <f>IF(Select2=1,Food!$K93,"")</f>
        <v>1.4288519575240159E-8</v>
      </c>
      <c r="D91" s="690">
        <f>IF(Select2=1,Paper!$K93,"")</f>
        <v>3.9785021500669841E-3</v>
      </c>
      <c r="E91" s="681">
        <f>IF(Select2=1,Nappies!$K93,"")</f>
        <v>9.1470968801316327E-5</v>
      </c>
      <c r="F91" s="690">
        <f>IF(Select2=1,Garden!$K93,"")</f>
        <v>0</v>
      </c>
      <c r="G91" s="681">
        <f>IF(Select2=1,Wood!$K93,"")</f>
        <v>0</v>
      </c>
      <c r="H91" s="690">
        <f>IF(Select2=1,Textiles!$K93,"")</f>
        <v>9.4195989546680056E-4</v>
      </c>
      <c r="I91" s="691">
        <f>Sludge!K93</f>
        <v>0</v>
      </c>
      <c r="J91" s="691" t="str">
        <f>IF(Select2=2,MSW!$K93,"")</f>
        <v/>
      </c>
      <c r="K91" s="691">
        <f>Industry!$K93</f>
        <v>0</v>
      </c>
      <c r="L91" s="692">
        <f t="shared" si="8"/>
        <v>5.0119473028546763E-3</v>
      </c>
      <c r="M91" s="693">
        <f>Recovery_OX!C86</f>
        <v>0</v>
      </c>
      <c r="N91" s="648"/>
      <c r="O91" s="694">
        <f>(L91-M91)*(1-Recovery_OX!F86)</f>
        <v>5.0119473028546763E-3</v>
      </c>
      <c r="P91" s="640"/>
      <c r="Q91" s="650"/>
      <c r="S91" s="688">
        <f t="shared" si="7"/>
        <v>2074</v>
      </c>
      <c r="T91" s="689">
        <f>IF(Select2=1,Food!$W93,"")</f>
        <v>9.5596696533721E-9</v>
      </c>
      <c r="U91" s="690">
        <f>IF(Select2=1,Paper!$W93,"")</f>
        <v>8.220045764601204E-3</v>
      </c>
      <c r="V91" s="681">
        <f>IF(Select2=1,Nappies!$W93,"")</f>
        <v>0</v>
      </c>
      <c r="W91" s="690">
        <f>IF(Select2=1,Garden!$W93,"")</f>
        <v>0</v>
      </c>
      <c r="X91" s="681">
        <f>IF(Select2=1,Wood!$W93,"")</f>
        <v>2.1553123223635007E-2</v>
      </c>
      <c r="Y91" s="690">
        <f>IF(Select2=1,Textiles!$W93,"")</f>
        <v>1.0322848169499188E-3</v>
      </c>
      <c r="Z91" s="683">
        <f>Sludge!W93</f>
        <v>0</v>
      </c>
      <c r="AA91" s="683" t="str">
        <f>IF(Select2=2,MSW!$W93,"")</f>
        <v/>
      </c>
      <c r="AB91" s="691">
        <f>Industry!$W93</f>
        <v>0</v>
      </c>
      <c r="AC91" s="692">
        <f t="shared" si="5"/>
        <v>3.0805463364855783E-2</v>
      </c>
      <c r="AD91" s="693">
        <f>Recovery_OX!R86</f>
        <v>0</v>
      </c>
      <c r="AE91" s="648"/>
      <c r="AF91" s="695">
        <f>(AC91-AD91)*(1-Recovery_OX!U86)</f>
        <v>3.0805463364855783E-2</v>
      </c>
    </row>
    <row r="92" spans="2:32">
      <c r="B92" s="688">
        <f t="shared" si="6"/>
        <v>2075</v>
      </c>
      <c r="C92" s="689">
        <f>IF(Select2=1,Food!$K94,"")</f>
        <v>9.5778810994561171E-9</v>
      </c>
      <c r="D92" s="690">
        <f>IF(Select2=1,Paper!$K94,"")</f>
        <v>3.7095308172049842E-3</v>
      </c>
      <c r="E92" s="681">
        <f>IF(Select2=1,Nappies!$K94,"")</f>
        <v>7.7170838117656082E-5</v>
      </c>
      <c r="F92" s="690">
        <f>IF(Select2=1,Garden!$K94,"")</f>
        <v>0</v>
      </c>
      <c r="G92" s="681">
        <f>IF(Select2=1,Wood!$K94,"")</f>
        <v>0</v>
      </c>
      <c r="H92" s="690">
        <f>IF(Select2=1,Textiles!$K94,"")</f>
        <v>8.7827758513249791E-4</v>
      </c>
      <c r="I92" s="691">
        <f>Sludge!K94</f>
        <v>0</v>
      </c>
      <c r="J92" s="691" t="str">
        <f>IF(Select2=2,MSW!$K94,"")</f>
        <v/>
      </c>
      <c r="K92" s="691">
        <f>Industry!$K94</f>
        <v>0</v>
      </c>
      <c r="L92" s="692">
        <f t="shared" si="8"/>
        <v>4.6649888183362374E-3</v>
      </c>
      <c r="M92" s="693">
        <f>Recovery_OX!C87</f>
        <v>0</v>
      </c>
      <c r="N92" s="648"/>
      <c r="O92" s="694">
        <f>(L92-M92)*(1-Recovery_OX!F87)</f>
        <v>4.6649888183362374E-3</v>
      </c>
      <c r="P92" s="640"/>
      <c r="Q92" s="650"/>
      <c r="S92" s="688">
        <f t="shared" si="7"/>
        <v>2075</v>
      </c>
      <c r="T92" s="689">
        <f>IF(Select2=1,Food!$W94,"")</f>
        <v>6.408038202133891E-9</v>
      </c>
      <c r="U92" s="690">
        <f>IF(Select2=1,Paper!$W94,"")</f>
        <v>7.6643198702582294E-3</v>
      </c>
      <c r="V92" s="681">
        <f>IF(Select2=1,Nappies!$W94,"")</f>
        <v>0</v>
      </c>
      <c r="W92" s="690">
        <f>IF(Select2=1,Garden!$W94,"")</f>
        <v>0</v>
      </c>
      <c r="X92" s="681">
        <f>IF(Select2=1,Wood!$W94,"")</f>
        <v>2.0811812522008706E-2</v>
      </c>
      <c r="Y92" s="690">
        <f>IF(Select2=1,Textiles!$W94,"")</f>
        <v>9.6249598370684738E-4</v>
      </c>
      <c r="Z92" s="683">
        <f>Sludge!W94</f>
        <v>0</v>
      </c>
      <c r="AA92" s="683" t="str">
        <f>IF(Select2=2,MSW!$W94,"")</f>
        <v/>
      </c>
      <c r="AB92" s="691">
        <f>Industry!$W94</f>
        <v>0</v>
      </c>
      <c r="AC92" s="692">
        <f t="shared" si="5"/>
        <v>2.9438634784011986E-2</v>
      </c>
      <c r="AD92" s="693">
        <f>Recovery_OX!R87</f>
        <v>0</v>
      </c>
      <c r="AE92" s="648"/>
      <c r="AF92" s="695">
        <f>(AC92-AD92)*(1-Recovery_OX!U87)</f>
        <v>2.9438634784011986E-2</v>
      </c>
    </row>
    <row r="93" spans="2:32">
      <c r="B93" s="688">
        <f t="shared" si="6"/>
        <v>2076</v>
      </c>
      <c r="C93" s="689">
        <f>IF(Select2=1,Food!$K95,"")</f>
        <v>6.4202456995113037E-9</v>
      </c>
      <c r="D93" s="690">
        <f>IF(Select2=1,Paper!$K95,"")</f>
        <v>3.4587436087125892E-3</v>
      </c>
      <c r="E93" s="681">
        <f>IF(Select2=1,Nappies!$K95,"")</f>
        <v>6.5106320987121523E-5</v>
      </c>
      <c r="F93" s="690">
        <f>IF(Select2=1,Garden!$K95,"")</f>
        <v>0</v>
      </c>
      <c r="G93" s="681">
        <f>IF(Select2=1,Wood!$K95,"")</f>
        <v>0</v>
      </c>
      <c r="H93" s="690">
        <f>IF(Select2=1,Textiles!$K95,"")</f>
        <v>8.1890059253946152E-4</v>
      </c>
      <c r="I93" s="691">
        <f>Sludge!K95</f>
        <v>0</v>
      </c>
      <c r="J93" s="691" t="str">
        <f>IF(Select2=2,MSW!$K95,"")</f>
        <v/>
      </c>
      <c r="K93" s="691">
        <f>Industry!$K95</f>
        <v>0</v>
      </c>
      <c r="L93" s="692">
        <f t="shared" si="8"/>
        <v>4.342756942484872E-3</v>
      </c>
      <c r="M93" s="693">
        <f>Recovery_OX!C88</f>
        <v>0</v>
      </c>
      <c r="N93" s="648"/>
      <c r="O93" s="694">
        <f>(L93-M93)*(1-Recovery_OX!F88)</f>
        <v>4.342756942484872E-3</v>
      </c>
      <c r="P93" s="640"/>
      <c r="Q93" s="650"/>
      <c r="S93" s="688">
        <f t="shared" si="7"/>
        <v>2076</v>
      </c>
      <c r="T93" s="689">
        <f>IF(Select2=1,Food!$W95,"")</f>
        <v>4.2954364626525256E-9</v>
      </c>
      <c r="U93" s="690">
        <f>IF(Select2=1,Paper!$W95,"")</f>
        <v>7.1461644808111313E-3</v>
      </c>
      <c r="V93" s="681">
        <f>IF(Select2=1,Nappies!$W95,"")</f>
        <v>0</v>
      </c>
      <c r="W93" s="690">
        <f>IF(Select2=1,Garden!$W95,"")</f>
        <v>0</v>
      </c>
      <c r="X93" s="681">
        <f>IF(Select2=1,Wood!$W95,"")</f>
        <v>2.0095998893388648E-2</v>
      </c>
      <c r="Y93" s="690">
        <f>IF(Select2=1,Textiles!$W95,"")</f>
        <v>8.9742530689256072E-4</v>
      </c>
      <c r="Z93" s="683">
        <f>Sludge!W95</f>
        <v>0</v>
      </c>
      <c r="AA93" s="683" t="str">
        <f>IF(Select2=2,MSW!$W95,"")</f>
        <v/>
      </c>
      <c r="AB93" s="691">
        <f>Industry!$W95</f>
        <v>0</v>
      </c>
      <c r="AC93" s="692">
        <f t="shared" si="5"/>
        <v>2.81395929765288E-2</v>
      </c>
      <c r="AD93" s="693">
        <f>Recovery_OX!R88</f>
        <v>0</v>
      </c>
      <c r="AE93" s="648"/>
      <c r="AF93" s="695">
        <f>(AC93-AD93)*(1-Recovery_OX!U88)</f>
        <v>2.81395929765288E-2</v>
      </c>
    </row>
    <row r="94" spans="2:32">
      <c r="B94" s="688">
        <f t="shared" si="6"/>
        <v>2077</v>
      </c>
      <c r="C94" s="689">
        <f>IF(Select2=1,Food!$K96,"")</f>
        <v>4.3036193928565322E-9</v>
      </c>
      <c r="D94" s="690">
        <f>IF(Select2=1,Paper!$K96,"")</f>
        <v>3.2249111654028156E-3</v>
      </c>
      <c r="E94" s="681">
        <f>IF(Select2=1,Nappies!$K96,"")</f>
        <v>5.4927912354865164E-5</v>
      </c>
      <c r="F94" s="690">
        <f>IF(Select2=1,Garden!$K96,"")</f>
        <v>0</v>
      </c>
      <c r="G94" s="681">
        <f>IF(Select2=1,Wood!$K96,"")</f>
        <v>0</v>
      </c>
      <c r="H94" s="690">
        <f>IF(Select2=1,Textiles!$K96,"")</f>
        <v>7.6353785160111298E-4</v>
      </c>
      <c r="I94" s="691">
        <f>Sludge!K96</f>
        <v>0</v>
      </c>
      <c r="J94" s="691" t="str">
        <f>IF(Select2=2,MSW!$K96,"")</f>
        <v/>
      </c>
      <c r="K94" s="691">
        <f>Industry!$K96</f>
        <v>0</v>
      </c>
      <c r="L94" s="692">
        <f t="shared" si="8"/>
        <v>4.0433812329781866E-3</v>
      </c>
      <c r="M94" s="693">
        <f>Recovery_OX!C89</f>
        <v>0</v>
      </c>
      <c r="N94" s="648"/>
      <c r="O94" s="694">
        <f>(L94-M94)*(1-Recovery_OX!F89)</f>
        <v>4.0433812329781866E-3</v>
      </c>
      <c r="P94" s="640"/>
      <c r="Q94" s="650"/>
      <c r="S94" s="688">
        <f t="shared" si="7"/>
        <v>2077</v>
      </c>
      <c r="T94" s="689">
        <f>IF(Select2=1,Food!$W96,"")</f>
        <v>2.8793171673884042E-9</v>
      </c>
      <c r="U94" s="690">
        <f>IF(Select2=1,Paper!$W96,"")</f>
        <v>6.6630395979396986E-3</v>
      </c>
      <c r="V94" s="681">
        <f>IF(Select2=1,Nappies!$W96,"")</f>
        <v>0</v>
      </c>
      <c r="W94" s="690">
        <f>IF(Select2=1,Garden!$W96,"")</f>
        <v>0</v>
      </c>
      <c r="X94" s="681">
        <f>IF(Select2=1,Wood!$W96,"")</f>
        <v>1.940480537656214E-2</v>
      </c>
      <c r="Y94" s="690">
        <f>IF(Select2=1,Textiles!$W96,"")</f>
        <v>8.3675380997382258E-4</v>
      </c>
      <c r="Z94" s="683">
        <f>Sludge!W96</f>
        <v>0</v>
      </c>
      <c r="AA94" s="683" t="str">
        <f>IF(Select2=2,MSW!$W96,"")</f>
        <v/>
      </c>
      <c r="AB94" s="691">
        <f>Industry!$W96</f>
        <v>0</v>
      </c>
      <c r="AC94" s="692">
        <f t="shared" si="5"/>
        <v>2.690460166379283E-2</v>
      </c>
      <c r="AD94" s="693">
        <f>Recovery_OX!R89</f>
        <v>0</v>
      </c>
      <c r="AE94" s="648"/>
      <c r="AF94" s="695">
        <f>(AC94-AD94)*(1-Recovery_OX!U89)</f>
        <v>2.690460166379283E-2</v>
      </c>
    </row>
    <row r="95" spans="2:32">
      <c r="B95" s="688">
        <f t="shared" si="6"/>
        <v>2078</v>
      </c>
      <c r="C95" s="689">
        <f>IF(Select2=1,Food!$K97,"")</f>
        <v>2.8848023495394611E-9</v>
      </c>
      <c r="D95" s="690">
        <f>IF(Select2=1,Paper!$K97,"")</f>
        <v>3.0068872403672744E-3</v>
      </c>
      <c r="E95" s="681">
        <f>IF(Select2=1,Nappies!$K97,"")</f>
        <v>4.6340747102889563E-5</v>
      </c>
      <c r="F95" s="690">
        <f>IF(Select2=1,Garden!$K97,"")</f>
        <v>0</v>
      </c>
      <c r="G95" s="681">
        <f>IF(Select2=1,Wood!$K97,"")</f>
        <v>0</v>
      </c>
      <c r="H95" s="690">
        <f>IF(Select2=1,Textiles!$K97,"")</f>
        <v>7.1191797409714274E-4</v>
      </c>
      <c r="I95" s="691">
        <f>Sludge!K97</f>
        <v>0</v>
      </c>
      <c r="J95" s="691" t="str">
        <f>IF(Select2=2,MSW!$K97,"")</f>
        <v/>
      </c>
      <c r="K95" s="691">
        <f>Industry!$K97</f>
        <v>0</v>
      </c>
      <c r="L95" s="692">
        <f t="shared" si="8"/>
        <v>3.7651488463696565E-3</v>
      </c>
      <c r="M95" s="693">
        <f>Recovery_OX!C90</f>
        <v>0</v>
      </c>
      <c r="N95" s="648"/>
      <c r="O95" s="694">
        <f>(L95-M95)*(1-Recovery_OX!F90)</f>
        <v>3.7651488463696565E-3</v>
      </c>
      <c r="P95" s="640"/>
      <c r="Q95" s="650"/>
      <c r="S95" s="688">
        <f t="shared" si="7"/>
        <v>2078</v>
      </c>
      <c r="T95" s="689">
        <f>IF(Select2=1,Food!$W97,"")</f>
        <v>1.9300640161950018E-9</v>
      </c>
      <c r="U95" s="690">
        <f>IF(Select2=1,Paper!$W97,"")</f>
        <v>6.2125769429075897E-3</v>
      </c>
      <c r="V95" s="681">
        <f>IF(Select2=1,Nappies!$W97,"")</f>
        <v>0</v>
      </c>
      <c r="W95" s="690">
        <f>IF(Select2=1,Garden!$W97,"")</f>
        <v>0</v>
      </c>
      <c r="X95" s="681">
        <f>IF(Select2=1,Wood!$W97,"")</f>
        <v>1.8737385173032348E-2</v>
      </c>
      <c r="Y95" s="690">
        <f>IF(Select2=1,Textiles!$W97,"")</f>
        <v>7.8018408120234851E-4</v>
      </c>
      <c r="Z95" s="683">
        <f>Sludge!W97</f>
        <v>0</v>
      </c>
      <c r="AA95" s="683" t="str">
        <f>IF(Select2=2,MSW!$W97,"")</f>
        <v/>
      </c>
      <c r="AB95" s="691">
        <f>Industry!$W97</f>
        <v>0</v>
      </c>
      <c r="AC95" s="692">
        <f t="shared" si="5"/>
        <v>2.5730148127206306E-2</v>
      </c>
      <c r="AD95" s="693">
        <f>Recovery_OX!R90</f>
        <v>0</v>
      </c>
      <c r="AE95" s="648"/>
      <c r="AF95" s="695">
        <f>(AC95-AD95)*(1-Recovery_OX!U90)</f>
        <v>2.5730148127206306E-2</v>
      </c>
    </row>
    <row r="96" spans="2:32">
      <c r="B96" s="688">
        <f t="shared" si="6"/>
        <v>2079</v>
      </c>
      <c r="C96" s="689">
        <f>IF(Select2=1,Food!$K98,"")</f>
        <v>1.933740843747012E-9</v>
      </c>
      <c r="D96" s="690">
        <f>IF(Select2=1,Paper!$K98,"")</f>
        <v>2.8036030800724981E-3</v>
      </c>
      <c r="E96" s="681">
        <f>IF(Select2=1,Nappies!$K98,"")</f>
        <v>3.9096057905498721E-5</v>
      </c>
      <c r="F96" s="690">
        <f>IF(Select2=1,Garden!$K98,"")</f>
        <v>0</v>
      </c>
      <c r="G96" s="681">
        <f>IF(Select2=1,Wood!$K98,"")</f>
        <v>0</v>
      </c>
      <c r="H96" s="690">
        <f>IF(Select2=1,Textiles!$K98,"")</f>
        <v>6.6378791932813889E-4</v>
      </c>
      <c r="I96" s="691">
        <f>Sludge!K98</f>
        <v>0</v>
      </c>
      <c r="J96" s="691" t="str">
        <f>IF(Select2=2,MSW!$K98,"")</f>
        <v/>
      </c>
      <c r="K96" s="691">
        <f>Industry!$K98</f>
        <v>0</v>
      </c>
      <c r="L96" s="692">
        <f t="shared" si="8"/>
        <v>3.5064889910469792E-3</v>
      </c>
      <c r="M96" s="693">
        <f>Recovery_OX!C91</f>
        <v>0</v>
      </c>
      <c r="N96" s="648"/>
      <c r="O96" s="694">
        <f>(L96-M96)*(1-Recovery_OX!F91)</f>
        <v>3.5064889910469792E-3</v>
      </c>
      <c r="P96" s="638"/>
      <c r="S96" s="688">
        <f t="shared" si="7"/>
        <v>2079</v>
      </c>
      <c r="T96" s="689">
        <f>IF(Select2=1,Food!$W98,"")</f>
        <v>1.2937606001875647E-9</v>
      </c>
      <c r="U96" s="690">
        <f>IF(Select2=1,Paper!$W98,"")</f>
        <v>5.7925683472572261E-3</v>
      </c>
      <c r="V96" s="681">
        <f>IF(Select2=1,Nappies!$W98,"")</f>
        <v>0</v>
      </c>
      <c r="W96" s="690">
        <f>IF(Select2=1,Garden!$W98,"")</f>
        <v>0</v>
      </c>
      <c r="X96" s="681">
        <f>IF(Select2=1,Wood!$W98,"")</f>
        <v>1.8092920609584257E-2</v>
      </c>
      <c r="Y96" s="690">
        <f>IF(Select2=1,Textiles!$W98,"")</f>
        <v>7.2743881570207019E-4</v>
      </c>
      <c r="Z96" s="683">
        <f>Sludge!W98</f>
        <v>0</v>
      </c>
      <c r="AA96" s="683" t="str">
        <f>IF(Select2=2,MSW!$W98,"")</f>
        <v/>
      </c>
      <c r="AB96" s="691">
        <f>Industry!$W98</f>
        <v>0</v>
      </c>
      <c r="AC96" s="692">
        <f t="shared" si="5"/>
        <v>2.4612929066304152E-2</v>
      </c>
      <c r="AD96" s="693">
        <f>Recovery_OX!R91</f>
        <v>0</v>
      </c>
      <c r="AE96" s="648"/>
      <c r="AF96" s="695">
        <f>(AC96-AD96)*(1-Recovery_OX!U91)</f>
        <v>2.4612929066304152E-2</v>
      </c>
    </row>
    <row r="97" spans="2:32" ht="13.5" thickBot="1">
      <c r="B97" s="696">
        <f t="shared" si="6"/>
        <v>2080</v>
      </c>
      <c r="C97" s="697">
        <f>IF(Select2=1,Food!$K99,"")</f>
        <v>1.2962252514014933E-9</v>
      </c>
      <c r="D97" s="698">
        <f>IF(Select2=1,Paper!$K99,"")</f>
        <v>2.6140621853288793E-3</v>
      </c>
      <c r="E97" s="698">
        <f>IF(Select2=1,Nappies!$K99,"")</f>
        <v>3.298396852248417E-5</v>
      </c>
      <c r="F97" s="698">
        <f>IF(Select2=1,Garden!$K99,"")</f>
        <v>0</v>
      </c>
      <c r="G97" s="698">
        <f>IF(Select2=1,Wood!$K99,"")</f>
        <v>0</v>
      </c>
      <c r="H97" s="698">
        <f>IF(Select2=1,Textiles!$K99,"")</f>
        <v>6.1891175370978489E-4</v>
      </c>
      <c r="I97" s="699">
        <f>Sludge!K99</f>
        <v>0</v>
      </c>
      <c r="J97" s="699" t="str">
        <f>IF(Select2=2,MSW!$K99,"")</f>
        <v/>
      </c>
      <c r="K97" s="691">
        <f>Industry!$K99</f>
        <v>0</v>
      </c>
      <c r="L97" s="692">
        <f t="shared" si="8"/>
        <v>3.2659592037863998E-3</v>
      </c>
      <c r="M97" s="700">
        <f>Recovery_OX!C92</f>
        <v>0</v>
      </c>
      <c r="N97" s="648"/>
      <c r="O97" s="701">
        <f>(L97-M97)*(1-Recovery_OX!F92)</f>
        <v>3.2659592037863998E-3</v>
      </c>
      <c r="S97" s="696">
        <f t="shared" si="7"/>
        <v>2080</v>
      </c>
      <c r="T97" s="697">
        <f>IF(Select2=1,Food!$W99,"")</f>
        <v>8.6723366507682471E-10</v>
      </c>
      <c r="U97" s="698">
        <f>IF(Select2=1,Paper!$W99,"")</f>
        <v>5.40095492836545E-3</v>
      </c>
      <c r="V97" s="698">
        <f>IF(Select2=1,Nappies!$W99,"")</f>
        <v>0</v>
      </c>
      <c r="W97" s="698">
        <f>IF(Select2=1,Garden!$W99,"")</f>
        <v>0</v>
      </c>
      <c r="X97" s="698">
        <f>IF(Select2=1,Wood!$W99,"")</f>
        <v>1.7470622136532707E-2</v>
      </c>
      <c r="Y97" s="698">
        <f>IF(Select2=1,Textiles!$W99,"")</f>
        <v>6.7825945612031238E-4</v>
      </c>
      <c r="Z97" s="699">
        <f>Sludge!W99</f>
        <v>0</v>
      </c>
      <c r="AA97" s="699" t="str">
        <f>IF(Select2=2,MSW!$W99,"")</f>
        <v/>
      </c>
      <c r="AB97" s="691">
        <f>Industry!$W99</f>
        <v>0</v>
      </c>
      <c r="AC97" s="702">
        <f t="shared" si="5"/>
        <v>2.3549837388252132E-2</v>
      </c>
      <c r="AD97" s="700">
        <f>Recovery_OX!R92</f>
        <v>0</v>
      </c>
      <c r="AE97" s="648"/>
      <c r="AF97" s="703">
        <f>(AC97-AD97)*(1-Recovery_OX!U92)</f>
        <v>2.3549837388252132E-2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26" t="s">
        <v>284</v>
      </c>
      <c r="D8" s="827"/>
      <c r="E8" s="828"/>
      <c r="F8" s="826" t="s">
        <v>285</v>
      </c>
      <c r="G8" s="827"/>
      <c r="H8" s="829"/>
      <c r="I8" s="435"/>
      <c r="J8" s="826" t="s">
        <v>286</v>
      </c>
      <c r="K8" s="827"/>
      <c r="L8" s="829"/>
      <c r="M8" s="830" t="s">
        <v>287</v>
      </c>
      <c r="N8" s="831"/>
      <c r="O8" s="83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0.14944559084928002</v>
      </c>
      <c r="E12" s="464">
        <f>Stored_C!G18+Stored_C!M18</f>
        <v>0.12329261245065599</v>
      </c>
      <c r="F12" s="465">
        <f>F11+HWP!C12</f>
        <v>0</v>
      </c>
      <c r="G12" s="463">
        <f>G11+HWP!D12</f>
        <v>0.14944559084928002</v>
      </c>
      <c r="H12" s="464">
        <f>H11+HWP!E12</f>
        <v>0.12329261245065599</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0.15773610720384001</v>
      </c>
      <c r="E13" s="473">
        <f>Stored_C!G19+Stored_C!M19</f>
        <v>0.13013228844316799</v>
      </c>
      <c r="F13" s="474">
        <f>F12+HWP!C13</f>
        <v>0</v>
      </c>
      <c r="G13" s="472">
        <f>G12+HWP!D13</f>
        <v>0.30718169805312001</v>
      </c>
      <c r="H13" s="473">
        <f>H12+HWP!E13</f>
        <v>0.25342490089382397</v>
      </c>
      <c r="I13" s="456"/>
      <c r="J13" s="475">
        <f>Garden!J20</f>
        <v>0</v>
      </c>
      <c r="K13" s="476">
        <f>Paper!J20</f>
        <v>4.8900676361417024E-3</v>
      </c>
      <c r="L13" s="477">
        <f>Wood!J20</f>
        <v>0</v>
      </c>
      <c r="M13" s="478">
        <f>J13*(1-Recovery_OX!E13)*(1-Recovery_OX!F13)</f>
        <v>0</v>
      </c>
      <c r="N13" s="476">
        <f>K13*(1-Recovery_OX!E13)*(1-Recovery_OX!F13)</f>
        <v>4.8900676361417024E-3</v>
      </c>
      <c r="O13" s="477">
        <f>L13*(1-Recovery_OX!E13)*(1-Recovery_OX!F13)</f>
        <v>0</v>
      </c>
    </row>
    <row r="14" spans="2:15">
      <c r="B14" s="470">
        <f t="shared" ref="B14:B77" si="0">B13+1</f>
        <v>1952</v>
      </c>
      <c r="C14" s="471">
        <f>Stored_C!E20</f>
        <v>0</v>
      </c>
      <c r="D14" s="472">
        <f>Stored_C!F20+Stored_C!L20</f>
        <v>0.16666024497408005</v>
      </c>
      <c r="E14" s="473">
        <f>Stored_C!G20+Stored_C!M20</f>
        <v>0.13749470210361603</v>
      </c>
      <c r="F14" s="474">
        <f>F13+HWP!C14</f>
        <v>0</v>
      </c>
      <c r="G14" s="472">
        <f>G13+HWP!D14</f>
        <v>0.47384194302720006</v>
      </c>
      <c r="H14" s="473">
        <f>H13+HWP!E14</f>
        <v>0.39091960299744</v>
      </c>
      <c r="I14" s="456"/>
      <c r="J14" s="475">
        <f>Garden!J21</f>
        <v>0</v>
      </c>
      <c r="K14" s="476">
        <f>Paper!J21</f>
        <v>9.7208137076040205E-3</v>
      </c>
      <c r="L14" s="477">
        <f>Wood!J21</f>
        <v>0</v>
      </c>
      <c r="M14" s="478">
        <f>J14*(1-Recovery_OX!E14)*(1-Recovery_OX!F14)</f>
        <v>0</v>
      </c>
      <c r="N14" s="476">
        <f>K14*(1-Recovery_OX!E14)*(1-Recovery_OX!F14)</f>
        <v>9.7208137076040205E-3</v>
      </c>
      <c r="O14" s="477">
        <f>L14*(1-Recovery_OX!E14)*(1-Recovery_OX!F14)</f>
        <v>0</v>
      </c>
    </row>
    <row r="15" spans="2:15">
      <c r="B15" s="470">
        <f t="shared" si="0"/>
        <v>1953</v>
      </c>
      <c r="C15" s="471">
        <f>Stored_C!E21</f>
        <v>0</v>
      </c>
      <c r="D15" s="472">
        <f>Stored_C!F21+Stored_C!L21</f>
        <v>0.16971129749376002</v>
      </c>
      <c r="E15" s="473">
        <f>Stored_C!G21+Stored_C!M21</f>
        <v>0.14001182043235202</v>
      </c>
      <c r="F15" s="474">
        <f>F14+HWP!C15</f>
        <v>0</v>
      </c>
      <c r="G15" s="472">
        <f>G14+HWP!D15</f>
        <v>0.64355324052096008</v>
      </c>
      <c r="H15" s="473">
        <f>H14+HWP!E15</f>
        <v>0.53093142342979205</v>
      </c>
      <c r="I15" s="456"/>
      <c r="J15" s="475">
        <f>Garden!J22</f>
        <v>0</v>
      </c>
      <c r="K15" s="476">
        <f>Paper!J22</f>
        <v>1.4516981692965449E-2</v>
      </c>
      <c r="L15" s="477">
        <f>Wood!J22</f>
        <v>0</v>
      </c>
      <c r="M15" s="478">
        <f>J15*(1-Recovery_OX!E15)*(1-Recovery_OX!F15)</f>
        <v>0</v>
      </c>
      <c r="N15" s="476">
        <f>K15*(1-Recovery_OX!E15)*(1-Recovery_OX!F15)</f>
        <v>1.4516981692965449E-2</v>
      </c>
      <c r="O15" s="477">
        <f>L15*(1-Recovery_OX!E15)*(1-Recovery_OX!F15)</f>
        <v>0</v>
      </c>
    </row>
    <row r="16" spans="2:15">
      <c r="B16" s="470">
        <f t="shared" si="0"/>
        <v>1954</v>
      </c>
      <c r="C16" s="471">
        <f>Stored_C!E22</f>
        <v>0</v>
      </c>
      <c r="D16" s="472">
        <f>Stored_C!F22+Stored_C!L22</f>
        <v>0.17905657720896001</v>
      </c>
      <c r="E16" s="473">
        <f>Stored_C!G22+Stored_C!M22</f>
        <v>0.14772167619739202</v>
      </c>
      <c r="F16" s="474">
        <f>F15+HWP!C16</f>
        <v>0</v>
      </c>
      <c r="G16" s="472">
        <f>G15+HWP!D16</f>
        <v>0.82260981772992015</v>
      </c>
      <c r="H16" s="473">
        <f>H15+HWP!E16</f>
        <v>0.67865309962718401</v>
      </c>
      <c r="I16" s="456"/>
      <c r="J16" s="475">
        <f>Garden!J23</f>
        <v>0</v>
      </c>
      <c r="K16" s="476">
        <f>Paper!J23</f>
        <v>1.9088733764710208E-2</v>
      </c>
      <c r="L16" s="477">
        <f>Wood!J23</f>
        <v>0</v>
      </c>
      <c r="M16" s="478">
        <f>J16*(1-Recovery_OX!E16)*(1-Recovery_OX!F16)</f>
        <v>0</v>
      </c>
      <c r="N16" s="476">
        <f>K16*(1-Recovery_OX!E16)*(1-Recovery_OX!F16)</f>
        <v>1.9088733764710208E-2</v>
      </c>
      <c r="O16" s="477">
        <f>L16*(1-Recovery_OX!E16)*(1-Recovery_OX!F16)</f>
        <v>0</v>
      </c>
    </row>
    <row r="17" spans="2:15">
      <c r="B17" s="470">
        <f t="shared" si="0"/>
        <v>1955</v>
      </c>
      <c r="C17" s="471">
        <f>Stored_C!E23</f>
        <v>0</v>
      </c>
      <c r="D17" s="472">
        <f>Stored_C!F23+Stored_C!L23</f>
        <v>0.19193385100032001</v>
      </c>
      <c r="E17" s="473">
        <f>Stored_C!G23+Stored_C!M23</f>
        <v>0.15834542707526403</v>
      </c>
      <c r="F17" s="474">
        <f>F16+HWP!C17</f>
        <v>0</v>
      </c>
      <c r="G17" s="472">
        <f>G16+HWP!D17</f>
        <v>1.0145436687302403</v>
      </c>
      <c r="H17" s="473">
        <f>H16+HWP!E17</f>
        <v>0.83699852670244801</v>
      </c>
      <c r="I17" s="456"/>
      <c r="J17" s="475">
        <f>Garden!J24</f>
        <v>0</v>
      </c>
      <c r="K17" s="476">
        <f>Paper!J24</f>
        <v>2.3657197695659504E-2</v>
      </c>
      <c r="L17" s="477">
        <f>Wood!J24</f>
        <v>0</v>
      </c>
      <c r="M17" s="478">
        <f>J17*(1-Recovery_OX!E17)*(1-Recovery_OX!F17)</f>
        <v>0</v>
      </c>
      <c r="N17" s="476">
        <f>K17*(1-Recovery_OX!E17)*(1-Recovery_OX!F17)</f>
        <v>2.3657197695659504E-2</v>
      </c>
      <c r="O17" s="477">
        <f>L17*(1-Recovery_OX!E17)*(1-Recovery_OX!F17)</f>
        <v>0</v>
      </c>
    </row>
    <row r="18" spans="2:15">
      <c r="B18" s="470">
        <f t="shared" si="0"/>
        <v>1956</v>
      </c>
      <c r="C18" s="471">
        <f>Stored_C!E24</f>
        <v>0</v>
      </c>
      <c r="D18" s="472">
        <f>Stored_C!F24+Stored_C!L24</f>
        <v>0.19974469813055998</v>
      </c>
      <c r="E18" s="473">
        <f>Stored_C!G24+Stored_C!M24</f>
        <v>0.16478937595771201</v>
      </c>
      <c r="F18" s="474">
        <f>F17+HWP!C18</f>
        <v>0</v>
      </c>
      <c r="G18" s="472">
        <f>G17+HWP!D18</f>
        <v>1.2142883668608002</v>
      </c>
      <c r="H18" s="473">
        <f>H17+HWP!E18</f>
        <v>1.0017879026601599</v>
      </c>
      <c r="I18" s="456"/>
      <c r="J18" s="475">
        <f>Garden!J25</f>
        <v>0</v>
      </c>
      <c r="K18" s="476">
        <f>Paper!J25</f>
        <v>2.8338167544212464E-2</v>
      </c>
      <c r="L18" s="477">
        <f>Wood!J25</f>
        <v>0</v>
      </c>
      <c r="M18" s="478">
        <f>J18*(1-Recovery_OX!E18)*(1-Recovery_OX!F18)</f>
        <v>0</v>
      </c>
      <c r="N18" s="476">
        <f>K18*(1-Recovery_OX!E18)*(1-Recovery_OX!F18)</f>
        <v>2.8338167544212464E-2</v>
      </c>
      <c r="O18" s="477">
        <f>L18*(1-Recovery_OX!E18)*(1-Recovery_OX!F18)</f>
        <v>0</v>
      </c>
    </row>
    <row r="19" spans="2:15">
      <c r="B19" s="470">
        <f t="shared" si="0"/>
        <v>1957</v>
      </c>
      <c r="C19" s="471">
        <f>Stored_C!E25</f>
        <v>0</v>
      </c>
      <c r="D19" s="472">
        <f>Stored_C!F25+Stored_C!L25</f>
        <v>0.20778329271744003</v>
      </c>
      <c r="E19" s="473">
        <f>Stored_C!G25+Stored_C!M25</f>
        <v>0.17142121649188802</v>
      </c>
      <c r="F19" s="474">
        <f>F18+HWP!C19</f>
        <v>0</v>
      </c>
      <c r="G19" s="472">
        <f>G18+HWP!D19</f>
        <v>1.4220716595782403</v>
      </c>
      <c r="H19" s="473">
        <f>H18+HWP!E19</f>
        <v>1.173209119152048</v>
      </c>
      <c r="I19" s="456"/>
      <c r="J19" s="475">
        <f>Garden!J26</f>
        <v>0</v>
      </c>
      <c r="K19" s="476">
        <f>Paper!J26</f>
        <v>3.2958256686451998E-2</v>
      </c>
      <c r="L19" s="477">
        <f>Wood!J26</f>
        <v>0</v>
      </c>
      <c r="M19" s="478">
        <f>J19*(1-Recovery_OX!E19)*(1-Recovery_OX!F19)</f>
        <v>0</v>
      </c>
      <c r="N19" s="476">
        <f>K19*(1-Recovery_OX!E19)*(1-Recovery_OX!F19)</f>
        <v>3.2958256686451998E-2</v>
      </c>
      <c r="O19" s="477">
        <f>L19*(1-Recovery_OX!E19)*(1-Recovery_OX!F19)</f>
        <v>0</v>
      </c>
    </row>
    <row r="20" spans="2:15">
      <c r="B20" s="470">
        <f t="shared" si="0"/>
        <v>1958</v>
      </c>
      <c r="C20" s="471">
        <f>Stored_C!E26</f>
        <v>0</v>
      </c>
      <c r="D20" s="472">
        <f>Stored_C!F26+Stored_C!L26</f>
        <v>0.21603309444288002</v>
      </c>
      <c r="E20" s="473">
        <f>Stored_C!G26+Stored_C!M26</f>
        <v>0.17822730291537603</v>
      </c>
      <c r="F20" s="474">
        <f>F19+HWP!C20</f>
        <v>0</v>
      </c>
      <c r="G20" s="472">
        <f>G19+HWP!D20</f>
        <v>1.6381047540211204</v>
      </c>
      <c r="H20" s="473">
        <f>H19+HWP!E20</f>
        <v>1.351436422067424</v>
      </c>
      <c r="I20" s="456"/>
      <c r="J20" s="475">
        <f>Garden!J27</f>
        <v>0</v>
      </c>
      <c r="K20" s="476">
        <f>Paper!J27</f>
        <v>3.7529033247989056E-2</v>
      </c>
      <c r="L20" s="477">
        <f>Wood!J27</f>
        <v>0</v>
      </c>
      <c r="M20" s="478">
        <f>J20*(1-Recovery_OX!E20)*(1-Recovery_OX!F20)</f>
        <v>0</v>
      </c>
      <c r="N20" s="476">
        <f>K20*(1-Recovery_OX!E20)*(1-Recovery_OX!F20)</f>
        <v>3.7529033247989056E-2</v>
      </c>
      <c r="O20" s="477">
        <f>L20*(1-Recovery_OX!E20)*(1-Recovery_OX!F20)</f>
        <v>0</v>
      </c>
    </row>
    <row r="21" spans="2:15">
      <c r="B21" s="470">
        <f t="shared" si="0"/>
        <v>1959</v>
      </c>
      <c r="C21" s="471">
        <f>Stored_C!E27</f>
        <v>0</v>
      </c>
      <c r="D21" s="472">
        <f>Stored_C!F27+Stored_C!L27</f>
        <v>0.22446738433152005</v>
      </c>
      <c r="E21" s="473">
        <f>Stored_C!G27+Stored_C!M27</f>
        <v>0.18518559207350405</v>
      </c>
      <c r="F21" s="474">
        <f>F20+HWP!C21</f>
        <v>0</v>
      </c>
      <c r="G21" s="472">
        <f>G20+HWP!D21</f>
        <v>1.8625721383526406</v>
      </c>
      <c r="H21" s="473">
        <f>H20+HWP!E21</f>
        <v>1.5366220141409279</v>
      </c>
      <c r="I21" s="456"/>
      <c r="J21" s="475">
        <f>Garden!J28</f>
        <v>0</v>
      </c>
      <c r="K21" s="476">
        <f>Paper!J28</f>
        <v>4.2060742055433281E-2</v>
      </c>
      <c r="L21" s="477">
        <f>Wood!J28</f>
        <v>0</v>
      </c>
      <c r="M21" s="478">
        <f>J21*(1-Recovery_OX!E21)*(1-Recovery_OX!F21)</f>
        <v>0</v>
      </c>
      <c r="N21" s="476">
        <f>K21*(1-Recovery_OX!E21)*(1-Recovery_OX!F21)</f>
        <v>4.2060742055433281E-2</v>
      </c>
      <c r="O21" s="477">
        <f>L21*(1-Recovery_OX!E21)*(1-Recovery_OX!F21)</f>
        <v>0</v>
      </c>
    </row>
    <row r="22" spans="2:15">
      <c r="B22" s="470">
        <f t="shared" si="0"/>
        <v>1960</v>
      </c>
      <c r="C22" s="471">
        <f>Stored_C!E28</f>
        <v>0</v>
      </c>
      <c r="D22" s="472">
        <f>Stored_C!F28+Stored_C!L28</f>
        <v>0.22784797088064002</v>
      </c>
      <c r="E22" s="473">
        <f>Stored_C!G28+Stored_C!M28</f>
        <v>0.187974575976528</v>
      </c>
      <c r="F22" s="474">
        <f>F21+HWP!C22</f>
        <v>0</v>
      </c>
      <c r="G22" s="472">
        <f>G21+HWP!D22</f>
        <v>2.0904201092332806</v>
      </c>
      <c r="H22" s="473">
        <f>H21+HWP!E22</f>
        <v>1.7245965901174558</v>
      </c>
      <c r="I22" s="456"/>
      <c r="J22" s="475">
        <f>Garden!J29</f>
        <v>0</v>
      </c>
      <c r="K22" s="476">
        <f>Paper!J29</f>
        <v>4.6562061039757213E-2</v>
      </c>
      <c r="L22" s="477">
        <f>Wood!J29</f>
        <v>0</v>
      </c>
      <c r="M22" s="478">
        <f>J22*(1-Recovery_OX!E22)*(1-Recovery_OX!F22)</f>
        <v>0</v>
      </c>
      <c r="N22" s="476">
        <f>K22*(1-Recovery_OX!E22)*(1-Recovery_OX!F22)</f>
        <v>4.6562061039757213E-2</v>
      </c>
      <c r="O22" s="477">
        <f>L22*(1-Recovery_OX!E22)*(1-Recovery_OX!F22)</f>
        <v>0</v>
      </c>
    </row>
    <row r="23" spans="2:15">
      <c r="B23" s="470">
        <f t="shared" si="0"/>
        <v>1961</v>
      </c>
      <c r="C23" s="471">
        <f>Stored_C!E29</f>
        <v>0</v>
      </c>
      <c r="D23" s="472">
        <f>Stored_C!F29+Stored_C!L29</f>
        <v>0.21512360828160004</v>
      </c>
      <c r="E23" s="473">
        <f>Stored_C!G29+Stored_C!M29</f>
        <v>0.17747697683232003</v>
      </c>
      <c r="F23" s="474">
        <f>F22+HWP!C23</f>
        <v>0</v>
      </c>
      <c r="G23" s="472">
        <f>G22+HWP!D23</f>
        <v>2.3055437175148805</v>
      </c>
      <c r="H23" s="473">
        <f>H22+HWP!E23</f>
        <v>1.9020735669497759</v>
      </c>
      <c r="I23" s="456"/>
      <c r="J23" s="475">
        <f>Garden!J30</f>
        <v>0</v>
      </c>
      <c r="K23" s="476">
        <f>Paper!J30</f>
        <v>5.0869680537008827E-2</v>
      </c>
      <c r="L23" s="477">
        <f>Wood!J30</f>
        <v>0</v>
      </c>
      <c r="M23" s="478">
        <f>J23*(1-Recovery_OX!E23)*(1-Recovery_OX!F23)</f>
        <v>0</v>
      </c>
      <c r="N23" s="476">
        <f>K23*(1-Recovery_OX!E23)*(1-Recovery_OX!F23)</f>
        <v>5.0869680537008827E-2</v>
      </c>
      <c r="O23" s="477">
        <f>L23*(1-Recovery_OX!E23)*(1-Recovery_OX!F23)</f>
        <v>0</v>
      </c>
    </row>
    <row r="24" spans="2:15">
      <c r="B24" s="470">
        <f t="shared" si="0"/>
        <v>1962</v>
      </c>
      <c r="C24" s="471">
        <f>Stored_C!E30</f>
        <v>0</v>
      </c>
      <c r="D24" s="472">
        <f>Stored_C!F30+Stored_C!L30</f>
        <v>0.22158936898560003</v>
      </c>
      <c r="E24" s="473">
        <f>Stored_C!G30+Stored_C!M30</f>
        <v>0.18281122941312003</v>
      </c>
      <c r="F24" s="474">
        <f>F23+HWP!C24</f>
        <v>0</v>
      </c>
      <c r="G24" s="472">
        <f>G23+HWP!D24</f>
        <v>2.5271330865004806</v>
      </c>
      <c r="H24" s="473">
        <f>H23+HWP!E24</f>
        <v>2.0848847963628958</v>
      </c>
      <c r="I24" s="456"/>
      <c r="J24" s="475">
        <f>Garden!J31</f>
        <v>0</v>
      </c>
      <c r="K24" s="476">
        <f>Paper!J31</f>
        <v>5.4469719488817486E-2</v>
      </c>
      <c r="L24" s="477">
        <f>Wood!J31</f>
        <v>0</v>
      </c>
      <c r="M24" s="478">
        <f>J24*(1-Recovery_OX!E24)*(1-Recovery_OX!F24)</f>
        <v>0</v>
      </c>
      <c r="N24" s="476">
        <f>K24*(1-Recovery_OX!E24)*(1-Recovery_OX!F24)</f>
        <v>5.4469719488817486E-2</v>
      </c>
      <c r="O24" s="477">
        <f>L24*(1-Recovery_OX!E24)*(1-Recovery_OX!F24)</f>
        <v>0</v>
      </c>
    </row>
    <row r="25" spans="2:15">
      <c r="B25" s="470">
        <f t="shared" si="0"/>
        <v>1963</v>
      </c>
      <c r="C25" s="471">
        <f>Stored_C!E31</f>
        <v>0</v>
      </c>
      <c r="D25" s="472">
        <f>Stored_C!F31+Stored_C!L31</f>
        <v>0.22831190945280003</v>
      </c>
      <c r="E25" s="473">
        <f>Stored_C!G31+Stored_C!M31</f>
        <v>0.18835732529856006</v>
      </c>
      <c r="F25" s="474">
        <f>F24+HWP!C25</f>
        <v>0</v>
      </c>
      <c r="G25" s="472">
        <f>G24+HWP!D25</f>
        <v>2.7554449959532805</v>
      </c>
      <c r="H25" s="473">
        <f>H24+HWP!E25</f>
        <v>2.2732421216614558</v>
      </c>
      <c r="I25" s="456"/>
      <c r="J25" s="475">
        <f>Garden!J32</f>
        <v>0</v>
      </c>
      <c r="K25" s="476">
        <f>Paper!J32</f>
        <v>5.8037942244082798E-2</v>
      </c>
      <c r="L25" s="477">
        <f>Wood!J32</f>
        <v>0</v>
      </c>
      <c r="M25" s="478">
        <f>J25*(1-Recovery_OX!E25)*(1-Recovery_OX!F25)</f>
        <v>0</v>
      </c>
      <c r="N25" s="476">
        <f>K25*(1-Recovery_OX!E25)*(1-Recovery_OX!F25)</f>
        <v>5.8037942244082798E-2</v>
      </c>
      <c r="O25" s="477">
        <f>L25*(1-Recovery_OX!E25)*(1-Recovery_OX!F25)</f>
        <v>0</v>
      </c>
    </row>
    <row r="26" spans="2:15">
      <c r="B26" s="470">
        <f t="shared" si="0"/>
        <v>1964</v>
      </c>
      <c r="C26" s="471">
        <f>Stored_C!E32</f>
        <v>0</v>
      </c>
      <c r="D26" s="472">
        <f>Stored_C!F32+Stored_C!L32</f>
        <v>0.2350610532288</v>
      </c>
      <c r="E26" s="473">
        <f>Stored_C!G32+Stored_C!M32</f>
        <v>0.19392536891376003</v>
      </c>
      <c r="F26" s="474">
        <f>F25+HWP!C26</f>
        <v>0</v>
      </c>
      <c r="G26" s="472">
        <f>G25+HWP!D26</f>
        <v>2.9905060491820805</v>
      </c>
      <c r="H26" s="473">
        <f>H25+HWP!E26</f>
        <v>2.4671674905752159</v>
      </c>
      <c r="I26" s="456"/>
      <c r="J26" s="475">
        <f>Garden!J33</f>
        <v>0</v>
      </c>
      <c r="K26" s="476">
        <f>Paper!J33</f>
        <v>6.1584901965393263E-2</v>
      </c>
      <c r="L26" s="477">
        <f>Wood!J33</f>
        <v>0</v>
      </c>
      <c r="M26" s="478">
        <f>J26*(1-Recovery_OX!E26)*(1-Recovery_OX!F26)</f>
        <v>0</v>
      </c>
      <c r="N26" s="476">
        <f>K26*(1-Recovery_OX!E26)*(1-Recovery_OX!F26)</f>
        <v>6.1584901965393263E-2</v>
      </c>
      <c r="O26" s="477">
        <f>L26*(1-Recovery_OX!E26)*(1-Recovery_OX!F26)</f>
        <v>0</v>
      </c>
    </row>
    <row r="27" spans="2:15">
      <c r="B27" s="470">
        <f t="shared" si="0"/>
        <v>1965</v>
      </c>
      <c r="C27" s="471">
        <f>Stored_C!E33</f>
        <v>0</v>
      </c>
      <c r="D27" s="472">
        <f>Stored_C!F33+Stored_C!L33</f>
        <v>0.24161934718080005</v>
      </c>
      <c r="E27" s="473">
        <f>Stored_C!G33+Stored_C!M33</f>
        <v>0.19933596142416002</v>
      </c>
      <c r="F27" s="474">
        <f>F26+HWP!C27</f>
        <v>0</v>
      </c>
      <c r="G27" s="472">
        <f>G26+HWP!D27</f>
        <v>3.2321253963628807</v>
      </c>
      <c r="H27" s="473">
        <f>H26+HWP!E27</f>
        <v>2.6665034519993758</v>
      </c>
      <c r="I27" s="456"/>
      <c r="J27" s="475">
        <f>Garden!J34</f>
        <v>0</v>
      </c>
      <c r="K27" s="476">
        <f>Paper!J34</f>
        <v>6.5112906662525297E-2</v>
      </c>
      <c r="L27" s="477">
        <f>Wood!J34</f>
        <v>0</v>
      </c>
      <c r="M27" s="478">
        <f>J27*(1-Recovery_OX!E27)*(1-Recovery_OX!F27)</f>
        <v>0</v>
      </c>
      <c r="N27" s="476">
        <f>K27*(1-Recovery_OX!E27)*(1-Recovery_OX!F27)</f>
        <v>6.5112906662525297E-2</v>
      </c>
      <c r="O27" s="477">
        <f>L27*(1-Recovery_OX!E27)*(1-Recovery_OX!F27)</f>
        <v>0</v>
      </c>
    </row>
    <row r="28" spans="2:15">
      <c r="B28" s="470">
        <f t="shared" si="0"/>
        <v>1966</v>
      </c>
      <c r="C28" s="471">
        <f>Stored_C!E34</f>
        <v>0</v>
      </c>
      <c r="D28" s="472">
        <f>Stored_C!F34+Stored_C!L34</f>
        <v>0.24848415751680011</v>
      </c>
      <c r="E28" s="473">
        <f>Stored_C!G34+Stored_C!M34</f>
        <v>0.20499942995136011</v>
      </c>
      <c r="F28" s="474">
        <f>F27+HWP!C28</f>
        <v>0</v>
      </c>
      <c r="G28" s="472">
        <f>G27+HWP!D28</f>
        <v>3.4806095538796806</v>
      </c>
      <c r="H28" s="473">
        <f>H27+HWP!E28</f>
        <v>2.871502881950736</v>
      </c>
      <c r="I28" s="456"/>
      <c r="J28" s="475">
        <f>Garden!J35</f>
        <v>0</v>
      </c>
      <c r="K28" s="476">
        <f>Paper!J35</f>
        <v>6.8616992940512225E-2</v>
      </c>
      <c r="L28" s="477">
        <f>Wood!J35</f>
        <v>0</v>
      </c>
      <c r="M28" s="478">
        <f>J28*(1-Recovery_OX!E28)*(1-Recovery_OX!F28)</f>
        <v>0</v>
      </c>
      <c r="N28" s="476">
        <f>K28*(1-Recovery_OX!E28)*(1-Recovery_OX!F28)</f>
        <v>6.8616992940512225E-2</v>
      </c>
      <c r="O28" s="477">
        <f>L28*(1-Recovery_OX!E28)*(1-Recovery_OX!F28)</f>
        <v>0</v>
      </c>
    </row>
    <row r="29" spans="2:15">
      <c r="B29" s="470">
        <f t="shared" si="0"/>
        <v>1967</v>
      </c>
      <c r="C29" s="471">
        <f>Stored_C!E35</f>
        <v>0</v>
      </c>
      <c r="D29" s="472">
        <f>Stored_C!F35+Stored_C!L35</f>
        <v>0.25712583754752011</v>
      </c>
      <c r="E29" s="473">
        <f>Stored_C!G35+Stored_C!M35</f>
        <v>0.21212881597670405</v>
      </c>
      <c r="F29" s="474">
        <f>F28+HWP!C29</f>
        <v>0</v>
      </c>
      <c r="G29" s="472">
        <f>G28+HWP!D29</f>
        <v>3.7377353914272007</v>
      </c>
      <c r="H29" s="473">
        <f>H28+HWP!E29</f>
        <v>3.0836316979274399</v>
      </c>
      <c r="I29" s="456"/>
      <c r="J29" s="475">
        <f>Garden!J36</f>
        <v>0</v>
      </c>
      <c r="K29" s="476">
        <f>Paper!J36</f>
        <v>7.2108807474805831E-2</v>
      </c>
      <c r="L29" s="477">
        <f>Wood!J36</f>
        <v>0</v>
      </c>
      <c r="M29" s="478">
        <f>J29*(1-Recovery_OX!E29)*(1-Recovery_OX!F29)</f>
        <v>0</v>
      </c>
      <c r="N29" s="476">
        <f>K29*(1-Recovery_OX!E29)*(1-Recovery_OX!F29)</f>
        <v>7.2108807474805831E-2</v>
      </c>
      <c r="O29" s="477">
        <f>L29*(1-Recovery_OX!E29)*(1-Recovery_OX!F29)</f>
        <v>0</v>
      </c>
    </row>
    <row r="30" spans="2:15">
      <c r="B30" s="470">
        <f t="shared" si="0"/>
        <v>1968</v>
      </c>
      <c r="C30" s="471">
        <f>Stored_C!E36</f>
        <v>0</v>
      </c>
      <c r="D30" s="472">
        <f>Stored_C!F36+Stored_C!L36</f>
        <v>0.26418600870336001</v>
      </c>
      <c r="E30" s="473">
        <f>Stored_C!G36+Stored_C!M36</f>
        <v>0.21795345718027204</v>
      </c>
      <c r="F30" s="474">
        <f>F29+HWP!C30</f>
        <v>0</v>
      </c>
      <c r="G30" s="472">
        <f>G29+HWP!D30</f>
        <v>4.001921400130561</v>
      </c>
      <c r="H30" s="473">
        <f>H29+HWP!E30</f>
        <v>3.3015851551077118</v>
      </c>
      <c r="I30" s="456"/>
      <c r="J30" s="475">
        <f>Garden!J37</f>
        <v>0</v>
      </c>
      <c r="K30" s="476">
        <f>Paper!J37</f>
        <v>7.5647321559451419E-2</v>
      </c>
      <c r="L30" s="477">
        <f>Wood!J37</f>
        <v>0</v>
      </c>
      <c r="M30" s="478">
        <f>J30*(1-Recovery_OX!E30)*(1-Recovery_OX!F30)</f>
        <v>0</v>
      </c>
      <c r="N30" s="476">
        <f>K30*(1-Recovery_OX!E30)*(1-Recovery_OX!F30)</f>
        <v>7.5647321559451419E-2</v>
      </c>
      <c r="O30" s="477">
        <f>L30*(1-Recovery_OX!E30)*(1-Recovery_OX!F30)</f>
        <v>0</v>
      </c>
    </row>
    <row r="31" spans="2:15">
      <c r="B31" s="470">
        <f t="shared" si="0"/>
        <v>1969</v>
      </c>
      <c r="C31" s="471">
        <f>Stored_C!E37</f>
        <v>0</v>
      </c>
      <c r="D31" s="472">
        <f>Stored_C!F37+Stored_C!L37</f>
        <v>0.27124617985920008</v>
      </c>
      <c r="E31" s="473">
        <f>Stored_C!G37+Stored_C!M37</f>
        <v>0.22377809838384</v>
      </c>
      <c r="F31" s="474">
        <f>F30+HWP!C31</f>
        <v>0</v>
      </c>
      <c r="G31" s="472">
        <f>G30+HWP!D31</f>
        <v>4.273167579989761</v>
      </c>
      <c r="H31" s="473">
        <f>H30+HWP!E31</f>
        <v>3.5253632534915518</v>
      </c>
      <c r="I31" s="456"/>
      <c r="J31" s="475">
        <f>Garden!J38</f>
        <v>0</v>
      </c>
      <c r="K31" s="476">
        <f>Paper!J38</f>
        <v>7.917762884571089E-2</v>
      </c>
      <c r="L31" s="477">
        <f>Wood!J38</f>
        <v>0</v>
      </c>
      <c r="M31" s="478">
        <f>J31*(1-Recovery_OX!E31)*(1-Recovery_OX!F31)</f>
        <v>0</v>
      </c>
      <c r="N31" s="476">
        <f>K31*(1-Recovery_OX!E31)*(1-Recovery_OX!F31)</f>
        <v>7.917762884571089E-2</v>
      </c>
      <c r="O31" s="477">
        <f>L31*(1-Recovery_OX!E31)*(1-Recovery_OX!F31)</f>
        <v>0</v>
      </c>
    </row>
    <row r="32" spans="2:15">
      <c r="B32" s="470">
        <f t="shared" si="0"/>
        <v>1970</v>
      </c>
      <c r="C32" s="471">
        <f>Stored_C!E38</f>
        <v>0</v>
      </c>
      <c r="D32" s="472">
        <f>Stored_C!F38+Stored_C!L38</f>
        <v>0.27830635101504003</v>
      </c>
      <c r="E32" s="473">
        <f>Stored_C!G38+Stored_C!M38</f>
        <v>0.22960273958740804</v>
      </c>
      <c r="F32" s="474">
        <f>F31+HWP!C32</f>
        <v>0</v>
      </c>
      <c r="G32" s="472">
        <f>G31+HWP!D32</f>
        <v>4.5514739310048009</v>
      </c>
      <c r="H32" s="473">
        <f>H31+HWP!E32</f>
        <v>3.7549659930789598</v>
      </c>
      <c r="I32" s="456"/>
      <c r="J32" s="475">
        <f>Garden!J39</f>
        <v>0</v>
      </c>
      <c r="K32" s="476">
        <f>Paper!J39</f>
        <v>8.2700284163873927E-2</v>
      </c>
      <c r="L32" s="477">
        <f>Wood!J39</f>
        <v>0</v>
      </c>
      <c r="M32" s="478">
        <f>J32*(1-Recovery_OX!E32)*(1-Recovery_OX!F32)</f>
        <v>0</v>
      </c>
      <c r="N32" s="476">
        <f>K32*(1-Recovery_OX!E32)*(1-Recovery_OX!F32)</f>
        <v>8.2700284163873927E-2</v>
      </c>
      <c r="O32" s="477">
        <f>L32*(1-Recovery_OX!E32)*(1-Recovery_OX!F32)</f>
        <v>0</v>
      </c>
    </row>
    <row r="33" spans="2:15">
      <c r="B33" s="470">
        <f t="shared" si="0"/>
        <v>1971</v>
      </c>
      <c r="C33" s="471">
        <f>Stored_C!E39</f>
        <v>0</v>
      </c>
      <c r="D33" s="472">
        <f>Stored_C!F39+Stored_C!L39</f>
        <v>0.28536652217088004</v>
      </c>
      <c r="E33" s="473">
        <f>Stored_C!G39+Stored_C!M39</f>
        <v>0.23542738079097603</v>
      </c>
      <c r="F33" s="474">
        <f>F32+HWP!C33</f>
        <v>0</v>
      </c>
      <c r="G33" s="472">
        <f>G32+HWP!D33</f>
        <v>4.8368404531756806</v>
      </c>
      <c r="H33" s="473">
        <f>H32+HWP!E33</f>
        <v>3.990393373869936</v>
      </c>
      <c r="I33" s="456"/>
      <c r="J33" s="475">
        <f>Garden!J40</f>
        <v>0</v>
      </c>
      <c r="K33" s="476">
        <f>Paper!J40</f>
        <v>8.6215804834273727E-2</v>
      </c>
      <c r="L33" s="477">
        <f>Wood!J40</f>
        <v>0</v>
      </c>
      <c r="M33" s="478">
        <f>J33*(1-Recovery_OX!E33)*(1-Recovery_OX!F33)</f>
        <v>0</v>
      </c>
      <c r="N33" s="476">
        <f>K33*(1-Recovery_OX!E33)*(1-Recovery_OX!F33)</f>
        <v>8.6215804834273727E-2</v>
      </c>
      <c r="O33" s="477">
        <f>L33*(1-Recovery_OX!E33)*(1-Recovery_OX!F33)</f>
        <v>0</v>
      </c>
    </row>
    <row r="34" spans="2:15">
      <c r="B34" s="470">
        <f t="shared" si="0"/>
        <v>1972</v>
      </c>
      <c r="C34" s="471">
        <f>Stored_C!E40</f>
        <v>0</v>
      </c>
      <c r="D34" s="472">
        <f>Stored_C!F40+Stored_C!L40</f>
        <v>0.29242669332672</v>
      </c>
      <c r="E34" s="473">
        <f>Stored_C!G40+Stored_C!M40</f>
        <v>0.24125202199454399</v>
      </c>
      <c r="F34" s="474">
        <f>F33+HWP!C34</f>
        <v>0</v>
      </c>
      <c r="G34" s="472">
        <f>G33+HWP!D34</f>
        <v>5.1292671465024009</v>
      </c>
      <c r="H34" s="473">
        <f>H33+HWP!E34</f>
        <v>4.2316453958644802</v>
      </c>
      <c r="I34" s="456"/>
      <c r="J34" s="475">
        <f>Garden!J41</f>
        <v>0</v>
      </c>
      <c r="K34" s="476">
        <f>Paper!J41</f>
        <v>8.9724673203191899E-2</v>
      </c>
      <c r="L34" s="477">
        <f>Wood!J41</f>
        <v>0</v>
      </c>
      <c r="M34" s="478">
        <f>J34*(1-Recovery_OX!E34)*(1-Recovery_OX!F34)</f>
        <v>0</v>
      </c>
      <c r="N34" s="476">
        <f>K34*(1-Recovery_OX!E34)*(1-Recovery_OX!F34)</f>
        <v>8.9724673203191899E-2</v>
      </c>
      <c r="O34" s="477">
        <f>L34*(1-Recovery_OX!E34)*(1-Recovery_OX!F34)</f>
        <v>0</v>
      </c>
    </row>
    <row r="35" spans="2:15">
      <c r="B35" s="470">
        <f t="shared" si="0"/>
        <v>1973</v>
      </c>
      <c r="C35" s="471">
        <f>Stored_C!E41</f>
        <v>0</v>
      </c>
      <c r="D35" s="472">
        <f>Stored_C!F41+Stored_C!L41</f>
        <v>0.29948686448256001</v>
      </c>
      <c r="E35" s="473">
        <f>Stored_C!G41+Stored_C!M41</f>
        <v>0.24707666319811197</v>
      </c>
      <c r="F35" s="474">
        <f>F34+HWP!C35</f>
        <v>0</v>
      </c>
      <c r="G35" s="472">
        <f>G34+HWP!D35</f>
        <v>5.428754010984961</v>
      </c>
      <c r="H35" s="473">
        <f>H34+HWP!E35</f>
        <v>4.4787220590625925</v>
      </c>
      <c r="I35" s="456"/>
      <c r="J35" s="475">
        <f>Garden!J42</f>
        <v>0</v>
      </c>
      <c r="K35" s="476">
        <f>Paper!J42</f>
        <v>9.3227339007320428E-2</v>
      </c>
      <c r="L35" s="477">
        <f>Wood!J42</f>
        <v>0</v>
      </c>
      <c r="M35" s="478">
        <f>J35*(1-Recovery_OX!E35)*(1-Recovery_OX!F35)</f>
        <v>0</v>
      </c>
      <c r="N35" s="476">
        <f>K35*(1-Recovery_OX!E35)*(1-Recovery_OX!F35)</f>
        <v>9.3227339007320428E-2</v>
      </c>
      <c r="O35" s="477">
        <f>L35*(1-Recovery_OX!E35)*(1-Recovery_OX!F35)</f>
        <v>0</v>
      </c>
    </row>
    <row r="36" spans="2:15">
      <c r="B36" s="470">
        <f t="shared" si="0"/>
        <v>1974</v>
      </c>
      <c r="C36" s="471">
        <f>Stored_C!E42</f>
        <v>0</v>
      </c>
      <c r="D36" s="472">
        <f>Stored_C!F42+Stored_C!L42</f>
        <v>0.30654703563840013</v>
      </c>
      <c r="E36" s="473">
        <f>Stored_C!G42+Stored_C!M42</f>
        <v>0.25290130440168007</v>
      </c>
      <c r="F36" s="474">
        <f>F35+HWP!C36</f>
        <v>0</v>
      </c>
      <c r="G36" s="472">
        <f>G35+HWP!D36</f>
        <v>5.7353010466233609</v>
      </c>
      <c r="H36" s="473">
        <f>H35+HWP!E36</f>
        <v>4.7316233634642728</v>
      </c>
      <c r="I36" s="456"/>
      <c r="J36" s="475">
        <f>Garden!J43</f>
        <v>0</v>
      </c>
      <c r="K36" s="476">
        <f>Paper!J43</f>
        <v>9.6724221578371558E-2</v>
      </c>
      <c r="L36" s="477">
        <f>Wood!J43</f>
        <v>0</v>
      </c>
      <c r="M36" s="478">
        <f>J36*(1-Recovery_OX!E36)*(1-Recovery_OX!F36)</f>
        <v>0</v>
      </c>
      <c r="N36" s="476">
        <f>K36*(1-Recovery_OX!E36)*(1-Recovery_OX!F36)</f>
        <v>9.6724221578371558E-2</v>
      </c>
      <c r="O36" s="477">
        <f>L36*(1-Recovery_OX!E36)*(1-Recovery_OX!F36)</f>
        <v>0</v>
      </c>
    </row>
    <row r="37" spans="2:15">
      <c r="B37" s="470">
        <f t="shared" si="0"/>
        <v>1975</v>
      </c>
      <c r="C37" s="471">
        <f>Stored_C!E43</f>
        <v>0</v>
      </c>
      <c r="D37" s="472">
        <f>Stored_C!F43+Stored_C!L43</f>
        <v>0.31360720679424015</v>
      </c>
      <c r="E37" s="473">
        <f>Stored_C!G43+Stored_C!M43</f>
        <v>0.25872594560524809</v>
      </c>
      <c r="F37" s="474">
        <f>F36+HWP!C37</f>
        <v>0</v>
      </c>
      <c r="G37" s="472">
        <f>G36+HWP!D37</f>
        <v>6.0489082534176006</v>
      </c>
      <c r="H37" s="473">
        <f>H36+HWP!E37</f>
        <v>4.9903493090695212</v>
      </c>
      <c r="I37" s="456"/>
      <c r="J37" s="475">
        <f>Garden!J44</f>
        <v>0</v>
      </c>
      <c r="K37" s="476">
        <f>Paper!J44</f>
        <v>0.10021571189864222</v>
      </c>
      <c r="L37" s="477">
        <f>Wood!J44</f>
        <v>0</v>
      </c>
      <c r="M37" s="478">
        <f>J37*(1-Recovery_OX!E37)*(1-Recovery_OX!F37)</f>
        <v>0</v>
      </c>
      <c r="N37" s="476">
        <f>K37*(1-Recovery_OX!E37)*(1-Recovery_OX!F37)</f>
        <v>0.10021571189864222</v>
      </c>
      <c r="O37" s="477">
        <f>L37*(1-Recovery_OX!E37)*(1-Recovery_OX!F37)</f>
        <v>0</v>
      </c>
    </row>
    <row r="38" spans="2:15">
      <c r="B38" s="470">
        <f t="shared" si="0"/>
        <v>1976</v>
      </c>
      <c r="C38" s="471">
        <f>Stored_C!E44</f>
        <v>0</v>
      </c>
      <c r="D38" s="472">
        <f>Stored_C!F44+Stored_C!L44</f>
        <v>0.32066737795008005</v>
      </c>
      <c r="E38" s="473">
        <f>Stored_C!G44+Stored_C!M44</f>
        <v>0.26455058680881605</v>
      </c>
      <c r="F38" s="474">
        <f>F37+HWP!C38</f>
        <v>0</v>
      </c>
      <c r="G38" s="472">
        <f>G37+HWP!D38</f>
        <v>6.369575631367681</v>
      </c>
      <c r="H38" s="473">
        <f>H37+HWP!E38</f>
        <v>5.2548998958783368</v>
      </c>
      <c r="I38" s="456"/>
      <c r="J38" s="475">
        <f>Garden!J45</f>
        <v>0</v>
      </c>
      <c r="K38" s="476">
        <f>Paper!J45</f>
        <v>0.10370217451760978</v>
      </c>
      <c r="L38" s="477">
        <f>Wood!J45</f>
        <v>0</v>
      </c>
      <c r="M38" s="478">
        <f>J38*(1-Recovery_OX!E38)*(1-Recovery_OX!F38)</f>
        <v>0</v>
      </c>
      <c r="N38" s="476">
        <f>K38*(1-Recovery_OX!E38)*(1-Recovery_OX!F38)</f>
        <v>0.10370217451760978</v>
      </c>
      <c r="O38" s="477">
        <f>L38*(1-Recovery_OX!E38)*(1-Recovery_OX!F38)</f>
        <v>0</v>
      </c>
    </row>
    <row r="39" spans="2:15">
      <c r="B39" s="470">
        <f t="shared" si="0"/>
        <v>1977</v>
      </c>
      <c r="C39" s="471">
        <f>Stored_C!E45</f>
        <v>0</v>
      </c>
      <c r="D39" s="472">
        <f>Stored_C!F45+Stored_C!L45</f>
        <v>0.32772754910591995</v>
      </c>
      <c r="E39" s="473">
        <f>Stored_C!G45+Stored_C!M45</f>
        <v>0.27037522801238395</v>
      </c>
      <c r="F39" s="474">
        <f>F38+HWP!C39</f>
        <v>0</v>
      </c>
      <c r="G39" s="472">
        <f>G38+HWP!D39</f>
        <v>6.6973031804736012</v>
      </c>
      <c r="H39" s="473">
        <f>H38+HWP!E39</f>
        <v>5.5252751238907205</v>
      </c>
      <c r="I39" s="456"/>
      <c r="J39" s="475">
        <f>Garden!J46</f>
        <v>0</v>
      </c>
      <c r="K39" s="476">
        <f>Paper!J46</f>
        <v>0.10718394933895402</v>
      </c>
      <c r="L39" s="477">
        <f>Wood!J46</f>
        <v>0</v>
      </c>
      <c r="M39" s="478">
        <f>J39*(1-Recovery_OX!E39)*(1-Recovery_OX!F39)</f>
        <v>0</v>
      </c>
      <c r="N39" s="476">
        <f>K39*(1-Recovery_OX!E39)*(1-Recovery_OX!F39)</f>
        <v>0.10718394933895402</v>
      </c>
      <c r="O39" s="477">
        <f>L39*(1-Recovery_OX!E39)*(1-Recovery_OX!F39)</f>
        <v>0</v>
      </c>
    </row>
    <row r="40" spans="2:15">
      <c r="B40" s="470">
        <f t="shared" si="0"/>
        <v>1978</v>
      </c>
      <c r="C40" s="471">
        <f>Stored_C!E46</f>
        <v>0</v>
      </c>
      <c r="D40" s="472">
        <f>Stored_C!F46+Stored_C!L46</f>
        <v>0.33478772026176007</v>
      </c>
      <c r="E40" s="473">
        <f>Stored_C!G46+Stored_C!M46</f>
        <v>0.27619986921595208</v>
      </c>
      <c r="F40" s="474">
        <f>F39+HWP!C40</f>
        <v>0</v>
      </c>
      <c r="G40" s="472">
        <f>G39+HWP!D40</f>
        <v>7.0320909007353611</v>
      </c>
      <c r="H40" s="473">
        <f>H39+HWP!E40</f>
        <v>5.8014749931066723</v>
      </c>
      <c r="I40" s="456"/>
      <c r="J40" s="475">
        <f>Garden!J47</f>
        <v>0</v>
      </c>
      <c r="K40" s="476">
        <f>Paper!J47</f>
        <v>0.11066135328676528</v>
      </c>
      <c r="L40" s="477">
        <f>Wood!J47</f>
        <v>0</v>
      </c>
      <c r="M40" s="478">
        <f>J40*(1-Recovery_OX!E40)*(1-Recovery_OX!F40)</f>
        <v>0</v>
      </c>
      <c r="N40" s="476">
        <f>K40*(1-Recovery_OX!E40)*(1-Recovery_OX!F40)</f>
        <v>0.11066135328676528</v>
      </c>
      <c r="O40" s="477">
        <f>L40*(1-Recovery_OX!E40)*(1-Recovery_OX!F40)</f>
        <v>0</v>
      </c>
    </row>
    <row r="41" spans="2:15">
      <c r="B41" s="470">
        <f t="shared" si="0"/>
        <v>1979</v>
      </c>
      <c r="C41" s="471">
        <f>Stored_C!E47</f>
        <v>0</v>
      </c>
      <c r="D41" s="472">
        <f>Stored_C!F47+Stored_C!L47</f>
        <v>0.34184789141760002</v>
      </c>
      <c r="E41" s="473">
        <f>Stored_C!G47+Stored_C!M47</f>
        <v>0.28202451041951998</v>
      </c>
      <c r="F41" s="474">
        <f>F40+HWP!C41</f>
        <v>0</v>
      </c>
      <c r="G41" s="472">
        <f>G40+HWP!D41</f>
        <v>7.3739387921529609</v>
      </c>
      <c r="H41" s="473">
        <f>H40+HWP!E41</f>
        <v>6.0834995035261921</v>
      </c>
      <c r="I41" s="456"/>
      <c r="J41" s="475">
        <f>Garden!J48</f>
        <v>0</v>
      </c>
      <c r="K41" s="476">
        <f>Paper!J48</f>
        <v>0.11413468185910683</v>
      </c>
      <c r="L41" s="477">
        <f>Wood!J48</f>
        <v>0</v>
      </c>
      <c r="M41" s="478">
        <f>J41*(1-Recovery_OX!E41)*(1-Recovery_OX!F41)</f>
        <v>0</v>
      </c>
      <c r="N41" s="476">
        <f>K41*(1-Recovery_OX!E41)*(1-Recovery_OX!F41)</f>
        <v>0.11413468185910683</v>
      </c>
      <c r="O41" s="477">
        <f>L41*(1-Recovery_OX!E41)*(1-Recovery_OX!F41)</f>
        <v>0</v>
      </c>
    </row>
    <row r="42" spans="2:15">
      <c r="B42" s="470">
        <f t="shared" si="0"/>
        <v>1980</v>
      </c>
      <c r="C42" s="471">
        <f>Stored_C!E48</f>
        <v>0</v>
      </c>
      <c r="D42" s="472">
        <f>Stored_C!F48+Stored_C!L48</f>
        <v>0.34890806257344015</v>
      </c>
      <c r="E42" s="473">
        <f>Stored_C!G48+Stored_C!M48</f>
        <v>0.28784915162308805</v>
      </c>
      <c r="F42" s="474">
        <f>F41+HWP!C42</f>
        <v>0</v>
      </c>
      <c r="G42" s="472">
        <f>G41+HWP!D42</f>
        <v>7.7228468547264013</v>
      </c>
      <c r="H42" s="473">
        <f>H41+HWP!E42</f>
        <v>6.3713486551492799</v>
      </c>
      <c r="I42" s="456"/>
      <c r="J42" s="475">
        <f>Garden!J49</f>
        <v>0</v>
      </c>
      <c r="K42" s="476">
        <f>Paper!J49</f>
        <v>0.1176042105765466</v>
      </c>
      <c r="L42" s="477">
        <f>Wood!J49</f>
        <v>0</v>
      </c>
      <c r="M42" s="478">
        <f>J42*(1-Recovery_OX!E42)*(1-Recovery_OX!F42)</f>
        <v>0</v>
      </c>
      <c r="N42" s="476">
        <f>K42*(1-Recovery_OX!E42)*(1-Recovery_OX!F42)</f>
        <v>0.1176042105765466</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7.7228468547264013</v>
      </c>
      <c r="H43" s="473">
        <f>H42+HWP!E43</f>
        <v>6.3713486551492799</v>
      </c>
      <c r="I43" s="456"/>
      <c r="J43" s="475">
        <f>Garden!J50</f>
        <v>0</v>
      </c>
      <c r="K43" s="476">
        <f>Paper!J50</f>
        <v>0.12107019633275944</v>
      </c>
      <c r="L43" s="477">
        <f>Wood!J50</f>
        <v>0</v>
      </c>
      <c r="M43" s="478">
        <f>J43*(1-Recovery_OX!E43)*(1-Recovery_OX!F43)</f>
        <v>0</v>
      </c>
      <c r="N43" s="476">
        <f>K43*(1-Recovery_OX!E43)*(1-Recovery_OX!F43)</f>
        <v>0.12107019633275944</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7.7228468547264013</v>
      </c>
      <c r="H44" s="473">
        <f>H43+HWP!E44</f>
        <v>6.3713486551492799</v>
      </c>
      <c r="I44" s="456"/>
      <c r="J44" s="475">
        <f>Garden!J51</f>
        <v>0</v>
      </c>
      <c r="K44" s="476">
        <f>Paper!J51</f>
        <v>0.1128851028354647</v>
      </c>
      <c r="L44" s="477">
        <f>Wood!J51</f>
        <v>0</v>
      </c>
      <c r="M44" s="478">
        <f>J44*(1-Recovery_OX!E44)*(1-Recovery_OX!F44)</f>
        <v>0</v>
      </c>
      <c r="N44" s="476">
        <f>K44*(1-Recovery_OX!E44)*(1-Recovery_OX!F44)</f>
        <v>0.1128851028354647</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7.7228468547264013</v>
      </c>
      <c r="H45" s="473">
        <f>H44+HWP!E45</f>
        <v>6.3713486551492799</v>
      </c>
      <c r="I45" s="456"/>
      <c r="J45" s="475">
        <f>Garden!J52</f>
        <v>0</v>
      </c>
      <c r="K45" s="476">
        <f>Paper!J52</f>
        <v>0.10525337224323472</v>
      </c>
      <c r="L45" s="477">
        <f>Wood!J52</f>
        <v>0</v>
      </c>
      <c r="M45" s="478">
        <f>J45*(1-Recovery_OX!E45)*(1-Recovery_OX!F45)</f>
        <v>0</v>
      </c>
      <c r="N45" s="476">
        <f>K45*(1-Recovery_OX!E45)*(1-Recovery_OX!F45)</f>
        <v>0.10525337224323472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7.7228468547264013</v>
      </c>
      <c r="H46" s="473">
        <f>H45+HWP!E46</f>
        <v>6.3713486551492799</v>
      </c>
      <c r="I46" s="456"/>
      <c r="J46" s="475">
        <f>Garden!J53</f>
        <v>0</v>
      </c>
      <c r="K46" s="476">
        <f>Paper!J53</f>
        <v>9.8137593803852327E-2</v>
      </c>
      <c r="L46" s="477">
        <f>Wood!J53</f>
        <v>0</v>
      </c>
      <c r="M46" s="478">
        <f>J46*(1-Recovery_OX!E46)*(1-Recovery_OX!F46)</f>
        <v>0</v>
      </c>
      <c r="N46" s="476">
        <f>K46*(1-Recovery_OX!E46)*(1-Recovery_OX!F46)</f>
        <v>9.8137593803852327E-2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7.7228468547264013</v>
      </c>
      <c r="H47" s="473">
        <f>H46+HWP!E47</f>
        <v>6.3713486551492799</v>
      </c>
      <c r="I47" s="456"/>
      <c r="J47" s="475">
        <f>Garden!J54</f>
        <v>0</v>
      </c>
      <c r="K47" s="476">
        <f>Paper!J54</f>
        <v>9.1502885963152203E-2</v>
      </c>
      <c r="L47" s="477">
        <f>Wood!J54</f>
        <v>0</v>
      </c>
      <c r="M47" s="478">
        <f>J47*(1-Recovery_OX!E47)*(1-Recovery_OX!F47)</f>
        <v>0</v>
      </c>
      <c r="N47" s="476">
        <f>K47*(1-Recovery_OX!E47)*(1-Recovery_OX!F47)</f>
        <v>9.1502885963152203E-2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7.7228468547264013</v>
      </c>
      <c r="H48" s="473">
        <f>H47+HWP!E48</f>
        <v>6.3713486551492799</v>
      </c>
      <c r="I48" s="456"/>
      <c r="J48" s="475">
        <f>Garden!J55</f>
        <v>0</v>
      </c>
      <c r="K48" s="476">
        <f>Paper!J55</f>
        <v>8.5316725375601865E-2</v>
      </c>
      <c r="L48" s="477">
        <f>Wood!J55</f>
        <v>0</v>
      </c>
      <c r="M48" s="478">
        <f>J48*(1-Recovery_OX!E48)*(1-Recovery_OX!F48)</f>
        <v>0</v>
      </c>
      <c r="N48" s="476">
        <f>K48*(1-Recovery_OX!E48)*(1-Recovery_OX!F48)</f>
        <v>8.5316725375601865E-2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7.7228468547264013</v>
      </c>
      <c r="H49" s="473">
        <f>H48+HWP!E49</f>
        <v>6.3713486551492799</v>
      </c>
      <c r="I49" s="456"/>
      <c r="J49" s="475">
        <f>Garden!J56</f>
        <v>0</v>
      </c>
      <c r="K49" s="476">
        <f>Paper!J56</f>
        <v>7.9548787474824176E-2</v>
      </c>
      <c r="L49" s="477">
        <f>Wood!J56</f>
        <v>0</v>
      </c>
      <c r="M49" s="478">
        <f>J49*(1-Recovery_OX!E49)*(1-Recovery_OX!F49)</f>
        <v>0</v>
      </c>
      <c r="N49" s="476">
        <f>K49*(1-Recovery_OX!E49)*(1-Recovery_OX!F49)</f>
        <v>7.9548787474824176E-2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7.7228468547264013</v>
      </c>
      <c r="H50" s="473">
        <f>H49+HWP!E50</f>
        <v>6.3713486551492799</v>
      </c>
      <c r="I50" s="456"/>
      <c r="J50" s="475">
        <f>Garden!J57</f>
        <v>0</v>
      </c>
      <c r="K50" s="476">
        <f>Paper!J57</f>
        <v>7.4170797822537771E-2</v>
      </c>
      <c r="L50" s="477">
        <f>Wood!J57</f>
        <v>0</v>
      </c>
      <c r="M50" s="478">
        <f>J50*(1-Recovery_OX!E50)*(1-Recovery_OX!F50)</f>
        <v>0</v>
      </c>
      <c r="N50" s="476">
        <f>K50*(1-Recovery_OX!E50)*(1-Recovery_OX!F50)</f>
        <v>7.4170797822537771E-2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7.7228468547264013</v>
      </c>
      <c r="H51" s="473">
        <f>H50+HWP!E51</f>
        <v>6.3713486551492799</v>
      </c>
      <c r="I51" s="456"/>
      <c r="J51" s="475">
        <f>Garden!J58</f>
        <v>0</v>
      </c>
      <c r="K51" s="476">
        <f>Paper!J58</f>
        <v>6.9156393507227784E-2</v>
      </c>
      <c r="L51" s="477">
        <f>Wood!J58</f>
        <v>0</v>
      </c>
      <c r="M51" s="478">
        <f>J51*(1-Recovery_OX!E51)*(1-Recovery_OX!F51)</f>
        <v>0</v>
      </c>
      <c r="N51" s="476">
        <f>K51*(1-Recovery_OX!E51)*(1-Recovery_OX!F51)</f>
        <v>6.9156393507227784E-2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7.7228468547264013</v>
      </c>
      <c r="H52" s="473">
        <f>H51+HWP!E52</f>
        <v>6.3713486551492799</v>
      </c>
      <c r="I52" s="456"/>
      <c r="J52" s="475">
        <f>Garden!J59</f>
        <v>0</v>
      </c>
      <c r="K52" s="476">
        <f>Paper!J59</f>
        <v>6.4480993913123036E-2</v>
      </c>
      <c r="L52" s="477">
        <f>Wood!J59</f>
        <v>0</v>
      </c>
      <c r="M52" s="478">
        <f>J52*(1-Recovery_OX!E52)*(1-Recovery_OX!F52)</f>
        <v>0</v>
      </c>
      <c r="N52" s="476">
        <f>K52*(1-Recovery_OX!E52)*(1-Recovery_OX!F52)</f>
        <v>6.4480993913123036E-2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7.7228468547264013</v>
      </c>
      <c r="H53" s="473">
        <f>H52+HWP!E53</f>
        <v>6.3713486551492799</v>
      </c>
      <c r="I53" s="456"/>
      <c r="J53" s="475">
        <f>Garden!J60</f>
        <v>0</v>
      </c>
      <c r="K53" s="476">
        <f>Paper!J60</f>
        <v>6.0121680225988988E-2</v>
      </c>
      <c r="L53" s="477">
        <f>Wood!J60</f>
        <v>0</v>
      </c>
      <c r="M53" s="478">
        <f>J53*(1-Recovery_OX!E53)*(1-Recovery_OX!F53)</f>
        <v>0</v>
      </c>
      <c r="N53" s="476">
        <f>K53*(1-Recovery_OX!E53)*(1-Recovery_OX!F53)</f>
        <v>6.0121680225988988E-2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7.7228468547264013</v>
      </c>
      <c r="H54" s="473">
        <f>H53+HWP!E54</f>
        <v>6.3713486551492799</v>
      </c>
      <c r="I54" s="456"/>
      <c r="J54" s="475">
        <f>Garden!J61</f>
        <v>0</v>
      </c>
      <c r="K54" s="476">
        <f>Paper!J61</f>
        <v>5.6057083085073789E-2</v>
      </c>
      <c r="L54" s="477">
        <f>Wood!J61</f>
        <v>0</v>
      </c>
      <c r="M54" s="478">
        <f>J54*(1-Recovery_OX!E54)*(1-Recovery_OX!F54)</f>
        <v>0</v>
      </c>
      <c r="N54" s="476">
        <f>K54*(1-Recovery_OX!E54)*(1-Recovery_OX!F54)</f>
        <v>5.6057083085073789E-2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7.7228468547264013</v>
      </c>
      <c r="H55" s="473">
        <f>H54+HWP!E55</f>
        <v>6.3713486551492799</v>
      </c>
      <c r="I55" s="456"/>
      <c r="J55" s="475">
        <f>Garden!J62</f>
        <v>0</v>
      </c>
      <c r="K55" s="476">
        <f>Paper!J62</f>
        <v>5.226727783047707E-2</v>
      </c>
      <c r="L55" s="477">
        <f>Wood!J62</f>
        <v>0</v>
      </c>
      <c r="M55" s="478">
        <f>J55*(1-Recovery_OX!E55)*(1-Recovery_OX!F55)</f>
        <v>0</v>
      </c>
      <c r="N55" s="476">
        <f>K55*(1-Recovery_OX!E55)*(1-Recovery_OX!F55)</f>
        <v>5.226727783047707E-2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7.7228468547264013</v>
      </c>
      <c r="H56" s="473">
        <f>H55+HWP!E56</f>
        <v>6.3713486551492799</v>
      </c>
      <c r="I56" s="456"/>
      <c r="J56" s="475">
        <f>Garden!J63</f>
        <v>0</v>
      </c>
      <c r="K56" s="476">
        <f>Paper!J63</f>
        <v>4.8733686832444008E-2</v>
      </c>
      <c r="L56" s="477">
        <f>Wood!J63</f>
        <v>0</v>
      </c>
      <c r="M56" s="478">
        <f>J56*(1-Recovery_OX!E56)*(1-Recovery_OX!F56)</f>
        <v>0</v>
      </c>
      <c r="N56" s="476">
        <f>K56*(1-Recovery_OX!E56)*(1-Recovery_OX!F56)</f>
        <v>4.8733686832444008E-2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7.7228468547264013</v>
      </c>
      <c r="H57" s="473">
        <f>H56+HWP!E57</f>
        <v>6.3713486551492799</v>
      </c>
      <c r="I57" s="456"/>
      <c r="J57" s="475">
        <f>Garden!J64</f>
        <v>0</v>
      </c>
      <c r="K57" s="476">
        <f>Paper!J64</f>
        <v>4.5438988423802673E-2</v>
      </c>
      <c r="L57" s="477">
        <f>Wood!J64</f>
        <v>0</v>
      </c>
      <c r="M57" s="478">
        <f>J57*(1-Recovery_OX!E57)*(1-Recovery_OX!F57)</f>
        <v>0</v>
      </c>
      <c r="N57" s="476">
        <f>K57*(1-Recovery_OX!E57)*(1-Recovery_OX!F57)</f>
        <v>4.5438988423802673E-2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7.7228468547264013</v>
      </c>
      <c r="H58" s="473">
        <f>H57+HWP!E58</f>
        <v>6.3713486551492799</v>
      </c>
      <c r="I58" s="456"/>
      <c r="J58" s="475">
        <f>Garden!J65</f>
        <v>0</v>
      </c>
      <c r="K58" s="476">
        <f>Paper!J65</f>
        <v>4.236703198913154E-2</v>
      </c>
      <c r="L58" s="477">
        <f>Wood!J65</f>
        <v>0</v>
      </c>
      <c r="M58" s="478">
        <f>J58*(1-Recovery_OX!E58)*(1-Recovery_OX!F58)</f>
        <v>0</v>
      </c>
      <c r="N58" s="476">
        <f>K58*(1-Recovery_OX!E58)*(1-Recovery_OX!F58)</f>
        <v>4.236703198913154E-2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7.7228468547264013</v>
      </c>
      <c r="H59" s="473">
        <f>H58+HWP!E59</f>
        <v>6.3713486551492799</v>
      </c>
      <c r="I59" s="456"/>
      <c r="J59" s="475">
        <f>Garden!J66</f>
        <v>0</v>
      </c>
      <c r="K59" s="476">
        <f>Paper!J66</f>
        <v>3.9502758794423866E-2</v>
      </c>
      <c r="L59" s="477">
        <f>Wood!J66</f>
        <v>0</v>
      </c>
      <c r="M59" s="478">
        <f>J59*(1-Recovery_OX!E59)*(1-Recovery_OX!F59)</f>
        <v>0</v>
      </c>
      <c r="N59" s="476">
        <f>K59*(1-Recovery_OX!E59)*(1-Recovery_OX!F59)</f>
        <v>3.9502758794423866E-2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7.7228468547264013</v>
      </c>
      <c r="H60" s="473">
        <f>H59+HWP!E60</f>
        <v>6.3713486551492799</v>
      </c>
      <c r="I60" s="456"/>
      <c r="J60" s="475">
        <f>Garden!J67</f>
        <v>0</v>
      </c>
      <c r="K60" s="476">
        <f>Paper!J67</f>
        <v>3.683212816915616E-2</v>
      </c>
      <c r="L60" s="477">
        <f>Wood!J67</f>
        <v>0</v>
      </c>
      <c r="M60" s="478">
        <f>J60*(1-Recovery_OX!E60)*(1-Recovery_OX!F60)</f>
        <v>0</v>
      </c>
      <c r="N60" s="476">
        <f>K60*(1-Recovery_OX!E60)*(1-Recovery_OX!F60)</f>
        <v>3.683212816915616E-2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7.7228468547264013</v>
      </c>
      <c r="H61" s="473">
        <f>H60+HWP!E61</f>
        <v>6.3713486551492799</v>
      </c>
      <c r="I61" s="456"/>
      <c r="J61" s="475">
        <f>Garden!J68</f>
        <v>0</v>
      </c>
      <c r="K61" s="476">
        <f>Paper!J68</f>
        <v>3.4342048678904995E-2</v>
      </c>
      <c r="L61" s="477">
        <f>Wood!J68</f>
        <v>0</v>
      </c>
      <c r="M61" s="478">
        <f>J61*(1-Recovery_OX!E61)*(1-Recovery_OX!F61)</f>
        <v>0</v>
      </c>
      <c r="N61" s="476">
        <f>K61*(1-Recovery_OX!E61)*(1-Recovery_OX!F61)</f>
        <v>3.4342048678904995E-2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7.7228468547264013</v>
      </c>
      <c r="H62" s="473">
        <f>H61+HWP!E62</f>
        <v>6.3713486551492799</v>
      </c>
      <c r="I62" s="456"/>
      <c r="J62" s="475">
        <f>Garden!J69</f>
        <v>0</v>
      </c>
      <c r="K62" s="476">
        <f>Paper!J69</f>
        <v>3.2020313951120247E-2</v>
      </c>
      <c r="L62" s="477">
        <f>Wood!J69</f>
        <v>0</v>
      </c>
      <c r="M62" s="478">
        <f>J62*(1-Recovery_OX!E62)*(1-Recovery_OX!F62)</f>
        <v>0</v>
      </c>
      <c r="N62" s="476">
        <f>K62*(1-Recovery_OX!E62)*(1-Recovery_OX!F62)</f>
        <v>3.2020313951120247E-2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7.7228468547264013</v>
      </c>
      <c r="H63" s="473">
        <f>H62+HWP!E63</f>
        <v>6.3713486551492799</v>
      </c>
      <c r="I63" s="456"/>
      <c r="J63" s="475">
        <f>Garden!J70</f>
        <v>0</v>
      </c>
      <c r="K63" s="476">
        <f>Paper!J70</f>
        <v>2.9855542839472737E-2</v>
      </c>
      <c r="L63" s="477">
        <f>Wood!J70</f>
        <v>0</v>
      </c>
      <c r="M63" s="478">
        <f>J63*(1-Recovery_OX!E63)*(1-Recovery_OX!F63)</f>
        <v>0</v>
      </c>
      <c r="N63" s="476">
        <f>K63*(1-Recovery_OX!E63)*(1-Recovery_OX!F63)</f>
        <v>2.9855542839472737E-2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7.7228468547264013</v>
      </c>
      <c r="H64" s="473">
        <f>H63+HWP!E64</f>
        <v>6.3713486551492799</v>
      </c>
      <c r="I64" s="456"/>
      <c r="J64" s="475">
        <f>Garden!J71</f>
        <v>0</v>
      </c>
      <c r="K64" s="476">
        <f>Paper!J71</f>
        <v>2.7837123633461667E-2</v>
      </c>
      <c r="L64" s="477">
        <f>Wood!J71</f>
        <v>0</v>
      </c>
      <c r="M64" s="478">
        <f>J64*(1-Recovery_OX!E64)*(1-Recovery_OX!F64)</f>
        <v>0</v>
      </c>
      <c r="N64" s="476">
        <f>K64*(1-Recovery_OX!E64)*(1-Recovery_OX!F64)</f>
        <v>2.7837123633461667E-2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7.7228468547264013</v>
      </c>
      <c r="H65" s="473">
        <f>H64+HWP!E65</f>
        <v>6.3713486551492799</v>
      </c>
      <c r="I65" s="456"/>
      <c r="J65" s="475">
        <f>Garden!J72</f>
        <v>0</v>
      </c>
      <c r="K65" s="476">
        <f>Paper!J72</f>
        <v>2.5955162039797471E-2</v>
      </c>
      <c r="L65" s="477">
        <f>Wood!J72</f>
        <v>0</v>
      </c>
      <c r="M65" s="478">
        <f>J65*(1-Recovery_OX!E65)*(1-Recovery_OX!F65)</f>
        <v>0</v>
      </c>
      <c r="N65" s="476">
        <f>K65*(1-Recovery_OX!E65)*(1-Recovery_OX!F65)</f>
        <v>2.5955162039797471E-2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7.7228468547264013</v>
      </c>
      <c r="H66" s="473">
        <f>H65+HWP!E66</f>
        <v>6.3713486551492799</v>
      </c>
      <c r="I66" s="456"/>
      <c r="J66" s="475">
        <f>Garden!J73</f>
        <v>0</v>
      </c>
      <c r="K66" s="476">
        <f>Paper!J73</f>
        <v>2.420043268056463E-2</v>
      </c>
      <c r="L66" s="477">
        <f>Wood!J73</f>
        <v>0</v>
      </c>
      <c r="M66" s="478">
        <f>J66*(1-Recovery_OX!E66)*(1-Recovery_OX!F66)</f>
        <v>0</v>
      </c>
      <c r="N66" s="476">
        <f>K66*(1-Recovery_OX!E66)*(1-Recovery_OX!F66)</f>
        <v>2.420043268056463E-2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7.7228468547264013</v>
      </c>
      <c r="H67" s="473">
        <f>H66+HWP!E67</f>
        <v>6.3713486551492799</v>
      </c>
      <c r="I67" s="456"/>
      <c r="J67" s="475">
        <f>Garden!J74</f>
        <v>0</v>
      </c>
      <c r="K67" s="476">
        <f>Paper!J74</f>
        <v>2.2564333870408401E-2</v>
      </c>
      <c r="L67" s="477">
        <f>Wood!J74</f>
        <v>0</v>
      </c>
      <c r="M67" s="478">
        <f>J67*(1-Recovery_OX!E67)*(1-Recovery_OX!F67)</f>
        <v>0</v>
      </c>
      <c r="N67" s="476">
        <f>K67*(1-Recovery_OX!E67)*(1-Recovery_OX!F67)</f>
        <v>2.2564333870408401E-2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7.7228468547264013</v>
      </c>
      <c r="H68" s="473">
        <f>H67+HWP!E68</f>
        <v>6.3713486551492799</v>
      </c>
      <c r="I68" s="456"/>
      <c r="J68" s="475">
        <f>Garden!J75</f>
        <v>0</v>
      </c>
      <c r="K68" s="476">
        <f>Paper!J75</f>
        <v>2.1038845451063257E-2</v>
      </c>
      <c r="L68" s="477">
        <f>Wood!J75</f>
        <v>0</v>
      </c>
      <c r="M68" s="478">
        <f>J68*(1-Recovery_OX!E68)*(1-Recovery_OX!F68)</f>
        <v>0</v>
      </c>
      <c r="N68" s="476">
        <f>K68*(1-Recovery_OX!E68)*(1-Recovery_OX!F68)</f>
        <v>2.1038845451063257E-2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7.7228468547264013</v>
      </c>
      <c r="H69" s="473">
        <f>H68+HWP!E69</f>
        <v>6.3713486551492799</v>
      </c>
      <c r="I69" s="456"/>
      <c r="J69" s="475">
        <f>Garden!J76</f>
        <v>0</v>
      </c>
      <c r="K69" s="476">
        <f>Paper!J76</f>
        <v>1.9616489476527752E-2</v>
      </c>
      <c r="L69" s="477">
        <f>Wood!J76</f>
        <v>0</v>
      </c>
      <c r="M69" s="478">
        <f>J69*(1-Recovery_OX!E69)*(1-Recovery_OX!F69)</f>
        <v>0</v>
      </c>
      <c r="N69" s="476">
        <f>K69*(1-Recovery_OX!E69)*(1-Recovery_OX!F69)</f>
        <v>1.9616489476527752E-2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7.7228468547264013</v>
      </c>
      <c r="H70" s="473">
        <f>H69+HWP!E70</f>
        <v>6.3713486551492799</v>
      </c>
      <c r="I70" s="456"/>
      <c r="J70" s="475">
        <f>Garden!J77</f>
        <v>0</v>
      </c>
      <c r="K70" s="476">
        <f>Paper!J77</f>
        <v>1.8290293556164548E-2</v>
      </c>
      <c r="L70" s="477">
        <f>Wood!J77</f>
        <v>0</v>
      </c>
      <c r="M70" s="478">
        <f>J70*(1-Recovery_OX!E70)*(1-Recovery_OX!F70)</f>
        <v>0</v>
      </c>
      <c r="N70" s="476">
        <f>K70*(1-Recovery_OX!E70)*(1-Recovery_OX!F70)</f>
        <v>1.8290293556164548E-2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7.7228468547264013</v>
      </c>
      <c r="H71" s="473">
        <f>H70+HWP!E71</f>
        <v>6.3713486551492799</v>
      </c>
      <c r="I71" s="456"/>
      <c r="J71" s="475">
        <f>Garden!J78</f>
        <v>0</v>
      </c>
      <c r="K71" s="476">
        <f>Paper!J78</f>
        <v>1.705375667603341E-2</v>
      </c>
      <c r="L71" s="477">
        <f>Wood!J78</f>
        <v>0</v>
      </c>
      <c r="M71" s="478">
        <f>J71*(1-Recovery_OX!E71)*(1-Recovery_OX!F71)</f>
        <v>0</v>
      </c>
      <c r="N71" s="476">
        <f>K71*(1-Recovery_OX!E71)*(1-Recovery_OX!F71)</f>
        <v>1.705375667603341E-2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7.7228468547264013</v>
      </c>
      <c r="H72" s="473">
        <f>H71+HWP!E72</f>
        <v>6.3713486551492799</v>
      </c>
      <c r="I72" s="456"/>
      <c r="J72" s="475">
        <f>Garden!J79</f>
        <v>0</v>
      </c>
      <c r="K72" s="476">
        <f>Paper!J79</f>
        <v>1.590081733091336E-2</v>
      </c>
      <c r="L72" s="477">
        <f>Wood!J79</f>
        <v>0</v>
      </c>
      <c r="M72" s="478">
        <f>J72*(1-Recovery_OX!E72)*(1-Recovery_OX!F72)</f>
        <v>0</v>
      </c>
      <c r="N72" s="476">
        <f>K72*(1-Recovery_OX!E72)*(1-Recovery_OX!F72)</f>
        <v>1.590081733091336E-2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7.7228468547264013</v>
      </c>
      <c r="H73" s="473">
        <f>H72+HWP!E73</f>
        <v>6.3713486551492799</v>
      </c>
      <c r="I73" s="456"/>
      <c r="J73" s="475">
        <f>Garden!J80</f>
        <v>0</v>
      </c>
      <c r="K73" s="476">
        <f>Paper!J80</f>
        <v>1.4825823810797011E-2</v>
      </c>
      <c r="L73" s="477">
        <f>Wood!J80</f>
        <v>0</v>
      </c>
      <c r="M73" s="478">
        <f>J73*(1-Recovery_OX!E73)*(1-Recovery_OX!F73)</f>
        <v>0</v>
      </c>
      <c r="N73" s="476">
        <f>K73*(1-Recovery_OX!E73)*(1-Recovery_OX!F73)</f>
        <v>1.4825823810797011E-2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7.7228468547264013</v>
      </c>
      <c r="H74" s="473">
        <f>H73+HWP!E74</f>
        <v>6.3713486551492799</v>
      </c>
      <c r="I74" s="456"/>
      <c r="J74" s="475">
        <f>Garden!J81</f>
        <v>0</v>
      </c>
      <c r="K74" s="476">
        <f>Paper!J81</f>
        <v>1.382350649620159E-2</v>
      </c>
      <c r="L74" s="477">
        <f>Wood!J81</f>
        <v>0</v>
      </c>
      <c r="M74" s="478">
        <f>J74*(1-Recovery_OX!E74)*(1-Recovery_OX!F74)</f>
        <v>0</v>
      </c>
      <c r="N74" s="476">
        <f>K74*(1-Recovery_OX!E74)*(1-Recovery_OX!F74)</f>
        <v>1.382350649620159E-2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7.7228468547264013</v>
      </c>
      <c r="H75" s="473">
        <f>H74+HWP!E75</f>
        <v>6.3713486551492799</v>
      </c>
      <c r="I75" s="456"/>
      <c r="J75" s="475">
        <f>Garden!J82</f>
        <v>0</v>
      </c>
      <c r="K75" s="476">
        <f>Paper!J82</f>
        <v>1.288895202648809E-2</v>
      </c>
      <c r="L75" s="477">
        <f>Wood!J82</f>
        <v>0</v>
      </c>
      <c r="M75" s="478">
        <f>J75*(1-Recovery_OX!E75)*(1-Recovery_OX!F75)</f>
        <v>0</v>
      </c>
      <c r="N75" s="476">
        <f>K75*(1-Recovery_OX!E75)*(1-Recovery_OX!F75)</f>
        <v>1.288895202648809E-2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7.7228468547264013</v>
      </c>
      <c r="H76" s="473">
        <f>H75+HWP!E76</f>
        <v>6.3713486551492799</v>
      </c>
      <c r="I76" s="456"/>
      <c r="J76" s="475">
        <f>Garden!J83</f>
        <v>0</v>
      </c>
      <c r="K76" s="476">
        <f>Paper!J83</f>
        <v>1.2017579214561744E-2</v>
      </c>
      <c r="L76" s="477">
        <f>Wood!J83</f>
        <v>0</v>
      </c>
      <c r="M76" s="478">
        <f>J76*(1-Recovery_OX!E76)*(1-Recovery_OX!F76)</f>
        <v>0</v>
      </c>
      <c r="N76" s="476">
        <f>K76*(1-Recovery_OX!E76)*(1-Recovery_OX!F76)</f>
        <v>1.2017579214561744E-2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7.7228468547264013</v>
      </c>
      <c r="H77" s="473">
        <f>H76+HWP!E77</f>
        <v>6.3713486551492799</v>
      </c>
      <c r="I77" s="456"/>
      <c r="J77" s="475">
        <f>Garden!J84</f>
        <v>0</v>
      </c>
      <c r="K77" s="476">
        <f>Paper!J84</f>
        <v>1.120511658988755E-2</v>
      </c>
      <c r="L77" s="477">
        <f>Wood!J84</f>
        <v>0</v>
      </c>
      <c r="M77" s="478">
        <f>J77*(1-Recovery_OX!E77)*(1-Recovery_OX!F77)</f>
        <v>0</v>
      </c>
      <c r="N77" s="476">
        <f>K77*(1-Recovery_OX!E77)*(1-Recovery_OX!F77)</f>
        <v>1.120511658988755E-2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7.7228468547264013</v>
      </c>
      <c r="H78" s="473">
        <f>H77+HWP!E78</f>
        <v>6.3713486551492799</v>
      </c>
      <c r="I78" s="456"/>
      <c r="J78" s="475">
        <f>Garden!J85</f>
        <v>0</v>
      </c>
      <c r="K78" s="476">
        <f>Paper!J85</f>
        <v>1.0447581459736767E-2</v>
      </c>
      <c r="L78" s="477">
        <f>Wood!J85</f>
        <v>0</v>
      </c>
      <c r="M78" s="478">
        <f>J78*(1-Recovery_OX!E78)*(1-Recovery_OX!F78)</f>
        <v>0</v>
      </c>
      <c r="N78" s="476">
        <f>K78*(1-Recovery_OX!E78)*(1-Recovery_OX!F78)</f>
        <v>1.0447581459736767E-2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7.7228468547264013</v>
      </c>
      <c r="H79" s="473">
        <f>H78+HWP!E79</f>
        <v>6.3713486551492799</v>
      </c>
      <c r="I79" s="456"/>
      <c r="J79" s="475">
        <f>Garden!J86</f>
        <v>0</v>
      </c>
      <c r="K79" s="476">
        <f>Paper!J86</f>
        <v>9.7412603860225263E-3</v>
      </c>
      <c r="L79" s="477">
        <f>Wood!J86</f>
        <v>0</v>
      </c>
      <c r="M79" s="478">
        <f>J79*(1-Recovery_OX!E79)*(1-Recovery_OX!F79)</f>
        <v>0</v>
      </c>
      <c r="N79" s="476">
        <f>K79*(1-Recovery_OX!E79)*(1-Recovery_OX!F79)</f>
        <v>9.7412603860225263E-3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7.7228468547264013</v>
      </c>
      <c r="H80" s="473">
        <f>H79+HWP!E80</f>
        <v>6.3713486551492799</v>
      </c>
      <c r="I80" s="456"/>
      <c r="J80" s="475">
        <f>Garden!J87</f>
        <v>0</v>
      </c>
      <c r="K80" s="476">
        <f>Paper!J87</f>
        <v>9.0826909820220375E-3</v>
      </c>
      <c r="L80" s="477">
        <f>Wood!J87</f>
        <v>0</v>
      </c>
      <c r="M80" s="478">
        <f>J80*(1-Recovery_OX!E80)*(1-Recovery_OX!F80)</f>
        <v>0</v>
      </c>
      <c r="N80" s="476">
        <f>K80*(1-Recovery_OX!E80)*(1-Recovery_OX!F80)</f>
        <v>9.0826909820220375E-3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7.7228468547264013</v>
      </c>
      <c r="H81" s="473">
        <f>H80+HWP!E81</f>
        <v>6.3713486551492799</v>
      </c>
      <c r="I81" s="456"/>
      <c r="J81" s="475">
        <f>Garden!J88</f>
        <v>0</v>
      </c>
      <c r="K81" s="476">
        <f>Paper!J88</f>
        <v>8.4686449397528354E-3</v>
      </c>
      <c r="L81" s="477">
        <f>Wood!J88</f>
        <v>0</v>
      </c>
      <c r="M81" s="478">
        <f>J81*(1-Recovery_OX!E81)*(1-Recovery_OX!F81)</f>
        <v>0</v>
      </c>
      <c r="N81" s="476">
        <f>K81*(1-Recovery_OX!E81)*(1-Recovery_OX!F81)</f>
        <v>8.4686449397528354E-3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7.7228468547264013</v>
      </c>
      <c r="H82" s="473">
        <f>H81+HWP!E82</f>
        <v>6.3713486551492799</v>
      </c>
      <c r="I82" s="456"/>
      <c r="J82" s="475">
        <f>Garden!J89</f>
        <v>0</v>
      </c>
      <c r="K82" s="476">
        <f>Paper!J89</f>
        <v>7.8961122048033256E-3</v>
      </c>
      <c r="L82" s="477">
        <f>Wood!J89</f>
        <v>0</v>
      </c>
      <c r="M82" s="478">
        <f>J82*(1-Recovery_OX!E82)*(1-Recovery_OX!F82)</f>
        <v>0</v>
      </c>
      <c r="N82" s="476">
        <f>K82*(1-Recovery_OX!E82)*(1-Recovery_OX!F82)</f>
        <v>7.8961122048033256E-3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7.7228468547264013</v>
      </c>
      <c r="H83" s="473">
        <f>H82+HWP!E83</f>
        <v>6.3713486551492799</v>
      </c>
      <c r="I83" s="456"/>
      <c r="J83" s="475">
        <f>Garden!J90</f>
        <v>0</v>
      </c>
      <c r="K83" s="476">
        <f>Paper!J90</f>
        <v>7.3622862210425523E-3</v>
      </c>
      <c r="L83" s="477">
        <f>Wood!J90</f>
        <v>0</v>
      </c>
      <c r="M83" s="478">
        <f>J83*(1-Recovery_OX!E83)*(1-Recovery_OX!F83)</f>
        <v>0</v>
      </c>
      <c r="N83" s="476">
        <f>K83*(1-Recovery_OX!E83)*(1-Recovery_OX!F83)</f>
        <v>7.3622862210425523E-3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7.7228468547264013</v>
      </c>
      <c r="H84" s="473">
        <f>H83+HWP!E84</f>
        <v>6.3713486551492799</v>
      </c>
      <c r="I84" s="456"/>
      <c r="J84" s="475">
        <f>Garden!J91</f>
        <v>0</v>
      </c>
      <c r="K84" s="476">
        <f>Paper!J91</f>
        <v>6.8645501728787943E-3</v>
      </c>
      <c r="L84" s="477">
        <f>Wood!J91</f>
        <v>0</v>
      </c>
      <c r="M84" s="478">
        <f>J84*(1-Recovery_OX!E84)*(1-Recovery_OX!F84)</f>
        <v>0</v>
      </c>
      <c r="N84" s="476">
        <f>K84*(1-Recovery_OX!E84)*(1-Recovery_OX!F84)</f>
        <v>6.8645501728787943E-3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7.7228468547264013</v>
      </c>
      <c r="H85" s="473">
        <f>H84+HWP!E85</f>
        <v>6.3713486551492799</v>
      </c>
      <c r="I85" s="456"/>
      <c r="J85" s="475">
        <f>Garden!J92</f>
        <v>0</v>
      </c>
      <c r="K85" s="476">
        <f>Paper!J92</f>
        <v>6.4004641576264967E-3</v>
      </c>
      <c r="L85" s="477">
        <f>Wood!J92</f>
        <v>0</v>
      </c>
      <c r="M85" s="478">
        <f>J85*(1-Recovery_OX!E85)*(1-Recovery_OX!F85)</f>
        <v>0</v>
      </c>
      <c r="N85" s="476">
        <f>K85*(1-Recovery_OX!E85)*(1-Recovery_OX!F85)</f>
        <v>6.4004641576264967E-3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7.7228468547264013</v>
      </c>
      <c r="H86" s="473">
        <f>H85+HWP!E86</f>
        <v>6.3713486551492799</v>
      </c>
      <c r="I86" s="456"/>
      <c r="J86" s="475">
        <f>Garden!J93</f>
        <v>0</v>
      </c>
      <c r="K86" s="476">
        <f>Paper!J93</f>
        <v>5.9677532251004766E-3</v>
      </c>
      <c r="L86" s="477">
        <f>Wood!J93</f>
        <v>0</v>
      </c>
      <c r="M86" s="478">
        <f>J86*(1-Recovery_OX!E86)*(1-Recovery_OX!F86)</f>
        <v>0</v>
      </c>
      <c r="N86" s="476">
        <f>K86*(1-Recovery_OX!E86)*(1-Recovery_OX!F86)</f>
        <v>5.9677532251004766E-3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7.7228468547264013</v>
      </c>
      <c r="H87" s="473">
        <f>H86+HWP!E87</f>
        <v>6.3713486551492799</v>
      </c>
      <c r="I87" s="456"/>
      <c r="J87" s="475">
        <f>Garden!J94</f>
        <v>0</v>
      </c>
      <c r="K87" s="476">
        <f>Paper!J94</f>
        <v>5.5642962258074767E-3</v>
      </c>
      <c r="L87" s="477">
        <f>Wood!J94</f>
        <v>0</v>
      </c>
      <c r="M87" s="478">
        <f>J87*(1-Recovery_OX!E87)*(1-Recovery_OX!F87)</f>
        <v>0</v>
      </c>
      <c r="N87" s="476">
        <f>K87*(1-Recovery_OX!E87)*(1-Recovery_OX!F87)</f>
        <v>5.5642962258074767E-3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7.7228468547264013</v>
      </c>
      <c r="H88" s="473">
        <f>H87+HWP!E88</f>
        <v>6.3713486551492799</v>
      </c>
      <c r="I88" s="456"/>
      <c r="J88" s="475">
        <f>Garden!J95</f>
        <v>0</v>
      </c>
      <c r="K88" s="476">
        <f>Paper!J95</f>
        <v>5.1881154130688839E-3</v>
      </c>
      <c r="L88" s="477">
        <f>Wood!J95</f>
        <v>0</v>
      </c>
      <c r="M88" s="478">
        <f>J88*(1-Recovery_OX!E88)*(1-Recovery_OX!F88)</f>
        <v>0</v>
      </c>
      <c r="N88" s="476">
        <f>K88*(1-Recovery_OX!E88)*(1-Recovery_OX!F88)</f>
        <v>5.1881154130688839E-3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7.7228468547264013</v>
      </c>
      <c r="H89" s="473">
        <f>H88+HWP!E89</f>
        <v>6.3713486551492799</v>
      </c>
      <c r="I89" s="456"/>
      <c r="J89" s="475">
        <f>Garden!J96</f>
        <v>0</v>
      </c>
      <c r="K89" s="476">
        <f>Paper!J96</f>
        <v>4.8373667481042236E-3</v>
      </c>
      <c r="L89" s="477">
        <f>Wood!J96</f>
        <v>0</v>
      </c>
      <c r="M89" s="478">
        <f>J89*(1-Recovery_OX!E89)*(1-Recovery_OX!F89)</f>
        <v>0</v>
      </c>
      <c r="N89" s="476">
        <f>K89*(1-Recovery_OX!E89)*(1-Recovery_OX!F89)</f>
        <v>4.8373667481042236E-3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7.7228468547264013</v>
      </c>
      <c r="H90" s="473">
        <f>H89+HWP!E90</f>
        <v>6.3713486551492799</v>
      </c>
      <c r="I90" s="456"/>
      <c r="J90" s="475">
        <f>Garden!J97</f>
        <v>0</v>
      </c>
      <c r="K90" s="476">
        <f>Paper!J97</f>
        <v>4.5103308605509117E-3</v>
      </c>
      <c r="L90" s="477">
        <f>Wood!J97</f>
        <v>0</v>
      </c>
      <c r="M90" s="478">
        <f>J90*(1-Recovery_OX!E90)*(1-Recovery_OX!F90)</f>
        <v>0</v>
      </c>
      <c r="N90" s="476">
        <f>K90*(1-Recovery_OX!E90)*(1-Recovery_OX!F90)</f>
        <v>4.5103308605509117E-3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7.7228468547264013</v>
      </c>
      <c r="H91" s="473">
        <f>H90+HWP!E91</f>
        <v>6.3713486551492799</v>
      </c>
      <c r="I91" s="456"/>
      <c r="J91" s="475">
        <f>Garden!J98</f>
        <v>0</v>
      </c>
      <c r="K91" s="476">
        <f>Paper!J98</f>
        <v>4.2054046201087476E-3</v>
      </c>
      <c r="L91" s="477">
        <f>Wood!J98</f>
        <v>0</v>
      </c>
      <c r="M91" s="478">
        <f>J91*(1-Recovery_OX!E91)*(1-Recovery_OX!F91)</f>
        <v>0</v>
      </c>
      <c r="N91" s="476">
        <f>K91*(1-Recovery_OX!E91)*(1-Recovery_OX!F91)</f>
        <v>4.2054046201087476E-3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7.7228468547264013</v>
      </c>
      <c r="H92" s="482">
        <f>H91+HWP!E92</f>
        <v>6.3713486551492799</v>
      </c>
      <c r="I92" s="456"/>
      <c r="J92" s="484">
        <f>Garden!J99</f>
        <v>0</v>
      </c>
      <c r="K92" s="485">
        <f>Paper!J99</f>
        <v>3.921093277993319E-3</v>
      </c>
      <c r="L92" s="486">
        <f>Wood!J99</f>
        <v>0</v>
      </c>
      <c r="M92" s="487">
        <f>J92*(1-Recovery_OX!E92)*(1-Recovery_OX!F92)</f>
        <v>0</v>
      </c>
      <c r="N92" s="485">
        <f>K92*(1-Recovery_OX!E92)*(1-Recovery_OX!F92)</f>
        <v>3.921093277993319E-3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2017-09-14T08:31:23Z</dcterms:modified>
</cp:coreProperties>
</file>