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bar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6" i="6" l="1"/>
  <c r="C17" i="6"/>
  <c r="C18" i="6"/>
  <c r="C19" i="6"/>
  <c r="C20" i="6"/>
  <c r="C21" i="6"/>
  <c r="C22" i="6"/>
  <c r="C23" i="6"/>
  <c r="C24" i="6"/>
  <c r="C6" i="6" l="1"/>
  <c r="C7" i="6"/>
  <c r="C8" i="6"/>
  <c r="C9" i="6"/>
  <c r="C10" i="6"/>
  <c r="C11" i="6"/>
  <c r="C12" i="6"/>
  <c r="C13" i="6"/>
  <c r="C14" i="6"/>
  <c r="C15" i="6"/>
  <c r="C5" i="6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s="1"/>
  <c r="H10" i="3" l="1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<sst xmlns="http://schemas.openxmlformats.org/spreadsheetml/2006/main" count="302" uniqueCount="154">
  <si>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</si>
  <si>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</si>
  <si>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</si>
  <si>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</si>
  <si>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</si>
  <si>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</si>
  <si>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</si>
  <si>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</si>
  <si>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</si>
  <si>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</si>
  <si>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</si>
  <si>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</si>
  <si>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</si>
  <si>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</si>
  <si>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</si>
  <si>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</si>
  <si>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</si>
  <si>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</si>
  <si>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</si>
  <si>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</si>
  <si>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</si>
  <si>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</si>
  <si>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</si>
  <si>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</si>
  <si>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</si>
  <si>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</si>
  <si>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</si>
  <si>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</si>
  <si>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</si>
  <si>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</si>
  <si>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</si>
  <si>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</si>
  <si>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</si>
  <si>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</si>
  <si>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</si>
  <si>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</si>
  <si>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</si>
  <si>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</si>
  <si>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</si>
  <si>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</si>
  <si>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</si>
  <si>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</si>
  <si>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</si>
  <si>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</si>
  <si>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</si>
  <si>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</si>
  <si>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</si>
  <si>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</si>
  <si>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</si>
  <si>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</si>
  <si>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</si>
  <si>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</si>
  <si>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</si>
  <si>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</si>
  <si>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</si>
  <si>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</si>
  <si>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</si>
  <si>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</si>
  <si>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</si>
  <si>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</si>
  <si>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</si>
  <si>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</si>
  <si>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</si>
  <si>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</si>
  <si>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</si>
  <si>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</si>
  <si>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</si>
  <si>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</si>
  <si>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</si>
  <si>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</si>
  <si>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</si>
  <si>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</si>
  <si>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</si>
  <si>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</si>
  <si>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</si>
  <si>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</si>
  <si>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</si>
  <si>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</si>
  <si>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</si>
  <si>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</si>
  <si>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</si>
  <si>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</si>
  <si>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</si>
  <si>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</si>
  <si>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</si>
  <si>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</si>
  <si>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</si>
  <si>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</si>
  <si>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</si>
  <si>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</si>
  <si>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</si>
  <si>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</si>
  <si>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</si>
  <si>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</si>
  <si>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</si>
  <si>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</si>
  <si>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</si>
  <si>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</si>
  <si>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</si>
  <si>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</si>
  <si>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</si>
  <si>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</si>
  <si>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</si>
  <si>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</si>
  <si>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</si>
  <si>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</si>
  <si>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</si>
  <si>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</si>
  <si>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</si>
  <si>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</si>
  <si>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</si>
  <si>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</si>
  <si>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</si>
  <si>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</si>
  <si>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</si>
  <si>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</si>
  <si>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</si>
  <si>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</si>
  <si>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</si>
  <si>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</si>
  <si>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</si>
  <si>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</si>
  <si>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</si>
  <si>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</si>
  <si>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</si>
  <si>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</si>
  <si>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</si>
  <si>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</si>
  <si>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</si>
  <si>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</si>
  <si>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</si>
  <si>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</si>
  <si>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</si>
  <si>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</si>
  <si>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</si>
  <si>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</si>
  <si>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</si>
  <si>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</si>
  <si>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</si>
  <si>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</si>
  <si>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</si>
  <si>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</si>
  <si>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</si>
  <si>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</si>
  <si>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</si>
  <si>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</si>
  <si>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</si>
  <si>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</si>
  <si>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</si>
  <si>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</si>
  <si>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</si>
  <si>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</si>
  <si>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</si>
  <si>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 KUTAI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</si>
</sst>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6.7869446400000005E-2</c:v>
                </c:pt>
                <c:pt idx="1">
                  <c:v>6.8387967899999999E-2</c:v>
                </c:pt>
                <c:pt idx="2">
                  <c:v>6.882620220000002E-2</c:v>
                </c:pt>
                <c:pt idx="3">
                  <c:v>6.9243886800000001E-2</c:v>
                </c:pt>
                <c:pt idx="4">
                  <c:v>6.9695980200000007E-2</c:v>
                </c:pt>
                <c:pt idx="5">
                  <c:v>6.9920115300000002E-2</c:v>
                </c:pt>
                <c:pt idx="6">
                  <c:v>7.2303641550000006E-2</c:v>
                </c:pt>
                <c:pt idx="7">
                  <c:v>7.2437811975000002E-2</c:v>
                </c:pt>
                <c:pt idx="8">
                  <c:v>7.2571982399999999E-2</c:v>
                </c:pt>
                <c:pt idx="9">
                  <c:v>7.2706152825000009E-2</c:v>
                </c:pt>
                <c:pt idx="10">
                  <c:v>7.2840323250000005E-2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10.925175480860618</c:v>
                </c:pt>
                <c:pt idx="1">
                  <c:v>10.512921702856604</c:v>
                </c:pt>
                <c:pt idx="2">
                  <c:v>10.266836209123843</c:v>
                </c:pt>
                <c:pt idx="3">
                  <c:v>10.1292479912667</c:v>
                </c:pt>
                <c:pt idx="4">
                  <c:v>10.063518550878364</c:v>
                </c:pt>
                <c:pt idx="5">
                  <c:v>10.047040448598796</c:v>
                </c:pt>
                <c:pt idx="6">
                  <c:v>10.055072496234938</c:v>
                </c:pt>
                <c:pt idx="7">
                  <c:v>10.158166145188543</c:v>
                </c:pt>
                <c:pt idx="8">
                  <c:v>10.245051350554712</c:v>
                </c:pt>
                <c:pt idx="9">
                  <c:v>10.320151551438977</c:v>
                </c:pt>
                <c:pt idx="10">
                  <c:v>10.386520351162227</c:v>
                </c:pt>
                <c:pt idx="11">
                  <c:v>10.446283034938173</c:v>
                </c:pt>
                <c:pt idx="12">
                  <c:v>10.500933852328014</c:v>
                </c:pt>
                <c:pt idx="13">
                  <c:v>10.551536426007806</c:v>
                </c:pt>
                <c:pt idx="14">
                  <c:v>10.598859062770655</c:v>
                </c:pt>
                <c:pt idx="15">
                  <c:v>10.643466290953874</c:v>
                </c:pt>
                <c:pt idx="16">
                  <c:v>10.685780938772668</c:v>
                </c:pt>
                <c:pt idx="17">
                  <c:v>10.72612636616506</c:v>
                </c:pt>
                <c:pt idx="18">
                  <c:v>10.764755308345558</c:v>
                </c:pt>
                <c:pt idx="19">
                  <c:v>10.801869672567914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0.3701421092544</c:v>
                </c:pt>
                <c:pt idx="1">
                  <c:v>0.37296998913090007</c:v>
                </c:pt>
                <c:pt idx="2">
                  <c:v>0.37536000373619999</c:v>
                </c:pt>
                <c:pt idx="3">
                  <c:v>0.37763794568280007</c:v>
                </c:pt>
                <c:pt idx="4">
                  <c:v>0.3801035441742</c:v>
                </c:pt>
                <c:pt idx="5">
                  <c:v>0.38132591805630006</c:v>
                </c:pt>
                <c:pt idx="6">
                  <c:v>0.39432504329505003</c:v>
                </c:pt>
                <c:pt idx="7">
                  <c:v>0.395056773502725</c:v>
                </c:pt>
                <c:pt idx="8">
                  <c:v>0.39578850371040003</c:v>
                </c:pt>
                <c:pt idx="9">
                  <c:v>0.396520233918075</c:v>
                </c:pt>
                <c:pt idx="10">
                  <c:v>0.39725196412575009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381336"/>
        <c:axId val="304381728"/>
        <c:axId val="0"/>
      </c:bar3DChart>
      <c:catAx>
        <c:axId val="30438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4381728"/>
        <c:crosses val="autoZero"/>
        <c:auto val="1"/>
        <c:lblAlgn val="ctr"/>
        <c:lblOffset val="100"/>
        <c:noMultiLvlLbl val="0"/>
      </c:catAx>
      <c:valAx>
        <c:axId val="3043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4381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1.5630999155199996</c:v>
                </c:pt>
                <c:pt idx="1">
                  <c:v>1.5182975214000003</c:v>
                </c:pt>
                <c:pt idx="2">
                  <c:v>1.5064184044800002</c:v>
                </c:pt>
                <c:pt idx="3">
                  <c:v>1.5492049969104766</c:v>
                </c:pt>
                <c:pt idx="4">
                  <c:v>1.5593197577466669</c:v>
                </c:pt>
                <c:pt idx="5">
                  <c:v>1.5643343696200003</c:v>
                </c:pt>
                <c:pt idx="6">
                  <c:v>1.6176613988699997</c:v>
                </c:pt>
                <c:pt idx="7">
                  <c:v>1.6206632161054764</c:v>
                </c:pt>
                <c:pt idx="8">
                  <c:v>1.6236650333409526</c:v>
                </c:pt>
                <c:pt idx="9">
                  <c:v>1.6266668505764288</c:v>
                </c:pt>
                <c:pt idx="10">
                  <c:v>1.6296686678119048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3.1156989083136</c:v>
                </c:pt>
                <c:pt idx="1">
                  <c:v>3.1395027988295996</c:v>
                </c:pt>
                <c:pt idx="2">
                  <c:v>3.1596209256528001</c:v>
                </c:pt>
                <c:pt idx="3">
                  <c:v>3.1787956724831998</c:v>
                </c:pt>
                <c:pt idx="4">
                  <c:v>3.1995500323248001</c:v>
                </c:pt>
                <c:pt idx="5">
                  <c:v>3.2098394559672005</c:v>
                </c:pt>
                <c:pt idx="6">
                  <c:v>3.3192605655972001</c:v>
                </c:pt>
                <c:pt idx="7">
                  <c:v>3.3254199593873999</c:v>
                </c:pt>
                <c:pt idx="8">
                  <c:v>3.3315793531776006</c:v>
                </c:pt>
                <c:pt idx="9">
                  <c:v>3.3377387469677999</c:v>
                </c:pt>
                <c:pt idx="10">
                  <c:v>3.3438981407579997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382904"/>
        <c:axId val="304383296"/>
        <c:axId val="0"/>
      </c:bar3DChart>
      <c:catAx>
        <c:axId val="30438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83296"/>
        <c:crosses val="autoZero"/>
        <c:auto val="1"/>
        <c:lblAlgn val="ctr"/>
        <c:lblOffset val="100"/>
        <c:noMultiLvlLbl val="0"/>
      </c:catAx>
      <c:valAx>
        <c:axId val="304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82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4678.7988238335993</c:v>
                </c:pt>
                <c:pt idx="1">
                  <c:v>4657.8003202296004</c:v>
                </c:pt>
                <c:pt idx="2">
                  <c:v>4666.0393301328004</c:v>
                </c:pt>
                <c:pt idx="3">
                  <c:v>4728.0006693936766</c:v>
                </c:pt>
                <c:pt idx="4">
                  <c:v>4758.8697900714669</c:v>
                </c:pt>
                <c:pt idx="5">
                  <c:v>4774.1738255872006</c:v>
                </c:pt>
                <c:pt idx="6">
                  <c:v>4936.9219644671994</c:v>
                </c:pt>
                <c:pt idx="7">
                  <c:v>4946.0831754928759</c:v>
                </c:pt>
                <c:pt idx="8">
                  <c:v>4955.2443865185523</c:v>
                </c:pt>
                <c:pt idx="9">
                  <c:v>4964.4055975442288</c:v>
                </c:pt>
                <c:pt idx="10">
                  <c:v>4973.5668085699044</c:v>
                </c:pt>
                <c:pt idx="11">
                  <c:v>4982.7280195955818</c:v>
                </c:pt>
                <c:pt idx="12">
                  <c:v>4991.8892306212574</c:v>
                </c:pt>
                <c:pt idx="13">
                  <c:v>5001.0504416469339</c:v>
                </c:pt>
                <c:pt idx="14">
                  <c:v>5010.2116526726104</c:v>
                </c:pt>
                <c:pt idx="15">
                  <c:v>5019.372863698286</c:v>
                </c:pt>
                <c:pt idx="16">
                  <c:v>5028.5340747239625</c:v>
                </c:pt>
                <c:pt idx="17">
                  <c:v>5037.6952857496381</c:v>
                </c:pt>
                <c:pt idx="18">
                  <c:v>5046.8564967753146</c:v>
                </c:pt>
                <c:pt idx="19">
                  <c:v>5056.0177078009901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84472"/>
        <c:axId val="307578744"/>
      </c:lineChart>
      <c:catAx>
        <c:axId val="30438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744"/>
        <c:crosses val="autoZero"/>
        <c:auto val="1"/>
        <c:lblAlgn val="ctr"/>
        <c:lblOffset val="100"/>
        <c:noMultiLvlLbl val="0"/>
      </c:catAx>
      <c:valAx>
        <c:axId val="3075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8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19110.695216805161</c:v>
                </c:pt>
                <c:pt idx="1">
                  <c:v>18409.44109270097</c:v>
                </c:pt>
                <c:pt idx="2">
                  <c:v>17991.67412223246</c:v>
                </c:pt>
                <c:pt idx="3">
                  <c:v>17759.211853873963</c:v>
                </c:pt>
                <c:pt idx="4">
                  <c:v>17649.788554103856</c:v>
                </c:pt>
                <c:pt idx="5">
                  <c:v>17623.071635254386</c:v>
                </c:pt>
                <c:pt idx="6">
                  <c:v>17652.182202136697</c:v>
                </c:pt>
                <c:pt idx="7">
                  <c:v>17829.2498578585</c:v>
                </c:pt>
                <c:pt idx="8">
                  <c:v>17978.614970927512</c:v>
                </c:pt>
                <c:pt idx="9">
                  <c:v>18107.83782989531</c:v>
                </c:pt>
                <c:pt idx="10">
                  <c:v>18222.137478514331</c:v>
                </c:pt>
                <c:pt idx="11">
                  <c:v>18325.146332442775</c:v>
                </c:pt>
                <c:pt idx="12">
                  <c:v>18419.418277374833</c:v>
                </c:pt>
                <c:pt idx="13">
                  <c:v>18506.771196217705</c:v>
                </c:pt>
                <c:pt idx="14">
                  <c:v>18588.518234900042</c:v>
                </c:pt>
                <c:pt idx="15">
                  <c:v>18665.624252895152</c:v>
                </c:pt>
                <c:pt idx="16">
                  <c:v>18738.811923950423</c:v>
                </c:pt>
                <c:pt idx="17">
                  <c:v>18808.633916335744</c:v>
                </c:pt>
                <c:pt idx="18">
                  <c:v>18875.52219059207</c:v>
                </c:pt>
                <c:pt idx="19">
                  <c:v>18939.821835023453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81096"/>
        <c:axId val="307581488"/>
      </c:lineChart>
      <c:catAx>
        <c:axId val="3075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81488"/>
        <c:crosses val="autoZero"/>
        <c:auto val="1"/>
        <c:lblAlgn val="ctr"/>
        <c:lblOffset val="100"/>
        <c:noMultiLvlLbl val="0"/>
      </c:catAx>
      <c:valAx>
        <c:axId val="307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8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D14">
            <v>142016</v>
          </cell>
        </row>
        <row r="15">
          <cell r="D15">
            <v>143101</v>
          </cell>
        </row>
        <row r="16">
          <cell r="D16">
            <v>144018</v>
          </cell>
        </row>
        <row r="17">
          <cell r="D17">
            <v>144892</v>
          </cell>
        </row>
        <row r="18">
          <cell r="D18">
            <v>145838</v>
          </cell>
        </row>
        <row r="19">
          <cell r="D19">
            <v>146307</v>
          </cell>
        </row>
        <row r="20">
          <cell r="D20">
            <v>151294.5</v>
          </cell>
        </row>
        <row r="21">
          <cell r="D21">
            <v>151575.25</v>
          </cell>
        </row>
        <row r="22">
          <cell r="D22">
            <v>151856</v>
          </cell>
        </row>
        <row r="23">
          <cell r="D23">
            <v>152136.75</v>
          </cell>
        </row>
        <row r="24">
          <cell r="D24">
            <v>152417.5</v>
          </cell>
        </row>
        <row r="25">
          <cell r="D25">
            <v>152698.25</v>
          </cell>
        </row>
        <row r="26">
          <cell r="D26">
            <v>152979</v>
          </cell>
        </row>
        <row r="27">
          <cell r="D27">
            <v>153259.75</v>
          </cell>
        </row>
        <row r="28">
          <cell r="D28">
            <v>153540.5</v>
          </cell>
        </row>
        <row r="29">
          <cell r="D29">
            <v>153821.25</v>
          </cell>
        </row>
        <row r="30">
          <cell r="D30">
            <v>154102</v>
          </cell>
        </row>
        <row r="31">
          <cell r="D31">
            <v>154382.75</v>
          </cell>
        </row>
        <row r="32">
          <cell r="D32">
            <v>154663.5</v>
          </cell>
        </row>
        <row r="33">
          <cell r="D33">
            <v>154944.25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0.52024645146955328</v>
          </cell>
        </row>
        <row r="29">
          <cell r="O29">
            <v>0.50061531918364777</v>
          </cell>
        </row>
        <row r="30">
          <cell r="O30">
            <v>0.48889696233923063</v>
          </cell>
        </row>
        <row r="31">
          <cell r="O31">
            <v>0.48234514244127147</v>
          </cell>
        </row>
        <row r="32">
          <cell r="O32">
            <v>0.47921516908944589</v>
          </cell>
        </row>
        <row r="33">
          <cell r="O33">
            <v>0.47843049755232364</v>
          </cell>
        </row>
        <row r="34">
          <cell r="O34">
            <v>0.47881297601118755</v>
          </cell>
        </row>
        <row r="35">
          <cell r="O35">
            <v>0.48372219738993066</v>
          </cell>
        </row>
        <row r="36">
          <cell r="O36">
            <v>0.48785958812165298</v>
          </cell>
        </row>
        <row r="37">
          <cell r="O37">
            <v>0.49143578816376082</v>
          </cell>
        </row>
        <row r="38">
          <cell r="O38">
            <v>0.4945962071982013</v>
          </cell>
        </row>
        <row r="39">
          <cell r="O39">
            <v>0.49744204928277008</v>
          </cell>
        </row>
        <row r="40">
          <cell r="O40">
            <v>0.50004446915847689</v>
          </cell>
        </row>
        <row r="41">
          <cell r="O41">
            <v>0.50245411552418118</v>
          </cell>
        </row>
        <row r="42">
          <cell r="O42">
            <v>0.50470757441765024</v>
          </cell>
        </row>
        <row r="43">
          <cell r="O43">
            <v>0.50683172814066069</v>
          </cell>
        </row>
        <row r="44">
          <cell r="O44">
            <v>0.50884671137012705</v>
          </cell>
        </row>
        <row r="45">
          <cell r="O45">
            <v>0.51076792219833622</v>
          </cell>
        </row>
        <row r="46">
          <cell r="O46">
            <v>0.51260739563550273</v>
          </cell>
        </row>
        <row r="47">
          <cell r="O47">
            <v>0.51437474631275781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0.36892896096619748</v>
          </cell>
        </row>
        <row r="29">
          <cell r="O29">
            <v>0.35500768727683163</v>
          </cell>
        </row>
        <row r="30">
          <cell r="O30">
            <v>0.34669770034154357</v>
          </cell>
        </row>
        <row r="31">
          <cell r="O31">
            <v>0.34205152524402221</v>
          </cell>
        </row>
        <row r="32">
          <cell r="O32">
            <v>0.33983192756434732</v>
          </cell>
        </row>
        <row r="33">
          <cell r="O33">
            <v>0.3392754834904424</v>
          </cell>
        </row>
        <row r="34">
          <cell r="O34">
            <v>0.33954671528841451</v>
          </cell>
        </row>
        <row r="35">
          <cell r="O35">
            <v>0.34302805367582062</v>
          </cell>
        </row>
        <row r="36">
          <cell r="O36">
            <v>0.3459620540124953</v>
          </cell>
        </row>
        <row r="37">
          <cell r="O37">
            <v>0.34849809008158383</v>
          </cell>
        </row>
        <row r="38">
          <cell r="O38">
            <v>0.35073927809411209</v>
          </cell>
        </row>
        <row r="39">
          <cell r="O39">
            <v>0.3527573861664845</v>
          </cell>
        </row>
        <row r="40">
          <cell r="O40">
            <v>0.35460287316217703</v>
          </cell>
        </row>
        <row r="41">
          <cell r="O41">
            <v>0.35631165623505362</v>
          </cell>
        </row>
        <row r="42">
          <cell r="O42">
            <v>0.35790968010585417</v>
          </cell>
        </row>
        <row r="43">
          <cell r="O43">
            <v>0.35941600816200725</v>
          </cell>
        </row>
        <row r="44">
          <cell r="O44">
            <v>0.36084491876218822</v>
          </cell>
        </row>
        <row r="45">
          <cell r="O45">
            <v>0.36220733135077204</v>
          </cell>
        </row>
        <row r="46">
          <cell r="O46">
            <v>0.36351178046711263</v>
          </cell>
        </row>
        <row r="47">
          <cell r="O47">
            <v>0.36476508425646248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1.5337728000000001E-3</v>
          </cell>
          <cell r="D6">
            <v>1.1503296000000001E-4</v>
          </cell>
        </row>
        <row r="7">
          <cell r="B7">
            <v>1.5454908000000001E-3</v>
          </cell>
          <cell r="D7">
            <v>1.1591181E-4</v>
          </cell>
        </row>
        <row r="8">
          <cell r="B8">
            <v>1.5553944000000002E-3</v>
          </cell>
          <cell r="D8">
            <v>1.1665458000000001E-4</v>
          </cell>
        </row>
        <row r="9">
          <cell r="B9">
            <v>1.5648336000000001E-3</v>
          </cell>
          <cell r="D9">
            <v>1.1736252E-4</v>
          </cell>
        </row>
        <row r="10">
          <cell r="B10">
            <v>1.5750504000000003E-3</v>
          </cell>
          <cell r="D10">
            <v>1.1812878000000002E-4</v>
          </cell>
        </row>
        <row r="11">
          <cell r="B11">
            <v>1.5801156E-3</v>
          </cell>
          <cell r="D11">
            <v>1.1850866999999999E-4</v>
          </cell>
        </row>
        <row r="12">
          <cell r="B12">
            <v>1.6339806000000001E-3</v>
          </cell>
          <cell r="D12">
            <v>1.2254854500000001E-4</v>
          </cell>
        </row>
        <row r="13">
          <cell r="B13">
            <v>1.6370127E-3</v>
          </cell>
          <cell r="D13">
            <v>1.227759525E-4</v>
          </cell>
        </row>
        <row r="14">
          <cell r="B14">
            <v>1.6400448000000001E-3</v>
          </cell>
          <cell r="D14">
            <v>1.2300336E-4</v>
          </cell>
        </row>
        <row r="15">
          <cell r="B15">
            <v>1.6430769000000001E-3</v>
          </cell>
          <cell r="D15">
            <v>1.2323076749999999E-4</v>
          </cell>
        </row>
        <row r="16">
          <cell r="B16">
            <v>1.646109E-3</v>
          </cell>
          <cell r="D16">
            <v>1.2345817500000002E-4</v>
          </cell>
        </row>
        <row r="17">
          <cell r="B17">
            <v>1.6491411000000001E-3</v>
          </cell>
          <cell r="D17">
            <v>1.2368558250000001E-4</v>
          </cell>
        </row>
        <row r="18">
          <cell r="B18">
            <v>1.6521732000000003E-3</v>
          </cell>
          <cell r="D18">
            <v>1.2391299E-4</v>
          </cell>
        </row>
        <row r="19">
          <cell r="B19">
            <v>1.6552053E-3</v>
          </cell>
          <cell r="D19">
            <v>1.241403975E-4</v>
          </cell>
        </row>
        <row r="20">
          <cell r="B20">
            <v>1.6582374E-3</v>
          </cell>
          <cell r="D20">
            <v>1.2436780499999999E-4</v>
          </cell>
        </row>
        <row r="21">
          <cell r="B21">
            <v>1.6612694999999999E-3</v>
          </cell>
          <cell r="D21">
            <v>1.2459521249999999E-4</v>
          </cell>
        </row>
        <row r="22">
          <cell r="B22">
            <v>1.6643016000000002E-3</v>
          </cell>
          <cell r="D22">
            <v>1.2482262000000001E-4</v>
          </cell>
        </row>
        <row r="23">
          <cell r="B23">
            <v>1.6673337000000002E-3</v>
          </cell>
          <cell r="D23">
            <v>1.250500275E-4</v>
          </cell>
        </row>
        <row r="24">
          <cell r="B24">
            <v>1.6703657999999999E-3</v>
          </cell>
          <cell r="D24">
            <v>1.25277435E-4</v>
          </cell>
        </row>
        <row r="25">
          <cell r="B25">
            <v>1.6733979000000002E-3</v>
          </cell>
          <cell r="D25">
            <v>1.2550484249999999E-4</v>
          </cell>
        </row>
        <row r="32">
          <cell r="B32">
            <v>1.31471240992E-2</v>
          </cell>
          <cell r="D32">
            <v>3.0339517152E-4</v>
          </cell>
        </row>
        <row r="33">
          <cell r="B33">
            <v>1.3247567919950002E-2</v>
          </cell>
          <cell r="D33">
            <v>3.0571310584500002E-4</v>
          </cell>
        </row>
        <row r="34">
          <cell r="B34">
            <v>1.3332459149100001E-2</v>
          </cell>
          <cell r="D34">
            <v>3.0767213421000004E-4</v>
          </cell>
        </row>
        <row r="35">
          <cell r="B35">
            <v>1.3413369655400001E-2</v>
          </cell>
          <cell r="D35">
            <v>3.0953929974000002E-4</v>
          </cell>
        </row>
        <row r="36">
          <cell r="B36">
            <v>1.3500945558100001E-2</v>
          </cell>
          <cell r="D36">
            <v>3.1156028211000003E-4</v>
          </cell>
        </row>
        <row r="37">
          <cell r="B37">
            <v>1.3544363209650002E-2</v>
          </cell>
          <cell r="D37">
            <v>3.1256222791500003E-4</v>
          </cell>
        </row>
        <row r="38">
          <cell r="B38">
            <v>1.4006080772774999E-2</v>
          </cell>
          <cell r="D38">
            <v>3.2321724860250001E-4</v>
          </cell>
        </row>
        <row r="39">
          <cell r="B39">
            <v>1.40320711899875E-2</v>
          </cell>
          <cell r="D39">
            <v>3.2381702746125002E-4</v>
          </cell>
        </row>
        <row r="40">
          <cell r="B40">
            <v>1.4058061607200002E-2</v>
          </cell>
          <cell r="D40">
            <v>3.2441680632000003E-4</v>
          </cell>
        </row>
        <row r="41">
          <cell r="B41">
            <v>1.4084052024412499E-2</v>
          </cell>
          <cell r="D41">
            <v>3.2501658517874999E-4</v>
          </cell>
        </row>
        <row r="42">
          <cell r="B42">
            <v>1.4110042441625004E-2</v>
          </cell>
          <cell r="D42">
            <v>3.256163640375001E-4</v>
          </cell>
        </row>
        <row r="43">
          <cell r="B43">
            <v>1.4136032858837499E-2</v>
          </cell>
          <cell r="D43">
            <v>3.2621614289625E-4</v>
          </cell>
        </row>
        <row r="44">
          <cell r="B44">
            <v>1.4162023276050003E-2</v>
          </cell>
          <cell r="D44">
            <v>3.2681592175500007E-4</v>
          </cell>
        </row>
        <row r="45">
          <cell r="B45">
            <v>1.4188013693262501E-2</v>
          </cell>
          <cell r="D45">
            <v>3.2741570061375002E-4</v>
          </cell>
        </row>
        <row r="46">
          <cell r="B46">
            <v>1.4214004110475E-2</v>
          </cell>
          <cell r="D46">
            <v>3.2801547947249998E-4</v>
          </cell>
        </row>
        <row r="47">
          <cell r="B47">
            <v>1.42399945276875E-2</v>
          </cell>
          <cell r="D47">
            <v>3.2861525833124998E-4</v>
          </cell>
        </row>
        <row r="48">
          <cell r="B48">
            <v>1.4265984944900001E-2</v>
          </cell>
          <cell r="D48">
            <v>3.2921503719000005E-4</v>
          </cell>
        </row>
        <row r="49">
          <cell r="B49">
            <v>1.42919753621125E-2</v>
          </cell>
          <cell r="D49">
            <v>3.2981481604875E-4</v>
          </cell>
        </row>
        <row r="50">
          <cell r="B50">
            <v>1.4317965779324997E-2</v>
          </cell>
          <cell r="D50">
            <v>3.304145949074999E-4</v>
          </cell>
        </row>
        <row r="51">
          <cell r="B51">
            <v>1.4343956196537501E-2</v>
          </cell>
          <cell r="D51">
            <v>3.3101437376625002E-4</v>
          </cell>
        </row>
        <row r="59">
          <cell r="B59">
            <v>0.14836661468160001</v>
          </cell>
          <cell r="D59">
            <v>5.0422577919999991E-3</v>
          </cell>
        </row>
        <row r="60">
          <cell r="B60">
            <v>0.14950013327759998</v>
          </cell>
          <cell r="D60">
            <v>4.897733940000001E-3</v>
          </cell>
        </row>
        <row r="61">
          <cell r="B61">
            <v>0.15045813931679999</v>
          </cell>
          <cell r="D61">
            <v>4.8594142080000003E-3</v>
          </cell>
        </row>
        <row r="62">
          <cell r="B62">
            <v>0.15137122249919999</v>
          </cell>
          <cell r="D62">
            <v>4.9974354739047632E-3</v>
          </cell>
        </row>
        <row r="63">
          <cell r="B63">
            <v>0.15235952534880001</v>
          </cell>
          <cell r="D63">
            <v>5.0300637346666673E-3</v>
          </cell>
        </row>
        <row r="64">
          <cell r="B64">
            <v>0.15284949790320002</v>
          </cell>
          <cell r="D64">
            <v>5.0462399020000008E-3</v>
          </cell>
        </row>
        <row r="65">
          <cell r="B65">
            <v>0.15806002693320001</v>
          </cell>
          <cell r="D65">
            <v>5.2182625769999994E-3</v>
          </cell>
        </row>
        <row r="66">
          <cell r="B66">
            <v>0.1583533313994</v>
          </cell>
          <cell r="D66">
            <v>5.2279458584047625E-3</v>
          </cell>
        </row>
        <row r="67">
          <cell r="B67">
            <v>0.15864663586560002</v>
          </cell>
          <cell r="D67">
            <v>5.2376291398095248E-3</v>
          </cell>
        </row>
        <row r="68">
          <cell r="B68">
            <v>0.15893994033180001</v>
          </cell>
          <cell r="D68">
            <v>5.2473124212142862E-3</v>
          </cell>
        </row>
        <row r="69">
          <cell r="B69">
            <v>0.159233244798</v>
          </cell>
          <cell r="D69">
            <v>5.2569957026190476E-3</v>
          </cell>
        </row>
        <row r="70">
          <cell r="B70">
            <v>0.15952654926420001</v>
          </cell>
          <cell r="D70">
            <v>5.2666789840238107E-3</v>
          </cell>
        </row>
        <row r="71">
          <cell r="B71">
            <v>0.1598198537304</v>
          </cell>
          <cell r="D71">
            <v>5.2763622654285721E-3</v>
          </cell>
        </row>
        <row r="72">
          <cell r="B72">
            <v>0.16011315819660005</v>
          </cell>
          <cell r="D72">
            <v>5.2860455468333343E-3</v>
          </cell>
        </row>
        <row r="73">
          <cell r="B73">
            <v>0.16040646266280001</v>
          </cell>
          <cell r="D73">
            <v>5.2957288282380957E-3</v>
          </cell>
        </row>
        <row r="74">
          <cell r="B74">
            <v>0.160699767129</v>
          </cell>
          <cell r="D74">
            <v>5.3054121096428571E-3</v>
          </cell>
        </row>
        <row r="75">
          <cell r="B75">
            <v>0.16099307159519999</v>
          </cell>
          <cell r="D75">
            <v>5.3150953910476202E-3</v>
          </cell>
        </row>
        <row r="76">
          <cell r="B76">
            <v>0.16128637606139998</v>
          </cell>
          <cell r="D76">
            <v>5.3247786724523816E-3</v>
          </cell>
        </row>
        <row r="77">
          <cell r="B77">
            <v>0.16157968052760002</v>
          </cell>
          <cell r="D77">
            <v>5.334461953857143E-3</v>
          </cell>
        </row>
        <row r="78">
          <cell r="B78">
            <v>0.16187298499379998</v>
          </cell>
          <cell r="D78">
            <v>5.3441452352619052E-3</v>
          </cell>
        </row>
      </sheetData>
      <sheetData sheetId="4"/>
      <sheetData sheetId="5">
        <row r="14">
          <cell r="M14">
            <v>0.35326972531067774</v>
          </cell>
        </row>
        <row r="15">
          <cell r="M15">
            <v>0.35553349941505075</v>
          </cell>
        </row>
        <row r="16">
          <cell r="M16">
            <v>0.35769112053524937</v>
          </cell>
        </row>
        <row r="17">
          <cell r="M17">
            <v>0.36002648618708893</v>
          </cell>
        </row>
        <row r="18">
          <cell r="M18">
            <v>0.36118429431680649</v>
          </cell>
        </row>
        <row r="19">
          <cell r="M19">
            <v>0.37349680614402642</v>
          </cell>
        </row>
        <row r="20">
          <cell r="M20">
            <v>0.37418988638372414</v>
          </cell>
        </row>
        <row r="21">
          <cell r="M21">
            <v>0.3748829666234218</v>
          </cell>
        </row>
        <row r="22">
          <cell r="M22">
            <v>0.37557604686311935</v>
          </cell>
        </row>
        <row r="23">
          <cell r="M23">
            <v>0.37626912710281712</v>
          </cell>
        </row>
        <row r="24">
          <cell r="M24">
            <v>0.37696220734251462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957606</v>
          </cell>
        </row>
        <row r="13">
          <cell r="G13">
            <v>907902</v>
          </cell>
        </row>
        <row r="14">
          <cell r="G14">
            <v>1222230</v>
          </cell>
        </row>
        <row r="15">
          <cell r="G15">
            <v>2785194</v>
          </cell>
        </row>
        <row r="16">
          <cell r="G16">
            <v>3140070</v>
          </cell>
        </row>
        <row r="17">
          <cell r="G17">
            <v>3513852</v>
          </cell>
        </row>
        <row r="18">
          <cell r="G18">
            <v>7276328.4000000004</v>
          </cell>
        </row>
        <row r="19">
          <cell r="G19">
            <v>9813459.4559999984</v>
          </cell>
        </row>
        <row r="20">
          <cell r="G20">
            <v>12447204.767999999</v>
          </cell>
        </row>
        <row r="21">
          <cell r="G21">
            <v>15177564.335999999</v>
          </cell>
        </row>
        <row r="22">
          <cell r="G22">
            <v>17834376.886666667</v>
          </cell>
        </row>
        <row r="23">
          <cell r="G23">
            <v>20581310.143999998</v>
          </cell>
        </row>
        <row r="24">
          <cell r="G24">
            <v>23418364.107999999</v>
          </cell>
        </row>
        <row r="25">
          <cell r="G25">
            <v>26345538.778666671</v>
          </cell>
        </row>
        <row r="26">
          <cell r="G26">
            <v>29362834.156000003</v>
          </cell>
        </row>
        <row r="27">
          <cell r="G27">
            <v>32470250.239999998</v>
          </cell>
        </row>
        <row r="28">
          <cell r="G28">
            <v>35667787.030666664</v>
          </cell>
        </row>
        <row r="29">
          <cell r="G29">
            <v>38955444.527999997</v>
          </cell>
        </row>
        <row r="30">
          <cell r="G30">
            <v>42333222.732000001</v>
          </cell>
        </row>
        <row r="31">
          <cell r="G31">
            <v>43033995.695999995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I20" sqref="I20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81" t="s">
        <v>16</v>
      </c>
      <c r="H3" s="81"/>
      <c r="I3" s="81"/>
    </row>
    <row r="4" spans="1:14" x14ac:dyDescent="0.25">
      <c r="A4" s="171"/>
      <c r="B4" s="17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8">
        <v>2011</v>
      </c>
      <c r="B5" s="89">
        <f>[1]Sheet3!D14</f>
        <v>142016</v>
      </c>
      <c r="C5" s="167">
        <v>0.2</v>
      </c>
      <c r="D5" s="152">
        <f t="shared" ref="D5:D24" si="0">C5*B5</f>
        <v>28403.200000000001</v>
      </c>
      <c r="E5" s="152">
        <f>D5/1000</f>
        <v>28.403200000000002</v>
      </c>
    </row>
    <row r="6" spans="1:14" x14ac:dyDescent="0.25">
      <c r="A6" s="88">
        <v>2012</v>
      </c>
      <c r="B6" s="89">
        <f>[1]Sheet3!D15</f>
        <v>143101</v>
      </c>
      <c r="C6" s="167">
        <v>0.2</v>
      </c>
      <c r="D6" s="152">
        <f t="shared" si="0"/>
        <v>28620.2</v>
      </c>
      <c r="E6" s="152">
        <f t="shared" ref="E6:E24" si="1">D6/1000</f>
        <v>28.620200000000001</v>
      </c>
      <c r="G6" s="82" t="s">
        <v>37</v>
      </c>
      <c r="H6" s="82"/>
      <c r="I6" s="82"/>
      <c r="J6" s="83">
        <v>2</v>
      </c>
      <c r="K6" s="84" t="s">
        <v>33</v>
      </c>
      <c r="L6" s="83">
        <v>3</v>
      </c>
      <c r="M6" s="82" t="s">
        <v>38</v>
      </c>
      <c r="N6" s="82"/>
    </row>
    <row r="7" spans="1:14" x14ac:dyDescent="0.25">
      <c r="A7" s="88">
        <v>2013</v>
      </c>
      <c r="B7" s="89">
        <f>[1]Sheet3!D16</f>
        <v>144018</v>
      </c>
      <c r="C7" s="167">
        <v>0.2</v>
      </c>
      <c r="D7" s="152">
        <f t="shared" si="0"/>
        <v>28803.600000000002</v>
      </c>
      <c r="E7" s="152">
        <f t="shared" si="1"/>
        <v>28.803600000000003</v>
      </c>
      <c r="G7" s="82"/>
      <c r="H7" s="82"/>
      <c r="I7" s="82"/>
      <c r="J7" s="83">
        <f>(2*250)/1000</f>
        <v>0.5</v>
      </c>
      <c r="K7" s="84" t="s">
        <v>33</v>
      </c>
      <c r="L7" s="83">
        <f>(3*250)/1000</f>
        <v>0.75</v>
      </c>
      <c r="M7" s="82" t="s">
        <v>13</v>
      </c>
      <c r="N7" s="82"/>
    </row>
    <row r="8" spans="1:14" x14ac:dyDescent="0.25">
      <c r="A8" s="88">
        <v>2014</v>
      </c>
      <c r="B8" s="89">
        <f>[1]Sheet3!D17</f>
        <v>144892</v>
      </c>
      <c r="C8" s="167">
        <v>0.2</v>
      </c>
      <c r="D8" s="152">
        <f t="shared" si="0"/>
        <v>28978.400000000001</v>
      </c>
      <c r="E8" s="152">
        <f t="shared" si="1"/>
        <v>28.978400000000001</v>
      </c>
      <c r="G8" s="82"/>
      <c r="H8" s="82"/>
      <c r="I8" s="82"/>
      <c r="J8" s="85">
        <f>J7*(365/1000)</f>
        <v>0.1825</v>
      </c>
      <c r="K8" s="86" t="s">
        <v>33</v>
      </c>
      <c r="L8" s="85">
        <f>L7*(365/1000)</f>
        <v>0.27374999999999999</v>
      </c>
      <c r="M8" s="82" t="s">
        <v>39</v>
      </c>
      <c r="N8" s="82"/>
    </row>
    <row r="9" spans="1:14" x14ac:dyDescent="0.25">
      <c r="A9" s="88">
        <v>2015</v>
      </c>
      <c r="B9" s="89">
        <f>[1]Sheet3!D18</f>
        <v>145838</v>
      </c>
      <c r="C9" s="167">
        <v>0.2</v>
      </c>
      <c r="D9" s="152">
        <f t="shared" si="0"/>
        <v>29167.600000000002</v>
      </c>
      <c r="E9" s="152">
        <f t="shared" si="1"/>
        <v>29.167600000000004</v>
      </c>
    </row>
    <row r="10" spans="1:14" x14ac:dyDescent="0.25">
      <c r="A10" s="88">
        <v>2016</v>
      </c>
      <c r="B10" s="89">
        <f>[1]Sheet3!D19</f>
        <v>146307</v>
      </c>
      <c r="C10" s="167">
        <v>0.2</v>
      </c>
      <c r="D10" s="152">
        <f t="shared" si="0"/>
        <v>29261.4</v>
      </c>
      <c r="E10" s="152">
        <f t="shared" si="1"/>
        <v>29.261400000000002</v>
      </c>
      <c r="G10" s="87" t="s">
        <v>34</v>
      </c>
      <c r="H10" s="87"/>
      <c r="I10" s="87" t="s">
        <v>35</v>
      </c>
      <c r="J10" s="87"/>
      <c r="K10" s="87"/>
    </row>
    <row r="11" spans="1:14" x14ac:dyDescent="0.25">
      <c r="A11" s="88">
        <v>2017</v>
      </c>
      <c r="B11" s="89">
        <f>[1]Sheet3!D20</f>
        <v>151294.5</v>
      </c>
      <c r="C11" s="167">
        <v>0.2</v>
      </c>
      <c r="D11" s="152">
        <f t="shared" si="0"/>
        <v>30258.9</v>
      </c>
      <c r="E11" s="152">
        <f t="shared" si="1"/>
        <v>30.258900000000001</v>
      </c>
      <c r="G11" s="87"/>
      <c r="H11" s="87"/>
      <c r="I11" s="87" t="s">
        <v>36</v>
      </c>
      <c r="J11" s="87"/>
      <c r="K11" s="87"/>
    </row>
    <row r="12" spans="1:14" x14ac:dyDescent="0.25">
      <c r="A12" s="88">
        <v>2018</v>
      </c>
      <c r="B12" s="89">
        <f>[1]Sheet3!D21</f>
        <v>151575.25</v>
      </c>
      <c r="C12" s="167">
        <v>0.2</v>
      </c>
      <c r="D12" s="152">
        <f t="shared" si="0"/>
        <v>30315.050000000003</v>
      </c>
      <c r="E12" s="152">
        <f t="shared" si="1"/>
        <v>30.315050000000003</v>
      </c>
    </row>
    <row r="13" spans="1:14" x14ac:dyDescent="0.25">
      <c r="A13" s="88">
        <v>2019</v>
      </c>
      <c r="B13" s="89">
        <f>[1]Sheet3!D22</f>
        <v>151856</v>
      </c>
      <c r="C13" s="167">
        <v>0.2</v>
      </c>
      <c r="D13" s="152">
        <f t="shared" si="0"/>
        <v>30371.200000000001</v>
      </c>
      <c r="E13" s="152">
        <f t="shared" si="1"/>
        <v>30.371200000000002</v>
      </c>
    </row>
    <row r="14" spans="1:14" x14ac:dyDescent="0.25">
      <c r="A14" s="88">
        <v>2020</v>
      </c>
      <c r="B14" s="89">
        <f>[1]Sheet3!D23</f>
        <v>152136.75</v>
      </c>
      <c r="C14" s="167">
        <v>0.2</v>
      </c>
      <c r="D14" s="152">
        <f t="shared" si="0"/>
        <v>30427.350000000002</v>
      </c>
      <c r="E14" s="152">
        <f t="shared" si="1"/>
        <v>30.427350000000001</v>
      </c>
    </row>
    <row r="15" spans="1:14" x14ac:dyDescent="0.25">
      <c r="A15" s="88">
        <v>2021</v>
      </c>
      <c r="B15" s="89">
        <f>[1]Sheet3!D24</f>
        <v>152417.5</v>
      </c>
      <c r="C15" s="167">
        <v>0.2</v>
      </c>
      <c r="D15" s="152">
        <f t="shared" si="0"/>
        <v>30483.5</v>
      </c>
      <c r="E15" s="152">
        <f t="shared" si="1"/>
        <v>30.483499999999999</v>
      </c>
    </row>
    <row r="16" spans="1:14" x14ac:dyDescent="0.25">
      <c r="A16" s="88">
        <v>2022</v>
      </c>
      <c r="B16" s="89">
        <f>[1]Sheet3!D25</f>
        <v>152698.25</v>
      </c>
      <c r="C16" s="167">
        <v>0.2</v>
      </c>
      <c r="D16" s="152">
        <f t="shared" si="0"/>
        <v>30539.65</v>
      </c>
      <c r="E16" s="152">
        <f t="shared" si="1"/>
        <v>30.539650000000002</v>
      </c>
    </row>
    <row r="17" spans="1:10" x14ac:dyDescent="0.25">
      <c r="A17" s="88">
        <v>2023</v>
      </c>
      <c r="B17" s="89">
        <f>[1]Sheet3!D26</f>
        <v>152979</v>
      </c>
      <c r="C17" s="167">
        <v>0.2</v>
      </c>
      <c r="D17" s="152">
        <f t="shared" si="0"/>
        <v>30595.800000000003</v>
      </c>
      <c r="E17" s="152">
        <f t="shared" si="1"/>
        <v>30.595800000000004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[1]Sheet3!D27</f>
        <v>153259.75</v>
      </c>
      <c r="C18" s="167">
        <v>0.2</v>
      </c>
      <c r="D18" s="152">
        <f t="shared" si="0"/>
        <v>30651.95</v>
      </c>
      <c r="E18" s="152">
        <f t="shared" si="1"/>
        <v>30.651949999999999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[1]Sheet3!D28</f>
        <v>153540.5</v>
      </c>
      <c r="C19" s="167">
        <v>0.2</v>
      </c>
      <c r="D19" s="152">
        <f t="shared" si="0"/>
        <v>30708.100000000002</v>
      </c>
      <c r="E19" s="152">
        <f t="shared" si="1"/>
        <v>30.708100000000002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[1]Sheet3!D29</f>
        <v>153821.25</v>
      </c>
      <c r="C20" s="167">
        <v>0.2</v>
      </c>
      <c r="D20" s="152">
        <f t="shared" si="0"/>
        <v>30764.25</v>
      </c>
      <c r="E20" s="152">
        <f t="shared" si="1"/>
        <v>30.764250000000001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[1]Sheet3!D30</f>
        <v>154102</v>
      </c>
      <c r="C21" s="167">
        <v>0.2</v>
      </c>
      <c r="D21" s="152">
        <f t="shared" si="0"/>
        <v>30820.400000000001</v>
      </c>
      <c r="E21" s="152">
        <f t="shared" si="1"/>
        <v>30.820400000000003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[1]Sheet3!D31</f>
        <v>154382.75</v>
      </c>
      <c r="C22" s="167">
        <v>0.2</v>
      </c>
      <c r="D22" s="152">
        <f t="shared" si="0"/>
        <v>30876.550000000003</v>
      </c>
      <c r="E22" s="152">
        <f t="shared" si="1"/>
        <v>30.876550000000002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[1]Sheet3!D32</f>
        <v>154663.5</v>
      </c>
      <c r="C23" s="167">
        <v>0.2</v>
      </c>
      <c r="D23" s="152">
        <f t="shared" si="0"/>
        <v>30932.7</v>
      </c>
      <c r="E23" s="152">
        <f t="shared" si="1"/>
        <v>30.932700000000001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[1]Sheet3!D33</f>
        <v>154944.25</v>
      </c>
      <c r="C24" s="167">
        <v>0.2</v>
      </c>
      <c r="D24" s="152">
        <f t="shared" si="0"/>
        <v>30988.850000000002</v>
      </c>
      <c r="E24" s="152">
        <f t="shared" si="1"/>
        <v>30.988850000000003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zoomScaleNormal="100" workbookViewId="0">
      <selection activeCell="A4" sqref="A4:A5"/>
    </sheetView>
  </sheetViews>
  <sheetFormatPr defaultRowHeight="12.75" x14ac:dyDescent="0.25"/>
  <cols>
    <col min="1" max="1" width="9.140625" style="146"/>
    <col min="2" max="2" width="15.5703125" style="146" customWidth="1"/>
    <col min="3" max="3" width="11" style="146" customWidth="1"/>
    <col min="4" max="6" width="9.140625" style="146"/>
    <col min="7" max="7" width="12.28515625" style="146" customWidth="1"/>
    <col min="8" max="8" width="9.140625" style="146"/>
    <col min="9" max="9" width="16.85546875" style="146" customWidth="1"/>
    <col min="10" max="11" width="9.140625" style="146"/>
    <col min="12" max="12" width="9" style="153" bestFit="1" customWidth="1"/>
    <col min="13" max="13" width="12" style="153" bestFit="1" customWidth="1"/>
    <col min="14" max="14" width="2.42578125" style="153" customWidth="1"/>
    <col min="15" max="15" width="7.140625" style="153" customWidth="1"/>
    <col min="16" max="19" width="9.140625" style="153"/>
    <col min="20" max="20" width="1.42578125" style="153" customWidth="1"/>
    <col min="21" max="21" width="7.140625" style="153" customWidth="1"/>
    <col min="22" max="22" width="50.28515625" style="153" customWidth="1"/>
    <col min="23" max="25" width="9.140625" style="153"/>
    <col min="26" max="16384" width="9.140625" style="146"/>
  </cols>
  <sheetData>
    <row r="2" spans="1:21" x14ac:dyDescent="0.25">
      <c r="A2" s="172" t="s">
        <v>9</v>
      </c>
      <c r="B2" s="172"/>
      <c r="C2" s="172"/>
      <c r="D2" s="172"/>
      <c r="E2" s="172"/>
      <c r="F2" s="172"/>
      <c r="G2" s="172"/>
      <c r="H2" s="172"/>
      <c r="I2" s="172"/>
    </row>
    <row r="3" spans="1:21" x14ac:dyDescent="0.25">
      <c r="A3" s="154" t="s">
        <v>153</v>
      </c>
    </row>
    <row r="4" spans="1:21" x14ac:dyDescent="0.25">
      <c r="A4" s="173" t="s">
        <v>8</v>
      </c>
      <c r="B4" s="173" t="s">
        <v>0</v>
      </c>
      <c r="C4" s="173"/>
      <c r="D4" s="173"/>
      <c r="E4" s="173"/>
      <c r="F4" s="173"/>
      <c r="G4" s="173"/>
      <c r="H4" s="173"/>
      <c r="I4" s="177" t="s">
        <v>10</v>
      </c>
    </row>
    <row r="5" spans="1:21" ht="25.5" x14ac:dyDescent="0.25">
      <c r="A5" s="173"/>
      <c r="B5" s="151" t="s">
        <v>1</v>
      </c>
      <c r="C5" s="151" t="s">
        <v>2</v>
      </c>
      <c r="D5" s="151" t="s">
        <v>149</v>
      </c>
      <c r="E5" s="151" t="s">
        <v>4</v>
      </c>
      <c r="F5" s="151" t="s">
        <v>5</v>
      </c>
      <c r="G5" s="151" t="s">
        <v>128</v>
      </c>
      <c r="H5" s="151" t="s">
        <v>7</v>
      </c>
      <c r="I5" s="178"/>
      <c r="P5" s="155"/>
    </row>
    <row r="6" spans="1:21" ht="17.25" customHeight="1" x14ac:dyDescent="0.25">
      <c r="A6" s="156">
        <v>2011</v>
      </c>
      <c r="B6" s="168">
        <v>0.31609999999999999</v>
      </c>
      <c r="C6" s="168">
        <f>4%+9.35%+8.46%+6.21%</f>
        <v>0.2802</v>
      </c>
      <c r="D6" s="168">
        <v>1.35E-2</v>
      </c>
      <c r="E6" s="168">
        <v>0.39019999999999999</v>
      </c>
      <c r="F6" s="91"/>
      <c r="G6" s="91"/>
      <c r="H6" s="91"/>
      <c r="I6" s="157">
        <f>SUM(B6:H6)</f>
        <v>1</v>
      </c>
      <c r="L6" s="92"/>
    </row>
    <row r="7" spans="1:21" x14ac:dyDescent="0.25">
      <c r="A7" s="156">
        <v>2012</v>
      </c>
      <c r="B7" s="168">
        <v>0.31609999999999999</v>
      </c>
      <c r="C7" s="168">
        <f t="shared" ref="C7:C25" si="0">4%+9.35%+8.46%+6.21%</f>
        <v>0.2802</v>
      </c>
      <c r="D7" s="168">
        <v>1.35E-2</v>
      </c>
      <c r="E7" s="168">
        <v>0.39019999999999999</v>
      </c>
      <c r="F7" s="91"/>
      <c r="G7" s="91"/>
      <c r="H7" s="91"/>
      <c r="I7" s="157">
        <f t="shared" ref="I7:I25" si="1">SUM(B7:H7)</f>
        <v>1</v>
      </c>
      <c r="L7" s="153">
        <v>2000</v>
      </c>
      <c r="M7" s="153">
        <f>M8-(M8*0.024)</f>
        <v>0</v>
      </c>
      <c r="N7" s="93"/>
      <c r="O7" s="94"/>
      <c r="P7" s="155"/>
      <c r="S7" s="158"/>
      <c r="T7" s="159"/>
      <c r="U7" s="158"/>
    </row>
    <row r="8" spans="1:21" x14ac:dyDescent="0.25">
      <c r="A8" s="156">
        <v>2013</v>
      </c>
      <c r="B8" s="168">
        <v>0.31609999999999999</v>
      </c>
      <c r="C8" s="168">
        <f t="shared" si="0"/>
        <v>0.2802</v>
      </c>
      <c r="D8" s="168">
        <v>1.35E-2</v>
      </c>
      <c r="E8" s="168">
        <v>0.39019999999999999</v>
      </c>
      <c r="F8" s="91"/>
      <c r="G8" s="91"/>
      <c r="H8" s="91"/>
      <c r="I8" s="157">
        <f t="shared" si="1"/>
        <v>1</v>
      </c>
      <c r="L8" s="153">
        <v>2001</v>
      </c>
      <c r="M8" s="153">
        <f t="shared" ref="M8:M10" si="2">M9-(M9*0.024)</f>
        <v>0</v>
      </c>
      <c r="N8" s="94"/>
      <c r="O8" s="94"/>
      <c r="P8" s="155"/>
      <c r="S8" s="160"/>
      <c r="T8" s="160"/>
      <c r="U8" s="160"/>
    </row>
    <row r="9" spans="1:21" x14ac:dyDescent="0.25">
      <c r="A9" s="156">
        <v>2014</v>
      </c>
      <c r="B9" s="168">
        <v>0.31609999999999999</v>
      </c>
      <c r="C9" s="168">
        <f t="shared" si="0"/>
        <v>0.2802</v>
      </c>
      <c r="D9" s="168">
        <v>1.35E-2</v>
      </c>
      <c r="E9" s="168">
        <v>0.39019999999999999</v>
      </c>
      <c r="F9" s="91"/>
      <c r="G9" s="91"/>
      <c r="H9" s="91"/>
      <c r="I9" s="157">
        <f t="shared" si="1"/>
        <v>1</v>
      </c>
      <c r="L9" s="153">
        <v>2002</v>
      </c>
      <c r="M9" s="153">
        <f t="shared" si="2"/>
        <v>0</v>
      </c>
      <c r="N9" s="94"/>
      <c r="O9" s="94"/>
      <c r="P9" s="155"/>
    </row>
    <row r="10" spans="1:21" x14ac:dyDescent="0.25">
      <c r="A10" s="156">
        <v>2015</v>
      </c>
      <c r="B10" s="168">
        <v>0.31609999999999999</v>
      </c>
      <c r="C10" s="168">
        <f t="shared" si="0"/>
        <v>0.2802</v>
      </c>
      <c r="D10" s="168">
        <v>1.35E-2</v>
      </c>
      <c r="E10" s="168">
        <v>0.39019999999999999</v>
      </c>
      <c r="F10" s="91"/>
      <c r="G10" s="91"/>
      <c r="H10" s="91"/>
      <c r="I10" s="157">
        <f t="shared" si="1"/>
        <v>1</v>
      </c>
      <c r="L10" s="153">
        <v>2003</v>
      </c>
      <c r="M10" s="153">
        <f t="shared" si="2"/>
        <v>0</v>
      </c>
      <c r="N10" s="93"/>
      <c r="O10" s="94"/>
      <c r="P10" s="155"/>
    </row>
    <row r="11" spans="1:21" x14ac:dyDescent="0.25">
      <c r="A11" s="156">
        <v>2016</v>
      </c>
      <c r="B11" s="168">
        <v>0.31609999999999999</v>
      </c>
      <c r="C11" s="168">
        <f t="shared" si="0"/>
        <v>0.2802</v>
      </c>
      <c r="D11" s="168">
        <v>1.35E-2</v>
      </c>
      <c r="E11" s="168">
        <v>0.39019999999999999</v>
      </c>
      <c r="F11" s="91"/>
      <c r="G11" s="91"/>
      <c r="H11" s="91"/>
      <c r="I11" s="157">
        <f t="shared" si="1"/>
        <v>1</v>
      </c>
      <c r="L11" s="153">
        <v>2004</v>
      </c>
      <c r="M11" s="153">
        <f>M12-(M12*0.024)</f>
        <v>0</v>
      </c>
    </row>
    <row r="12" spans="1:21" x14ac:dyDescent="0.25">
      <c r="A12" s="156">
        <v>2017</v>
      </c>
      <c r="B12" s="168">
        <v>0.31609999999999999</v>
      </c>
      <c r="C12" s="168">
        <f t="shared" si="0"/>
        <v>0.2802</v>
      </c>
      <c r="D12" s="168">
        <v>1.35E-2</v>
      </c>
      <c r="E12" s="168">
        <v>0.39019999999999999</v>
      </c>
      <c r="F12" s="91"/>
      <c r="G12" s="91"/>
      <c r="H12" s="91"/>
      <c r="I12" s="157">
        <f t="shared" si="1"/>
        <v>1</v>
      </c>
      <c r="L12" s="153">
        <v>2005</v>
      </c>
      <c r="M12" s="153">
        <f>M13-(M13*O29)</f>
        <v>0</v>
      </c>
    </row>
    <row r="13" spans="1:21" x14ac:dyDescent="0.25">
      <c r="A13" s="156">
        <v>2018</v>
      </c>
      <c r="B13" s="168">
        <v>0.31609999999999999</v>
      </c>
      <c r="C13" s="168">
        <f t="shared" si="0"/>
        <v>0.2802</v>
      </c>
      <c r="D13" s="168">
        <v>1.35E-2</v>
      </c>
      <c r="E13" s="168">
        <v>0.39019999999999999</v>
      </c>
      <c r="F13" s="91"/>
      <c r="G13" s="91"/>
      <c r="H13" s="91"/>
      <c r="I13" s="157">
        <f t="shared" si="1"/>
        <v>1</v>
      </c>
      <c r="L13" s="153">
        <v>2006</v>
      </c>
      <c r="M13" s="153">
        <f>M14-(M14*O29)</f>
        <v>0</v>
      </c>
    </row>
    <row r="14" spans="1:21" x14ac:dyDescent="0.25">
      <c r="A14" s="156">
        <v>2019</v>
      </c>
      <c r="B14" s="168">
        <v>0.31609999999999999</v>
      </c>
      <c r="C14" s="168">
        <f t="shared" si="0"/>
        <v>0.2802</v>
      </c>
      <c r="D14" s="168">
        <v>1.35E-2</v>
      </c>
      <c r="E14" s="168">
        <v>0.39019999999999999</v>
      </c>
      <c r="F14" s="91"/>
      <c r="G14" s="91"/>
      <c r="H14" s="91"/>
      <c r="I14" s="157">
        <f t="shared" si="1"/>
        <v>1</v>
      </c>
      <c r="L14" s="153">
        <v>2007</v>
      </c>
      <c r="M14" s="153">
        <f>M15-(M15*O29)</f>
        <v>0</v>
      </c>
      <c r="P14" s="155"/>
    </row>
    <row r="15" spans="1:21" x14ac:dyDescent="0.25">
      <c r="A15" s="156">
        <v>2020</v>
      </c>
      <c r="B15" s="168">
        <v>0.31609999999999999</v>
      </c>
      <c r="C15" s="168">
        <f t="shared" si="0"/>
        <v>0.2802</v>
      </c>
      <c r="D15" s="168">
        <v>1.35E-2</v>
      </c>
      <c r="E15" s="168">
        <v>0.39019999999999999</v>
      </c>
      <c r="F15" s="91"/>
      <c r="G15" s="91"/>
      <c r="H15" s="91"/>
      <c r="I15" s="157">
        <f t="shared" si="1"/>
        <v>1</v>
      </c>
      <c r="L15" s="153">
        <v>2008</v>
      </c>
      <c r="M15" s="153">
        <f>M27-(M27*O29)</f>
        <v>0</v>
      </c>
      <c r="S15" s="158"/>
    </row>
    <row r="16" spans="1:21" x14ac:dyDescent="0.25">
      <c r="A16" s="156">
        <v>2021</v>
      </c>
      <c r="B16" s="168">
        <v>0.31609999999999999</v>
      </c>
      <c r="C16" s="168">
        <f t="shared" si="0"/>
        <v>0.2802</v>
      </c>
      <c r="D16" s="168">
        <v>1.35E-2</v>
      </c>
      <c r="E16" s="168">
        <v>0.39019999999999999</v>
      </c>
      <c r="F16" s="91"/>
      <c r="G16" s="91"/>
      <c r="H16" s="91"/>
      <c r="I16" s="157">
        <f t="shared" si="1"/>
        <v>1</v>
      </c>
      <c r="S16" s="158"/>
    </row>
    <row r="17" spans="1:19" x14ac:dyDescent="0.25">
      <c r="A17" s="156">
        <v>2022</v>
      </c>
      <c r="B17" s="168">
        <v>0.31609999999999999</v>
      </c>
      <c r="C17" s="168">
        <f t="shared" si="0"/>
        <v>0.2802</v>
      </c>
      <c r="D17" s="168">
        <v>1.35E-2</v>
      </c>
      <c r="E17" s="168">
        <v>0.39019999999999999</v>
      </c>
      <c r="F17" s="91"/>
      <c r="G17" s="91"/>
      <c r="H17" s="91"/>
      <c r="I17" s="157">
        <f t="shared" si="1"/>
        <v>1</v>
      </c>
      <c r="S17" s="158"/>
    </row>
    <row r="18" spans="1:19" x14ac:dyDescent="0.25">
      <c r="A18" s="156">
        <v>2023</v>
      </c>
      <c r="B18" s="168">
        <v>0.31609999999999999</v>
      </c>
      <c r="C18" s="168">
        <f t="shared" si="0"/>
        <v>0.2802</v>
      </c>
      <c r="D18" s="168">
        <v>1.35E-2</v>
      </c>
      <c r="E18" s="168">
        <v>0.39019999999999999</v>
      </c>
      <c r="F18" s="91"/>
      <c r="G18" s="91"/>
      <c r="H18" s="91"/>
      <c r="I18" s="157">
        <f t="shared" si="1"/>
        <v>1</v>
      </c>
      <c r="S18" s="158"/>
    </row>
    <row r="19" spans="1:19" x14ac:dyDescent="0.25">
      <c r="A19" s="156">
        <v>2024</v>
      </c>
      <c r="B19" s="168">
        <v>0.31609999999999999</v>
      </c>
      <c r="C19" s="168">
        <f t="shared" si="0"/>
        <v>0.2802</v>
      </c>
      <c r="D19" s="168">
        <v>1.35E-2</v>
      </c>
      <c r="E19" s="168">
        <v>0.39019999999999999</v>
      </c>
      <c r="F19" s="91"/>
      <c r="G19" s="91"/>
      <c r="H19" s="91"/>
      <c r="I19" s="157">
        <f t="shared" si="1"/>
        <v>1</v>
      </c>
      <c r="S19" s="158"/>
    </row>
    <row r="20" spans="1:19" x14ac:dyDescent="0.25">
      <c r="A20" s="156">
        <v>2025</v>
      </c>
      <c r="B20" s="168">
        <v>0.31609999999999999</v>
      </c>
      <c r="C20" s="168">
        <f t="shared" si="0"/>
        <v>0.2802</v>
      </c>
      <c r="D20" s="168">
        <v>1.35E-2</v>
      </c>
      <c r="E20" s="168">
        <v>0.39019999999999999</v>
      </c>
      <c r="F20" s="91"/>
      <c r="G20" s="91"/>
      <c r="H20" s="91"/>
      <c r="I20" s="157">
        <f t="shared" si="1"/>
        <v>1</v>
      </c>
      <c r="S20" s="158"/>
    </row>
    <row r="21" spans="1:19" x14ac:dyDescent="0.25">
      <c r="A21" s="156">
        <v>2026</v>
      </c>
      <c r="B21" s="168">
        <v>0.31609999999999999</v>
      </c>
      <c r="C21" s="168">
        <f t="shared" si="0"/>
        <v>0.2802</v>
      </c>
      <c r="D21" s="168">
        <v>1.35E-2</v>
      </c>
      <c r="E21" s="168">
        <v>0.39019999999999999</v>
      </c>
      <c r="F21" s="91"/>
      <c r="G21" s="91"/>
      <c r="H21" s="91"/>
      <c r="I21" s="157">
        <f t="shared" si="1"/>
        <v>1</v>
      </c>
      <c r="S21" s="158"/>
    </row>
    <row r="22" spans="1:19" x14ac:dyDescent="0.25">
      <c r="A22" s="156">
        <v>2027</v>
      </c>
      <c r="B22" s="168">
        <v>0.31609999999999999</v>
      </c>
      <c r="C22" s="168">
        <f t="shared" si="0"/>
        <v>0.2802</v>
      </c>
      <c r="D22" s="168">
        <v>1.35E-2</v>
      </c>
      <c r="E22" s="168">
        <v>0.39019999999999999</v>
      </c>
      <c r="F22" s="91"/>
      <c r="G22" s="91"/>
      <c r="H22" s="91"/>
      <c r="I22" s="157">
        <f t="shared" si="1"/>
        <v>1</v>
      </c>
      <c r="S22" s="158"/>
    </row>
    <row r="23" spans="1:19" x14ac:dyDescent="0.25">
      <c r="A23" s="156">
        <v>2028</v>
      </c>
      <c r="B23" s="168">
        <v>0.31609999999999999</v>
      </c>
      <c r="C23" s="168">
        <f t="shared" si="0"/>
        <v>0.2802</v>
      </c>
      <c r="D23" s="168">
        <v>1.35E-2</v>
      </c>
      <c r="E23" s="168">
        <v>0.39019999999999999</v>
      </c>
      <c r="F23" s="91"/>
      <c r="G23" s="91"/>
      <c r="H23" s="91"/>
      <c r="I23" s="157">
        <f t="shared" si="1"/>
        <v>1</v>
      </c>
      <c r="S23" s="158"/>
    </row>
    <row r="24" spans="1:19" x14ac:dyDescent="0.25">
      <c r="A24" s="156">
        <v>2029</v>
      </c>
      <c r="B24" s="168">
        <v>0.31609999999999999</v>
      </c>
      <c r="C24" s="168">
        <f t="shared" si="0"/>
        <v>0.2802</v>
      </c>
      <c r="D24" s="168">
        <v>1.35E-2</v>
      </c>
      <c r="E24" s="168">
        <v>0.39019999999999999</v>
      </c>
      <c r="F24" s="91"/>
      <c r="G24" s="91"/>
      <c r="H24" s="91"/>
      <c r="I24" s="157">
        <f t="shared" si="1"/>
        <v>1</v>
      </c>
      <c r="S24" s="158"/>
    </row>
    <row r="25" spans="1:19" x14ac:dyDescent="0.25">
      <c r="A25" s="156">
        <v>2030</v>
      </c>
      <c r="B25" s="168">
        <v>0.31609999999999999</v>
      </c>
      <c r="C25" s="168">
        <f t="shared" si="0"/>
        <v>0.2802</v>
      </c>
      <c r="D25" s="168">
        <v>1.35E-2</v>
      </c>
      <c r="E25" s="168">
        <v>0.39019999999999999</v>
      </c>
      <c r="F25" s="91"/>
      <c r="G25" s="91"/>
      <c r="H25" s="91"/>
      <c r="I25" s="157">
        <f t="shared" si="1"/>
        <v>1</v>
      </c>
      <c r="S25" s="158"/>
    </row>
    <row r="26" spans="1:19" ht="14.25" customHeight="1" x14ac:dyDescent="0.25">
      <c r="B26" s="91">
        <v>0.31609999999999999</v>
      </c>
      <c r="C26" s="91">
        <v>0.04</v>
      </c>
      <c r="D26" s="91">
        <v>1.35E-2</v>
      </c>
      <c r="E26" s="91">
        <v>0.39019999999999999</v>
      </c>
      <c r="F26" s="91"/>
      <c r="G26" s="91"/>
      <c r="H26" s="91"/>
    </row>
    <row r="27" spans="1:19" x14ac:dyDescent="0.25">
      <c r="A27" s="173" t="s">
        <v>11</v>
      </c>
      <c r="B27" s="174" t="s">
        <v>150</v>
      </c>
      <c r="C27" s="175"/>
      <c r="D27" s="175"/>
      <c r="E27" s="175"/>
      <c r="F27" s="175"/>
      <c r="G27" s="175"/>
      <c r="H27" s="176"/>
      <c r="I27" s="177" t="s">
        <v>40</v>
      </c>
    </row>
    <row r="28" spans="1:19" ht="25.5" x14ac:dyDescent="0.25">
      <c r="A28" s="173"/>
      <c r="B28" s="151" t="s">
        <v>1</v>
      </c>
      <c r="C28" s="151" t="s">
        <v>2</v>
      </c>
      <c r="D28" s="151" t="s">
        <v>149</v>
      </c>
      <c r="E28" s="145" t="s">
        <v>4</v>
      </c>
      <c r="F28" s="151" t="s">
        <v>5</v>
      </c>
      <c r="G28" s="151" t="s">
        <v>128</v>
      </c>
      <c r="H28" s="145" t="s">
        <v>7</v>
      </c>
      <c r="I28" s="178"/>
    </row>
    <row r="29" spans="1:19" x14ac:dyDescent="0.25">
      <c r="A29" s="156">
        <v>2011</v>
      </c>
      <c r="B29" s="161">
        <f t="shared" ref="B29:H29" si="3">$I$29*B6</f>
        <v>8.9782515200000006</v>
      </c>
      <c r="C29" s="161">
        <f t="shared" si="3"/>
        <v>7.9585766400000004</v>
      </c>
      <c r="D29" s="161">
        <f t="shared" si="3"/>
        <v>0.38344320000000004</v>
      </c>
      <c r="E29" s="162">
        <f t="shared" si="3"/>
        <v>11.08292864</v>
      </c>
      <c r="F29" s="161">
        <f t="shared" si="3"/>
        <v>0</v>
      </c>
      <c r="G29" s="161">
        <f t="shared" si="3"/>
        <v>0</v>
      </c>
      <c r="H29" s="163">
        <f t="shared" si="3"/>
        <v>0</v>
      </c>
      <c r="I29" s="164">
        <f>'timbulan sampah'!E5</f>
        <v>28.403200000000002</v>
      </c>
      <c r="J29" s="165">
        <f>SUM(B29:H29)</f>
        <v>28.403199999999998</v>
      </c>
    </row>
    <row r="30" spans="1:19" x14ac:dyDescent="0.25">
      <c r="A30" s="156">
        <v>2012</v>
      </c>
      <c r="B30" s="161">
        <f t="shared" ref="B30:H30" si="4">$I$30*B7</f>
        <v>9.0468452199999998</v>
      </c>
      <c r="C30" s="161">
        <f t="shared" si="4"/>
        <v>8.0193800399999997</v>
      </c>
      <c r="D30" s="161">
        <f t="shared" si="4"/>
        <v>0.38637270000000001</v>
      </c>
      <c r="E30" s="162">
        <f t="shared" si="4"/>
        <v>11.16760204</v>
      </c>
      <c r="F30" s="161">
        <f t="shared" si="4"/>
        <v>0</v>
      </c>
      <c r="G30" s="161">
        <f t="shared" si="4"/>
        <v>0</v>
      </c>
      <c r="H30" s="163">
        <f t="shared" si="4"/>
        <v>0</v>
      </c>
      <c r="I30" s="164">
        <f>'timbulan sampah'!E6</f>
        <v>28.620200000000001</v>
      </c>
      <c r="J30" s="165">
        <f t="shared" ref="J30:J48" si="5">SUM(B30:H30)</f>
        <v>28.620199999999997</v>
      </c>
    </row>
    <row r="31" spans="1:19" x14ac:dyDescent="0.25">
      <c r="A31" s="156">
        <v>2013</v>
      </c>
      <c r="B31" s="161">
        <f t="shared" ref="B31:H31" si="6">$I$31*B8</f>
        <v>9.1048179600000001</v>
      </c>
      <c r="C31" s="161">
        <f t="shared" si="6"/>
        <v>8.0707687200000002</v>
      </c>
      <c r="D31" s="161">
        <f t="shared" si="6"/>
        <v>0.38884860000000004</v>
      </c>
      <c r="E31" s="162">
        <f t="shared" si="6"/>
        <v>11.239164720000002</v>
      </c>
      <c r="F31" s="161">
        <f t="shared" si="6"/>
        <v>0</v>
      </c>
      <c r="G31" s="161">
        <f t="shared" si="6"/>
        <v>0</v>
      </c>
      <c r="H31" s="163">
        <f t="shared" si="6"/>
        <v>0</v>
      </c>
      <c r="I31" s="164">
        <f>'timbulan sampah'!E7</f>
        <v>28.803600000000003</v>
      </c>
      <c r="J31" s="165">
        <f t="shared" si="5"/>
        <v>28.803600000000003</v>
      </c>
    </row>
    <row r="32" spans="1:19" x14ac:dyDescent="0.25">
      <c r="A32" s="156">
        <v>2014</v>
      </c>
      <c r="B32" s="161">
        <f t="shared" ref="B32:H32" si="7">$I$32*B9</f>
        <v>9.1600722399999999</v>
      </c>
      <c r="C32" s="161">
        <f t="shared" si="7"/>
        <v>8.1197476799999997</v>
      </c>
      <c r="D32" s="161">
        <f t="shared" si="7"/>
        <v>0.39120840000000001</v>
      </c>
      <c r="E32" s="162">
        <f t="shared" si="7"/>
        <v>11.307371679999999</v>
      </c>
      <c r="F32" s="161">
        <f t="shared" si="7"/>
        <v>0</v>
      </c>
      <c r="G32" s="161">
        <f t="shared" si="7"/>
        <v>0</v>
      </c>
      <c r="H32" s="163">
        <f t="shared" si="7"/>
        <v>0</v>
      </c>
      <c r="I32" s="164">
        <f>'timbulan sampah'!E8</f>
        <v>28.978400000000001</v>
      </c>
      <c r="J32" s="165">
        <f t="shared" si="5"/>
        <v>28.978400000000001</v>
      </c>
      <c r="P32" s="155"/>
    </row>
    <row r="33" spans="1:16" x14ac:dyDescent="0.25">
      <c r="A33" s="156">
        <v>2015</v>
      </c>
      <c r="B33" s="161">
        <f t="shared" ref="B33:H33" si="8">$I$33*B10</f>
        <v>9.2198783600000009</v>
      </c>
      <c r="C33" s="161">
        <f t="shared" si="8"/>
        <v>8.1727615200000017</v>
      </c>
      <c r="D33" s="161">
        <f t="shared" si="8"/>
        <v>0.39376260000000007</v>
      </c>
      <c r="E33" s="162">
        <f t="shared" si="8"/>
        <v>11.381197520000001</v>
      </c>
      <c r="F33" s="161">
        <f t="shared" si="8"/>
        <v>0</v>
      </c>
      <c r="G33" s="161">
        <f t="shared" si="8"/>
        <v>0</v>
      </c>
      <c r="H33" s="163">
        <f t="shared" si="8"/>
        <v>0</v>
      </c>
      <c r="I33" s="164">
        <f>'timbulan sampah'!E9</f>
        <v>29.167600000000004</v>
      </c>
      <c r="J33" s="165">
        <f t="shared" si="5"/>
        <v>29.167600000000004</v>
      </c>
      <c r="P33" s="155"/>
    </row>
    <row r="34" spans="1:16" x14ac:dyDescent="0.25">
      <c r="A34" s="156">
        <v>2016</v>
      </c>
      <c r="B34" s="161">
        <f t="shared" ref="B34:H34" si="9">$I$34*B11</f>
        <v>9.24952854</v>
      </c>
      <c r="C34" s="161">
        <f t="shared" si="9"/>
        <v>8.1990442800000007</v>
      </c>
      <c r="D34" s="161">
        <f t="shared" si="9"/>
        <v>0.39502890000000002</v>
      </c>
      <c r="E34" s="162">
        <f t="shared" si="9"/>
        <v>11.417798280000001</v>
      </c>
      <c r="F34" s="161">
        <f t="shared" si="9"/>
        <v>0</v>
      </c>
      <c r="G34" s="161">
        <f t="shared" si="9"/>
        <v>0</v>
      </c>
      <c r="H34" s="163">
        <f t="shared" si="9"/>
        <v>0</v>
      </c>
      <c r="I34" s="164">
        <f>'timbulan sampah'!E10</f>
        <v>29.261400000000002</v>
      </c>
      <c r="J34" s="165">
        <f t="shared" si="5"/>
        <v>29.261400000000002</v>
      </c>
    </row>
    <row r="35" spans="1:16" x14ac:dyDescent="0.25">
      <c r="A35" s="156">
        <v>2017</v>
      </c>
      <c r="B35" s="161">
        <f t="shared" ref="B35:H35" si="10">$I$35*B12</f>
        <v>9.5648382899999991</v>
      </c>
      <c r="C35" s="161">
        <f t="shared" si="10"/>
        <v>8.4785437800000008</v>
      </c>
      <c r="D35" s="161">
        <f t="shared" si="10"/>
        <v>0.40849515000000003</v>
      </c>
      <c r="E35" s="162">
        <f t="shared" si="10"/>
        <v>11.80702278</v>
      </c>
      <c r="F35" s="161">
        <f t="shared" si="10"/>
        <v>0</v>
      </c>
      <c r="G35" s="161">
        <f t="shared" si="10"/>
        <v>0</v>
      </c>
      <c r="H35" s="163">
        <f t="shared" si="10"/>
        <v>0</v>
      </c>
      <c r="I35" s="164">
        <f>'timbulan sampah'!E11</f>
        <v>30.258900000000001</v>
      </c>
      <c r="J35" s="165">
        <f t="shared" si="5"/>
        <v>30.258900000000001</v>
      </c>
    </row>
    <row r="36" spans="1:16" x14ac:dyDescent="0.25">
      <c r="A36" s="156">
        <v>2018</v>
      </c>
      <c r="B36" s="161">
        <f t="shared" ref="B36:H36" si="11">$I$36*B13</f>
        <v>9.5825873050000006</v>
      </c>
      <c r="C36" s="161">
        <f t="shared" si="11"/>
        <v>8.4942770100000011</v>
      </c>
      <c r="D36" s="161">
        <f t="shared" si="11"/>
        <v>0.40925317500000002</v>
      </c>
      <c r="E36" s="162">
        <f t="shared" si="11"/>
        <v>11.828932510000001</v>
      </c>
      <c r="F36" s="161">
        <f t="shared" si="11"/>
        <v>0</v>
      </c>
      <c r="G36" s="161">
        <f t="shared" si="11"/>
        <v>0</v>
      </c>
      <c r="H36" s="163">
        <f t="shared" si="11"/>
        <v>0</v>
      </c>
      <c r="I36" s="164">
        <f>'timbulan sampah'!E12</f>
        <v>30.315050000000003</v>
      </c>
      <c r="J36" s="165">
        <f t="shared" si="5"/>
        <v>30.315050000000003</v>
      </c>
    </row>
    <row r="37" spans="1:16" x14ac:dyDescent="0.25">
      <c r="A37" s="156">
        <v>2019</v>
      </c>
      <c r="B37" s="161">
        <f t="shared" ref="B37:H37" si="12">$I$37*B14</f>
        <v>9.6003363200000003</v>
      </c>
      <c r="C37" s="161">
        <f t="shared" si="12"/>
        <v>8.5100102400000015</v>
      </c>
      <c r="D37" s="161">
        <f t="shared" si="12"/>
        <v>0.41001120000000002</v>
      </c>
      <c r="E37" s="162">
        <f t="shared" si="12"/>
        <v>11.85084224</v>
      </c>
      <c r="F37" s="161">
        <f t="shared" si="12"/>
        <v>0</v>
      </c>
      <c r="G37" s="161">
        <f t="shared" si="12"/>
        <v>0</v>
      </c>
      <c r="H37" s="163">
        <f t="shared" si="12"/>
        <v>0</v>
      </c>
      <c r="I37" s="164">
        <f>'timbulan sampah'!E13</f>
        <v>30.371200000000002</v>
      </c>
      <c r="J37" s="165">
        <f t="shared" si="5"/>
        <v>30.371200000000002</v>
      </c>
    </row>
    <row r="38" spans="1:16" x14ac:dyDescent="0.25">
      <c r="A38" s="156">
        <v>2020</v>
      </c>
      <c r="B38" s="161">
        <f t="shared" ref="B38:H38" si="13">$I$38*B15</f>
        <v>9.618085335</v>
      </c>
      <c r="C38" s="161">
        <f t="shared" si="13"/>
        <v>8.5257434700000001</v>
      </c>
      <c r="D38" s="161">
        <f t="shared" si="13"/>
        <v>0.41076922500000002</v>
      </c>
      <c r="E38" s="162">
        <f t="shared" si="13"/>
        <v>11.872751969999999</v>
      </c>
      <c r="F38" s="161">
        <f t="shared" si="13"/>
        <v>0</v>
      </c>
      <c r="G38" s="161">
        <f t="shared" si="13"/>
        <v>0</v>
      </c>
      <c r="H38" s="163">
        <f t="shared" si="13"/>
        <v>0</v>
      </c>
      <c r="I38" s="164">
        <f>'timbulan sampah'!E14</f>
        <v>30.427350000000001</v>
      </c>
      <c r="J38" s="165">
        <f t="shared" si="5"/>
        <v>30.427349999999997</v>
      </c>
    </row>
    <row r="39" spans="1:16" x14ac:dyDescent="0.25">
      <c r="A39" s="156">
        <v>2021</v>
      </c>
      <c r="B39" s="161">
        <f t="shared" ref="B39:H39" si="14">$I$39*B16</f>
        <v>9.6358343499999997</v>
      </c>
      <c r="C39" s="161">
        <f t="shared" si="14"/>
        <v>8.5414767000000005</v>
      </c>
      <c r="D39" s="161">
        <f t="shared" si="14"/>
        <v>0.41152725000000001</v>
      </c>
      <c r="E39" s="162">
        <f t="shared" si="14"/>
        <v>11.8946617</v>
      </c>
      <c r="F39" s="161">
        <f t="shared" si="14"/>
        <v>0</v>
      </c>
      <c r="G39" s="161">
        <f t="shared" si="14"/>
        <v>0</v>
      </c>
      <c r="H39" s="163">
        <f t="shared" si="14"/>
        <v>0</v>
      </c>
      <c r="I39" s="164">
        <f>'timbulan sampah'!E15</f>
        <v>30.483499999999999</v>
      </c>
      <c r="J39" s="165">
        <f t="shared" si="5"/>
        <v>30.483499999999999</v>
      </c>
    </row>
    <row r="40" spans="1:16" x14ac:dyDescent="0.25">
      <c r="A40" s="156">
        <v>2022</v>
      </c>
      <c r="B40" s="161">
        <f t="shared" ref="B40:H40" si="15">$I$40*B17</f>
        <v>9.6535833650000011</v>
      </c>
      <c r="C40" s="161">
        <f t="shared" si="15"/>
        <v>8.5572099300000009</v>
      </c>
      <c r="D40" s="161">
        <f t="shared" si="15"/>
        <v>0.41228527500000001</v>
      </c>
      <c r="E40" s="162">
        <f t="shared" si="15"/>
        <v>11.916571430000001</v>
      </c>
      <c r="F40" s="161">
        <f t="shared" si="15"/>
        <v>0</v>
      </c>
      <c r="G40" s="161">
        <f t="shared" si="15"/>
        <v>0</v>
      </c>
      <c r="H40" s="163">
        <f t="shared" si="15"/>
        <v>0</v>
      </c>
      <c r="I40" s="164">
        <f>'timbulan sampah'!E16</f>
        <v>30.539650000000002</v>
      </c>
      <c r="J40" s="165">
        <f t="shared" si="5"/>
        <v>30.539650000000002</v>
      </c>
    </row>
    <row r="41" spans="1:16" x14ac:dyDescent="0.25">
      <c r="A41" s="156">
        <v>2023</v>
      </c>
      <c r="B41" s="161">
        <f t="shared" ref="B41:H41" si="16">$I$41*B18</f>
        <v>9.6713323800000008</v>
      </c>
      <c r="C41" s="161">
        <f t="shared" si="16"/>
        <v>8.5729431600000012</v>
      </c>
      <c r="D41" s="161">
        <f t="shared" si="16"/>
        <v>0.41304330000000006</v>
      </c>
      <c r="E41" s="162">
        <f t="shared" si="16"/>
        <v>11.938481160000002</v>
      </c>
      <c r="F41" s="161">
        <f t="shared" si="16"/>
        <v>0</v>
      </c>
      <c r="G41" s="161">
        <f t="shared" si="16"/>
        <v>0</v>
      </c>
      <c r="H41" s="163">
        <f t="shared" si="16"/>
        <v>0</v>
      </c>
      <c r="I41" s="164">
        <f>'timbulan sampah'!E17</f>
        <v>30.595800000000004</v>
      </c>
      <c r="J41" s="165">
        <f t="shared" si="5"/>
        <v>30.595800000000008</v>
      </c>
    </row>
    <row r="42" spans="1:16" x14ac:dyDescent="0.25">
      <c r="A42" s="156">
        <v>2024</v>
      </c>
      <c r="B42" s="161">
        <f t="shared" ref="B42:H42" si="17">$I$42*B19</f>
        <v>9.6890813949999988</v>
      </c>
      <c r="C42" s="161">
        <f t="shared" si="17"/>
        <v>8.5886763899999998</v>
      </c>
      <c r="D42" s="161">
        <f t="shared" si="17"/>
        <v>0.413801325</v>
      </c>
      <c r="E42" s="162">
        <f t="shared" si="17"/>
        <v>11.960390889999999</v>
      </c>
      <c r="F42" s="161">
        <f t="shared" si="17"/>
        <v>0</v>
      </c>
      <c r="G42" s="161">
        <f t="shared" si="17"/>
        <v>0</v>
      </c>
      <c r="H42" s="163">
        <f t="shared" si="17"/>
        <v>0</v>
      </c>
      <c r="I42" s="164">
        <f>'timbulan sampah'!E18</f>
        <v>30.651949999999999</v>
      </c>
      <c r="J42" s="165">
        <f t="shared" si="5"/>
        <v>30.651949999999999</v>
      </c>
    </row>
    <row r="43" spans="1:16" x14ac:dyDescent="0.25">
      <c r="A43" s="156">
        <v>2025</v>
      </c>
      <c r="B43" s="161">
        <f t="shared" ref="B43:H43" si="18">$I$43*B20</f>
        <v>9.7068304100000002</v>
      </c>
      <c r="C43" s="161">
        <f t="shared" si="18"/>
        <v>8.6044096200000002</v>
      </c>
      <c r="D43" s="161">
        <f t="shared" si="18"/>
        <v>0.41455934999999999</v>
      </c>
      <c r="E43" s="162">
        <f t="shared" si="18"/>
        <v>11.98230062</v>
      </c>
      <c r="F43" s="161">
        <f t="shared" si="18"/>
        <v>0</v>
      </c>
      <c r="G43" s="161">
        <f t="shared" si="18"/>
        <v>0</v>
      </c>
      <c r="H43" s="163">
        <f t="shared" si="18"/>
        <v>0</v>
      </c>
      <c r="I43" s="164">
        <f>'timbulan sampah'!E19</f>
        <v>30.708100000000002</v>
      </c>
      <c r="J43" s="165">
        <f t="shared" si="5"/>
        <v>30.708100000000002</v>
      </c>
    </row>
    <row r="44" spans="1:16" x14ac:dyDescent="0.25">
      <c r="A44" s="156">
        <v>2026</v>
      </c>
      <c r="B44" s="161">
        <f t="shared" ref="B44:H44" si="19">$I$44*B21</f>
        <v>9.7245794249999999</v>
      </c>
      <c r="C44" s="161">
        <f t="shared" si="19"/>
        <v>8.6201428500000006</v>
      </c>
      <c r="D44" s="161">
        <f t="shared" si="19"/>
        <v>0.41531737499999999</v>
      </c>
      <c r="E44" s="162">
        <f t="shared" si="19"/>
        <v>12.004210349999999</v>
      </c>
      <c r="F44" s="161">
        <f t="shared" si="19"/>
        <v>0</v>
      </c>
      <c r="G44" s="161">
        <f t="shared" si="19"/>
        <v>0</v>
      </c>
      <c r="H44" s="163">
        <f t="shared" si="19"/>
        <v>0</v>
      </c>
      <c r="I44" s="164">
        <f>'timbulan sampah'!E20</f>
        <v>30.764250000000001</v>
      </c>
      <c r="J44" s="165">
        <f t="shared" si="5"/>
        <v>30.764250000000004</v>
      </c>
    </row>
    <row r="45" spans="1:16" x14ac:dyDescent="0.25">
      <c r="A45" s="156">
        <v>2027</v>
      </c>
      <c r="B45" s="161">
        <f t="shared" ref="B45:H45" si="20">$I$45*B22</f>
        <v>9.7423284400000014</v>
      </c>
      <c r="C45" s="161">
        <f t="shared" si="20"/>
        <v>8.635876080000001</v>
      </c>
      <c r="D45" s="161">
        <f t="shared" si="20"/>
        <v>0.41607540000000004</v>
      </c>
      <c r="E45" s="162">
        <f t="shared" si="20"/>
        <v>12.02612008</v>
      </c>
      <c r="F45" s="161">
        <f t="shared" si="20"/>
        <v>0</v>
      </c>
      <c r="G45" s="161">
        <f t="shared" si="20"/>
        <v>0</v>
      </c>
      <c r="H45" s="163">
        <f t="shared" si="20"/>
        <v>0</v>
      </c>
      <c r="I45" s="164">
        <f>'timbulan sampah'!E21</f>
        <v>30.820400000000003</v>
      </c>
      <c r="J45" s="165">
        <f t="shared" si="5"/>
        <v>30.820400000000006</v>
      </c>
    </row>
    <row r="46" spans="1:16" x14ac:dyDescent="0.25">
      <c r="A46" s="156">
        <v>2028</v>
      </c>
      <c r="B46" s="161">
        <f t="shared" ref="B46:H46" si="21">$I$46*B23</f>
        <v>9.7600774550000011</v>
      </c>
      <c r="C46" s="161">
        <f t="shared" si="21"/>
        <v>8.6516093100000013</v>
      </c>
      <c r="D46" s="161">
        <f t="shared" si="21"/>
        <v>0.41683342500000004</v>
      </c>
      <c r="E46" s="162">
        <f t="shared" si="21"/>
        <v>12.048029810000001</v>
      </c>
      <c r="F46" s="161">
        <f t="shared" si="21"/>
        <v>0</v>
      </c>
      <c r="G46" s="161">
        <f t="shared" si="21"/>
        <v>0</v>
      </c>
      <c r="H46" s="162">
        <f t="shared" si="21"/>
        <v>0</v>
      </c>
      <c r="I46" s="164">
        <f>'timbulan sampah'!E22</f>
        <v>30.876550000000002</v>
      </c>
      <c r="J46" s="165">
        <f t="shared" si="5"/>
        <v>30.876550000000002</v>
      </c>
    </row>
    <row r="47" spans="1:16" x14ac:dyDescent="0.25">
      <c r="A47" s="156">
        <v>2029</v>
      </c>
      <c r="B47" s="161">
        <f t="shared" ref="B47:H47" si="22">$I$47*B24</f>
        <v>9.777826469999999</v>
      </c>
      <c r="C47" s="161">
        <f t="shared" si="22"/>
        <v>8.6673425399999999</v>
      </c>
      <c r="D47" s="161">
        <f t="shared" si="22"/>
        <v>0.41759144999999998</v>
      </c>
      <c r="E47" s="162">
        <f t="shared" si="22"/>
        <v>12.06993954</v>
      </c>
      <c r="F47" s="161">
        <f t="shared" si="22"/>
        <v>0</v>
      </c>
      <c r="G47" s="161">
        <f t="shared" si="22"/>
        <v>0</v>
      </c>
      <c r="H47" s="162">
        <f t="shared" si="22"/>
        <v>0</v>
      </c>
      <c r="I47" s="164">
        <f>'timbulan sampah'!E23</f>
        <v>30.932700000000001</v>
      </c>
      <c r="J47" s="165">
        <f t="shared" si="5"/>
        <v>30.932700000000001</v>
      </c>
    </row>
    <row r="48" spans="1:16" x14ac:dyDescent="0.25">
      <c r="A48" s="156">
        <v>2030</v>
      </c>
      <c r="B48" s="161">
        <f t="shared" ref="B48:H48" si="23">$I$48*B25</f>
        <v>9.7955754850000005</v>
      </c>
      <c r="C48" s="161">
        <f t="shared" si="23"/>
        <v>8.6830757700000003</v>
      </c>
      <c r="D48" s="161">
        <f t="shared" si="23"/>
        <v>0.41834947500000003</v>
      </c>
      <c r="E48" s="162">
        <f t="shared" si="23"/>
        <v>12.091849270000001</v>
      </c>
      <c r="F48" s="161">
        <f t="shared" si="23"/>
        <v>0</v>
      </c>
      <c r="G48" s="161">
        <f t="shared" si="23"/>
        <v>0</v>
      </c>
      <c r="H48" s="162">
        <f t="shared" si="23"/>
        <v>0</v>
      </c>
      <c r="I48" s="164">
        <f>'timbulan sampah'!E24</f>
        <v>30.988850000000003</v>
      </c>
      <c r="J48" s="165">
        <f t="shared" si="5"/>
        <v>30.988850000000003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U106" sqref="U106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126</v>
      </c>
    </row>
    <row r="6" spans="1:24" ht="35.25" customHeight="1" x14ac:dyDescent="0.25">
      <c r="A6" s="190" t="s">
        <v>11</v>
      </c>
      <c r="B6" s="196" t="s">
        <v>118</v>
      </c>
      <c r="C6" s="196"/>
      <c r="D6" s="196"/>
      <c r="E6" s="106" t="s">
        <v>114</v>
      </c>
      <c r="F6" s="190" t="s">
        <v>11</v>
      </c>
      <c r="G6" s="196" t="s">
        <v>111</v>
      </c>
      <c r="H6" s="196"/>
      <c r="I6" s="196"/>
      <c r="J6" s="96" t="s">
        <v>115</v>
      </c>
      <c r="K6" s="190" t="s">
        <v>11</v>
      </c>
      <c r="L6" s="196" t="s">
        <v>112</v>
      </c>
      <c r="M6" s="196"/>
      <c r="N6" s="196"/>
      <c r="O6" s="96" t="s">
        <v>115</v>
      </c>
      <c r="P6" s="190" t="s">
        <v>11</v>
      </c>
      <c r="Q6" s="196" t="s">
        <v>113</v>
      </c>
      <c r="R6" s="196"/>
      <c r="S6" s="196"/>
      <c r="X6" s="97"/>
    </row>
    <row r="7" spans="1:24" ht="18" x14ac:dyDescent="0.25">
      <c r="A7" s="190"/>
      <c r="B7" s="190" t="s">
        <v>129</v>
      </c>
      <c r="C7" s="190"/>
      <c r="D7" s="196" t="s">
        <v>130</v>
      </c>
      <c r="E7" s="107"/>
      <c r="F7" s="190"/>
      <c r="G7" s="190" t="s">
        <v>129</v>
      </c>
      <c r="H7" s="190"/>
      <c r="I7" s="196" t="s">
        <v>130</v>
      </c>
      <c r="K7" s="190"/>
      <c r="L7" s="190" t="s">
        <v>129</v>
      </c>
      <c r="M7" s="190"/>
      <c r="N7" s="196" t="s">
        <v>130</v>
      </c>
      <c r="P7" s="190"/>
      <c r="Q7" s="190" t="s">
        <v>129</v>
      </c>
      <c r="R7" s="190"/>
      <c r="S7" s="196" t="s">
        <v>130</v>
      </c>
      <c r="X7" s="97"/>
    </row>
    <row r="8" spans="1:24" ht="18" x14ac:dyDescent="0.25">
      <c r="A8" s="190"/>
      <c r="B8" s="108" t="s">
        <v>131</v>
      </c>
      <c r="C8" s="108" t="s">
        <v>132</v>
      </c>
      <c r="D8" s="196"/>
      <c r="E8" s="109"/>
      <c r="F8" s="190"/>
      <c r="G8" s="108" t="s">
        <v>131</v>
      </c>
      <c r="H8" s="108" t="s">
        <v>132</v>
      </c>
      <c r="I8" s="196"/>
      <c r="K8" s="190"/>
      <c r="L8" s="108" t="s">
        <v>131</v>
      </c>
      <c r="M8" s="108" t="s">
        <v>132</v>
      </c>
      <c r="N8" s="196"/>
      <c r="P8" s="190"/>
      <c r="Q8" s="108" t="s">
        <v>131</v>
      </c>
      <c r="R8" s="108" t="s">
        <v>132</v>
      </c>
      <c r="S8" s="196"/>
    </row>
    <row r="9" spans="1:24" x14ac:dyDescent="0.25">
      <c r="A9" s="88">
        <v>2011</v>
      </c>
      <c r="B9" s="150">
        <f>[2]Results!O28</f>
        <v>0.52024645146955328</v>
      </c>
      <c r="C9" s="110">
        <f>B9*21</f>
        <v>10.925175480860618</v>
      </c>
      <c r="D9" s="111">
        <f t="shared" ref="D9:D14" si="0">E9+C9</f>
        <v>10.925175480860618</v>
      </c>
      <c r="E9" s="112"/>
      <c r="F9" s="88">
        <v>2011</v>
      </c>
      <c r="G9" s="150">
        <f>[3]Results!O28</f>
        <v>0</v>
      </c>
      <c r="H9" s="110">
        <f>G9*21</f>
        <v>0</v>
      </c>
      <c r="I9" s="111">
        <f t="shared" ref="I9:I14" si="1">J9+H9</f>
        <v>0</v>
      </c>
      <c r="K9" s="88">
        <v>2011</v>
      </c>
      <c r="L9" s="149">
        <f>[4]Results!O28</f>
        <v>0.36892896096619748</v>
      </c>
      <c r="M9" s="110">
        <f>L9*21</f>
        <v>7.7475081802901471</v>
      </c>
      <c r="N9" s="111">
        <f>O9+M9</f>
        <v>7.7475081802901471</v>
      </c>
      <c r="P9" s="88">
        <v>2011</v>
      </c>
      <c r="Q9" s="149">
        <f>[5]Results!O28</f>
        <v>0</v>
      </c>
      <c r="R9" s="113">
        <f>Q9*21</f>
        <v>0</v>
      </c>
      <c r="S9" s="114">
        <f>T9+R9</f>
        <v>0</v>
      </c>
    </row>
    <row r="10" spans="1:24" x14ac:dyDescent="0.25">
      <c r="A10" s="88">
        <v>2012</v>
      </c>
      <c r="B10" s="150">
        <f>[2]Results!O29</f>
        <v>0.50061531918364777</v>
      </c>
      <c r="C10" s="110">
        <f t="shared" ref="C10:C14" si="2">B10*21</f>
        <v>10.512921702856604</v>
      </c>
      <c r="D10" s="111">
        <f t="shared" si="0"/>
        <v>10.512921702856604</v>
      </c>
      <c r="E10" s="112"/>
      <c r="F10" s="88">
        <v>2012</v>
      </c>
      <c r="G10" s="150">
        <f>[3]Results!O29</f>
        <v>0</v>
      </c>
      <c r="H10" s="110">
        <f t="shared" ref="H10:H14" si="3">G10*21</f>
        <v>0</v>
      </c>
      <c r="I10" s="111">
        <f t="shared" si="1"/>
        <v>0</v>
      </c>
      <c r="K10" s="88">
        <v>2012</v>
      </c>
      <c r="L10" s="149">
        <f>[4]Results!O29</f>
        <v>0.35500768727683163</v>
      </c>
      <c r="M10" s="110">
        <f t="shared" ref="M10:M14" si="4">L10*21</f>
        <v>7.4551614328134646</v>
      </c>
      <c r="N10" s="111">
        <f t="shared" ref="N10:N14" si="5">O10+M10</f>
        <v>7.4551614328134646</v>
      </c>
      <c r="P10" s="88">
        <v>2012</v>
      </c>
      <c r="Q10" s="149">
        <f>[5]Results!O29</f>
        <v>0</v>
      </c>
      <c r="R10" s="113">
        <f t="shared" ref="R10:R14" si="6">Q10*21</f>
        <v>0</v>
      </c>
      <c r="S10" s="114">
        <f t="shared" ref="S10:S14" si="7">T10+R10</f>
        <v>0</v>
      </c>
    </row>
    <row r="11" spans="1:24" x14ac:dyDescent="0.25">
      <c r="A11" s="88">
        <v>2013</v>
      </c>
      <c r="B11" s="150">
        <f>[2]Results!O30</f>
        <v>0.48889696233923063</v>
      </c>
      <c r="C11" s="110">
        <f t="shared" si="2"/>
        <v>10.266836209123843</v>
      </c>
      <c r="D11" s="111">
        <f t="shared" si="0"/>
        <v>10.266836209123843</v>
      </c>
      <c r="E11" s="112"/>
      <c r="F11" s="88">
        <v>2013</v>
      </c>
      <c r="G11" s="150">
        <f>[3]Results!O30</f>
        <v>0</v>
      </c>
      <c r="H11" s="110">
        <f t="shared" si="3"/>
        <v>0</v>
      </c>
      <c r="I11" s="111">
        <f t="shared" si="1"/>
        <v>0</v>
      </c>
      <c r="K11" s="88">
        <v>2013</v>
      </c>
      <c r="L11" s="149">
        <f>[4]Results!O30</f>
        <v>0.34669770034154357</v>
      </c>
      <c r="M11" s="110">
        <f t="shared" si="4"/>
        <v>7.2806517071724146</v>
      </c>
      <c r="N11" s="111">
        <f t="shared" si="5"/>
        <v>7.2806517071724146</v>
      </c>
      <c r="P11" s="88">
        <v>2013</v>
      </c>
      <c r="Q11" s="149">
        <f>[5]Results!O30</f>
        <v>0</v>
      </c>
      <c r="R11" s="113">
        <f t="shared" si="6"/>
        <v>0</v>
      </c>
      <c r="S11" s="114">
        <f t="shared" si="7"/>
        <v>0</v>
      </c>
    </row>
    <row r="12" spans="1:24" x14ac:dyDescent="0.25">
      <c r="A12" s="88">
        <v>2014</v>
      </c>
      <c r="B12" s="150">
        <f>[2]Results!O31</f>
        <v>0.48234514244127147</v>
      </c>
      <c r="C12" s="110">
        <f t="shared" si="2"/>
        <v>10.1292479912667</v>
      </c>
      <c r="D12" s="111">
        <f t="shared" si="0"/>
        <v>10.1292479912667</v>
      </c>
      <c r="E12" s="112"/>
      <c r="F12" s="88">
        <v>2014</v>
      </c>
      <c r="G12" s="150">
        <f>[3]Results!O31</f>
        <v>0</v>
      </c>
      <c r="H12" s="110">
        <f t="shared" si="3"/>
        <v>0</v>
      </c>
      <c r="I12" s="111">
        <f t="shared" si="1"/>
        <v>0</v>
      </c>
      <c r="K12" s="88">
        <v>2014</v>
      </c>
      <c r="L12" s="149">
        <f>[4]Results!O31</f>
        <v>0.34205152524402221</v>
      </c>
      <c r="M12" s="110">
        <f t="shared" si="4"/>
        <v>7.1830820301244662</v>
      </c>
      <c r="N12" s="111">
        <f t="shared" si="5"/>
        <v>7.1830820301244662</v>
      </c>
      <c r="P12" s="88">
        <v>2014</v>
      </c>
      <c r="Q12" s="149">
        <f>[5]Results!O31</f>
        <v>0</v>
      </c>
      <c r="R12" s="113">
        <f t="shared" si="6"/>
        <v>0</v>
      </c>
      <c r="S12" s="114">
        <f t="shared" si="7"/>
        <v>0</v>
      </c>
    </row>
    <row r="13" spans="1:24" x14ac:dyDescent="0.25">
      <c r="A13" s="88">
        <v>2015</v>
      </c>
      <c r="B13" s="150">
        <f>[2]Results!O32</f>
        <v>0.47921516908944589</v>
      </c>
      <c r="C13" s="110">
        <f t="shared" si="2"/>
        <v>10.063518550878364</v>
      </c>
      <c r="D13" s="111">
        <f t="shared" si="0"/>
        <v>10.063518550878364</v>
      </c>
      <c r="E13" s="112"/>
      <c r="F13" s="88">
        <v>2015</v>
      </c>
      <c r="G13" s="150">
        <f>[3]Results!O32</f>
        <v>0</v>
      </c>
      <c r="H13" s="110">
        <f t="shared" si="3"/>
        <v>0</v>
      </c>
      <c r="I13" s="111">
        <f t="shared" si="1"/>
        <v>0</v>
      </c>
      <c r="K13" s="88">
        <v>2015</v>
      </c>
      <c r="L13" s="149">
        <f>[4]Results!O32</f>
        <v>0.33983192756434732</v>
      </c>
      <c r="M13" s="110">
        <f t="shared" si="4"/>
        <v>7.1364704788512938</v>
      </c>
      <c r="N13" s="111">
        <f t="shared" si="5"/>
        <v>7.1364704788512938</v>
      </c>
      <c r="P13" s="88">
        <v>2015</v>
      </c>
      <c r="Q13" s="149">
        <f>[5]Results!O32</f>
        <v>0</v>
      </c>
      <c r="R13" s="113">
        <f t="shared" si="6"/>
        <v>0</v>
      </c>
      <c r="S13" s="114">
        <f t="shared" si="7"/>
        <v>0</v>
      </c>
    </row>
    <row r="14" spans="1:24" x14ac:dyDescent="0.25">
      <c r="A14" s="88">
        <v>2016</v>
      </c>
      <c r="B14" s="150">
        <f>[2]Results!O33</f>
        <v>0.47843049755232364</v>
      </c>
      <c r="C14" s="110">
        <f t="shared" si="2"/>
        <v>10.047040448598796</v>
      </c>
      <c r="D14" s="111">
        <f t="shared" si="0"/>
        <v>10.047040448598796</v>
      </c>
      <c r="E14" s="112"/>
      <c r="F14" s="88">
        <v>2016</v>
      </c>
      <c r="G14" s="150">
        <f>[3]Results!O33</f>
        <v>0</v>
      </c>
      <c r="H14" s="110">
        <f t="shared" si="3"/>
        <v>0</v>
      </c>
      <c r="I14" s="111">
        <f t="shared" si="1"/>
        <v>0</v>
      </c>
      <c r="K14" s="88">
        <v>2016</v>
      </c>
      <c r="L14" s="149">
        <f>[4]Results!O33</f>
        <v>0.3392754834904424</v>
      </c>
      <c r="M14" s="110">
        <f t="shared" si="4"/>
        <v>7.1247851532992907</v>
      </c>
      <c r="N14" s="111">
        <f t="shared" si="5"/>
        <v>7.1247851532992907</v>
      </c>
      <c r="P14" s="88">
        <v>2016</v>
      </c>
      <c r="Q14" s="149">
        <f>[5]Results!O33</f>
        <v>0</v>
      </c>
      <c r="R14" s="113">
        <f t="shared" si="6"/>
        <v>0</v>
      </c>
      <c r="S14" s="114">
        <f t="shared" si="7"/>
        <v>0</v>
      </c>
    </row>
    <row r="15" spans="1:24" x14ac:dyDescent="0.25">
      <c r="A15" s="88">
        <v>2017</v>
      </c>
      <c r="B15" s="150">
        <f>[2]Results!O34</f>
        <v>0.47881297601118755</v>
      </c>
      <c r="C15" s="110">
        <f t="shared" ref="C15:C29" si="8">B15*21</f>
        <v>10.055072496234938</v>
      </c>
      <c r="D15" s="111">
        <f t="shared" ref="D15:D29" si="9">E15+C15</f>
        <v>10.055072496234938</v>
      </c>
      <c r="E15" s="112"/>
      <c r="F15" s="88">
        <v>2017</v>
      </c>
      <c r="G15" s="150">
        <f>[3]Results!O34</f>
        <v>0</v>
      </c>
      <c r="H15" s="110">
        <f t="shared" ref="H15:H29" si="10">G15*21</f>
        <v>0</v>
      </c>
      <c r="I15" s="111">
        <f t="shared" ref="I15:I29" si="11">J15+H15</f>
        <v>0</v>
      </c>
      <c r="K15" s="88">
        <v>2017</v>
      </c>
      <c r="L15" s="149">
        <f>[4]Results!O34</f>
        <v>0.33954671528841451</v>
      </c>
      <c r="M15" s="110">
        <f t="shared" ref="M15:M29" si="12">L15*21</f>
        <v>7.1304810210567044</v>
      </c>
      <c r="N15" s="111">
        <f t="shared" ref="N15:N29" si="13">O15+M15</f>
        <v>7.1304810210567044</v>
      </c>
      <c r="P15" s="88">
        <v>2017</v>
      </c>
      <c r="Q15" s="149">
        <f>[5]Results!O34</f>
        <v>0</v>
      </c>
      <c r="R15" s="113">
        <f t="shared" ref="R15:R29" si="14">Q15*21</f>
        <v>0</v>
      </c>
      <c r="S15" s="114">
        <f t="shared" ref="S15:S29" si="15">T15+R15</f>
        <v>0</v>
      </c>
    </row>
    <row r="16" spans="1:24" x14ac:dyDescent="0.25">
      <c r="A16" s="88">
        <v>2018</v>
      </c>
      <c r="B16" s="150">
        <f>[2]Results!O35</f>
        <v>0.48372219738993066</v>
      </c>
      <c r="C16" s="110">
        <f t="shared" si="8"/>
        <v>10.158166145188543</v>
      </c>
      <c r="D16" s="111">
        <f t="shared" si="9"/>
        <v>10.158166145188543</v>
      </c>
      <c r="E16" s="112"/>
      <c r="F16" s="88">
        <v>2018</v>
      </c>
      <c r="G16" s="150">
        <f>[3]Results!O35</f>
        <v>0</v>
      </c>
      <c r="H16" s="110">
        <f t="shared" si="10"/>
        <v>0</v>
      </c>
      <c r="I16" s="111">
        <f t="shared" si="11"/>
        <v>0</v>
      </c>
      <c r="K16" s="88">
        <v>2018</v>
      </c>
      <c r="L16" s="149">
        <f>[4]Results!O35</f>
        <v>0.34302805367582062</v>
      </c>
      <c r="M16" s="110">
        <f t="shared" si="12"/>
        <v>7.2035891271922328</v>
      </c>
      <c r="N16" s="111">
        <f t="shared" si="13"/>
        <v>7.2035891271922328</v>
      </c>
      <c r="P16" s="88">
        <v>2018</v>
      </c>
      <c r="Q16" s="149">
        <f>[5]Results!O35</f>
        <v>0</v>
      </c>
      <c r="R16" s="113">
        <f t="shared" si="14"/>
        <v>0</v>
      </c>
      <c r="S16" s="114">
        <f t="shared" si="15"/>
        <v>0</v>
      </c>
    </row>
    <row r="17" spans="1:19" x14ac:dyDescent="0.25">
      <c r="A17" s="88">
        <v>2019</v>
      </c>
      <c r="B17" s="150">
        <f>[2]Results!O36</f>
        <v>0.48785958812165298</v>
      </c>
      <c r="C17" s="110">
        <f t="shared" si="8"/>
        <v>10.245051350554712</v>
      </c>
      <c r="D17" s="111">
        <f t="shared" si="9"/>
        <v>10.245051350554712</v>
      </c>
      <c r="E17" s="112"/>
      <c r="F17" s="88">
        <v>2019</v>
      </c>
      <c r="G17" s="150">
        <f>[3]Results!O36</f>
        <v>0</v>
      </c>
      <c r="H17" s="110">
        <f t="shared" si="10"/>
        <v>0</v>
      </c>
      <c r="I17" s="111">
        <f t="shared" si="11"/>
        <v>0</v>
      </c>
      <c r="K17" s="88">
        <v>2019</v>
      </c>
      <c r="L17" s="149">
        <f>[4]Results!O36</f>
        <v>0.3459620540124953</v>
      </c>
      <c r="M17" s="110">
        <f t="shared" si="12"/>
        <v>7.2652031342624017</v>
      </c>
      <c r="N17" s="111">
        <f t="shared" si="13"/>
        <v>7.2652031342624017</v>
      </c>
      <c r="P17" s="88">
        <v>2019</v>
      </c>
      <c r="Q17" s="149">
        <f>[5]Results!O36</f>
        <v>0</v>
      </c>
      <c r="R17" s="113">
        <f t="shared" si="14"/>
        <v>0</v>
      </c>
      <c r="S17" s="114">
        <f t="shared" si="15"/>
        <v>0</v>
      </c>
    </row>
    <row r="18" spans="1:19" x14ac:dyDescent="0.25">
      <c r="A18" s="88">
        <v>2020</v>
      </c>
      <c r="B18" s="150">
        <f>[2]Results!O37</f>
        <v>0.49143578816376082</v>
      </c>
      <c r="C18" s="110">
        <f t="shared" si="8"/>
        <v>10.320151551438977</v>
      </c>
      <c r="D18" s="111">
        <f t="shared" si="9"/>
        <v>10.320151551438977</v>
      </c>
      <c r="E18" s="112"/>
      <c r="F18" s="88">
        <v>2020</v>
      </c>
      <c r="G18" s="150">
        <f>[3]Results!O37</f>
        <v>0</v>
      </c>
      <c r="H18" s="110">
        <f t="shared" si="10"/>
        <v>0</v>
      </c>
      <c r="I18" s="111">
        <f t="shared" si="11"/>
        <v>0</v>
      </c>
      <c r="K18" s="88">
        <v>2020</v>
      </c>
      <c r="L18" s="149">
        <f>[4]Results!O37</f>
        <v>0.34849809008158383</v>
      </c>
      <c r="M18" s="110">
        <f t="shared" si="12"/>
        <v>7.3184598917132604</v>
      </c>
      <c r="N18" s="111">
        <f t="shared" si="13"/>
        <v>7.3184598917132604</v>
      </c>
      <c r="P18" s="88">
        <v>2020</v>
      </c>
      <c r="Q18" s="149">
        <f>[5]Results!O37</f>
        <v>0</v>
      </c>
      <c r="R18" s="113">
        <f t="shared" si="14"/>
        <v>0</v>
      </c>
      <c r="S18" s="114">
        <f t="shared" si="15"/>
        <v>0</v>
      </c>
    </row>
    <row r="19" spans="1:19" x14ac:dyDescent="0.25">
      <c r="A19" s="88">
        <v>2021</v>
      </c>
      <c r="B19" s="150">
        <f>[2]Results!O38</f>
        <v>0.4945962071982013</v>
      </c>
      <c r="C19" s="110">
        <f t="shared" si="8"/>
        <v>10.386520351162227</v>
      </c>
      <c r="D19" s="111">
        <f t="shared" si="9"/>
        <v>10.386520351162227</v>
      </c>
      <c r="E19" s="112"/>
      <c r="F19" s="88">
        <v>2021</v>
      </c>
      <c r="G19" s="150">
        <f>[3]Results!O38</f>
        <v>0</v>
      </c>
      <c r="H19" s="110">
        <f t="shared" si="10"/>
        <v>0</v>
      </c>
      <c r="I19" s="111">
        <f t="shared" si="11"/>
        <v>0</v>
      </c>
      <c r="K19" s="88">
        <v>2021</v>
      </c>
      <c r="L19" s="149">
        <f>[4]Results!O38</f>
        <v>0.35073927809411209</v>
      </c>
      <c r="M19" s="110">
        <f t="shared" si="12"/>
        <v>7.365524839976354</v>
      </c>
      <c r="N19" s="111">
        <f t="shared" si="13"/>
        <v>7.365524839976354</v>
      </c>
      <c r="P19" s="88">
        <v>2021</v>
      </c>
      <c r="Q19" s="149">
        <f>[5]Results!O38</f>
        <v>0</v>
      </c>
      <c r="R19" s="113">
        <f t="shared" si="14"/>
        <v>0</v>
      </c>
      <c r="S19" s="114">
        <f t="shared" si="15"/>
        <v>0</v>
      </c>
    </row>
    <row r="20" spans="1:19" x14ac:dyDescent="0.25">
      <c r="A20" s="88">
        <v>2022</v>
      </c>
      <c r="B20" s="150">
        <f>[2]Results!O39</f>
        <v>0.49744204928277008</v>
      </c>
      <c r="C20" s="110">
        <f t="shared" si="8"/>
        <v>10.446283034938173</v>
      </c>
      <c r="D20" s="111">
        <f t="shared" si="9"/>
        <v>10.446283034938173</v>
      </c>
      <c r="E20" s="112"/>
      <c r="F20" s="88">
        <v>2022</v>
      </c>
      <c r="G20" s="150">
        <f>[3]Results!O39</f>
        <v>0</v>
      </c>
      <c r="H20" s="110">
        <f t="shared" si="10"/>
        <v>0</v>
      </c>
      <c r="I20" s="111">
        <f t="shared" si="11"/>
        <v>0</v>
      </c>
      <c r="K20" s="88">
        <v>2022</v>
      </c>
      <c r="L20" s="149">
        <f>[4]Results!O39</f>
        <v>0.3527573861664845</v>
      </c>
      <c r="M20" s="110">
        <f t="shared" si="12"/>
        <v>7.4079051094961743</v>
      </c>
      <c r="N20" s="111">
        <f t="shared" si="13"/>
        <v>7.4079051094961743</v>
      </c>
      <c r="P20" s="88">
        <v>2022</v>
      </c>
      <c r="Q20" s="149">
        <f>[5]Results!O39</f>
        <v>0</v>
      </c>
      <c r="R20" s="113">
        <f t="shared" si="14"/>
        <v>0</v>
      </c>
      <c r="S20" s="114">
        <f t="shared" si="15"/>
        <v>0</v>
      </c>
    </row>
    <row r="21" spans="1:19" x14ac:dyDescent="0.25">
      <c r="A21" s="88">
        <v>2023</v>
      </c>
      <c r="B21" s="150">
        <f>[2]Results!O40</f>
        <v>0.50004446915847689</v>
      </c>
      <c r="C21" s="110">
        <f t="shared" si="8"/>
        <v>10.500933852328014</v>
      </c>
      <c r="D21" s="111">
        <f t="shared" si="9"/>
        <v>10.500933852328014</v>
      </c>
      <c r="E21" s="112"/>
      <c r="F21" s="88">
        <v>2023</v>
      </c>
      <c r="G21" s="150">
        <f>[3]Results!O40</f>
        <v>0</v>
      </c>
      <c r="H21" s="110">
        <f t="shared" si="10"/>
        <v>0</v>
      </c>
      <c r="I21" s="111">
        <f t="shared" si="11"/>
        <v>0</v>
      </c>
      <c r="K21" s="88">
        <v>2023</v>
      </c>
      <c r="L21" s="149">
        <f>[4]Results!O40</f>
        <v>0.35460287316217703</v>
      </c>
      <c r="M21" s="110">
        <f t="shared" si="12"/>
        <v>7.446660336405718</v>
      </c>
      <c r="N21" s="111">
        <f t="shared" si="13"/>
        <v>7.446660336405718</v>
      </c>
      <c r="P21" s="88">
        <v>2023</v>
      </c>
      <c r="Q21" s="149">
        <f>[5]Results!O40</f>
        <v>0</v>
      </c>
      <c r="R21" s="113">
        <f t="shared" si="14"/>
        <v>0</v>
      </c>
      <c r="S21" s="114">
        <f t="shared" si="15"/>
        <v>0</v>
      </c>
    </row>
    <row r="22" spans="1:19" x14ac:dyDescent="0.25">
      <c r="A22" s="88">
        <v>2024</v>
      </c>
      <c r="B22" s="150">
        <f>[2]Results!O41</f>
        <v>0.50245411552418118</v>
      </c>
      <c r="C22" s="110">
        <f t="shared" si="8"/>
        <v>10.551536426007806</v>
      </c>
      <c r="D22" s="111">
        <f t="shared" si="9"/>
        <v>10.551536426007806</v>
      </c>
      <c r="E22" s="112"/>
      <c r="F22" s="88">
        <v>2024</v>
      </c>
      <c r="G22" s="150">
        <f>[3]Results!O41</f>
        <v>0</v>
      </c>
      <c r="H22" s="110">
        <f t="shared" si="10"/>
        <v>0</v>
      </c>
      <c r="I22" s="111">
        <f t="shared" si="11"/>
        <v>0</v>
      </c>
      <c r="K22" s="88">
        <v>2024</v>
      </c>
      <c r="L22" s="149">
        <f>[4]Results!O41</f>
        <v>0.35631165623505362</v>
      </c>
      <c r="M22" s="110">
        <f t="shared" si="12"/>
        <v>7.4825447809361263</v>
      </c>
      <c r="N22" s="111">
        <f t="shared" si="13"/>
        <v>7.4825447809361263</v>
      </c>
      <c r="P22" s="88">
        <v>2024</v>
      </c>
      <c r="Q22" s="149">
        <f>[5]Results!O41</f>
        <v>0</v>
      </c>
      <c r="R22" s="113">
        <f t="shared" si="14"/>
        <v>0</v>
      </c>
      <c r="S22" s="114">
        <f t="shared" si="15"/>
        <v>0</v>
      </c>
    </row>
    <row r="23" spans="1:19" x14ac:dyDescent="0.25">
      <c r="A23" s="88">
        <v>2025</v>
      </c>
      <c r="B23" s="150">
        <f>[2]Results!O42</f>
        <v>0.50470757441765024</v>
      </c>
      <c r="C23" s="110">
        <f t="shared" si="8"/>
        <v>10.598859062770655</v>
      </c>
      <c r="D23" s="111">
        <f t="shared" si="9"/>
        <v>10.598859062770655</v>
      </c>
      <c r="E23" s="112"/>
      <c r="F23" s="88">
        <v>2025</v>
      </c>
      <c r="G23" s="150">
        <f>[3]Results!O42</f>
        <v>0</v>
      </c>
      <c r="H23" s="110">
        <f t="shared" si="10"/>
        <v>0</v>
      </c>
      <c r="I23" s="111">
        <f t="shared" si="11"/>
        <v>0</v>
      </c>
      <c r="K23" s="88">
        <v>2025</v>
      </c>
      <c r="L23" s="149">
        <f>[4]Results!O42</f>
        <v>0.35790968010585417</v>
      </c>
      <c r="M23" s="110">
        <f t="shared" si="12"/>
        <v>7.5161032822229377</v>
      </c>
      <c r="N23" s="111">
        <f t="shared" si="13"/>
        <v>7.5161032822229377</v>
      </c>
      <c r="P23" s="88">
        <v>2025</v>
      </c>
      <c r="Q23" s="149">
        <f>[5]Results!O42</f>
        <v>0</v>
      </c>
      <c r="R23" s="113">
        <f t="shared" si="14"/>
        <v>0</v>
      </c>
      <c r="S23" s="114">
        <f t="shared" si="15"/>
        <v>0</v>
      </c>
    </row>
    <row r="24" spans="1:19" x14ac:dyDescent="0.25">
      <c r="A24" s="88">
        <v>2026</v>
      </c>
      <c r="B24" s="150">
        <f>[2]Results!O43</f>
        <v>0.50683172814066069</v>
      </c>
      <c r="C24" s="110">
        <f t="shared" si="8"/>
        <v>10.643466290953874</v>
      </c>
      <c r="D24" s="111">
        <f t="shared" si="9"/>
        <v>10.643466290953874</v>
      </c>
      <c r="E24" s="112"/>
      <c r="F24" s="88">
        <v>2026</v>
      </c>
      <c r="G24" s="150">
        <f>[3]Results!O43</f>
        <v>0</v>
      </c>
      <c r="H24" s="110">
        <f t="shared" si="10"/>
        <v>0</v>
      </c>
      <c r="I24" s="111">
        <f t="shared" si="11"/>
        <v>0</v>
      </c>
      <c r="K24" s="88">
        <v>2026</v>
      </c>
      <c r="L24" s="149">
        <f>[4]Results!O43</f>
        <v>0.35941600816200725</v>
      </c>
      <c r="M24" s="110">
        <f t="shared" si="12"/>
        <v>7.5477361714021525</v>
      </c>
      <c r="N24" s="111">
        <f t="shared" si="13"/>
        <v>7.5477361714021525</v>
      </c>
      <c r="P24" s="88">
        <v>2026</v>
      </c>
      <c r="Q24" s="149">
        <f>[5]Results!O43</f>
        <v>0</v>
      </c>
      <c r="R24" s="113">
        <f t="shared" si="14"/>
        <v>0</v>
      </c>
      <c r="S24" s="114">
        <f t="shared" si="15"/>
        <v>0</v>
      </c>
    </row>
    <row r="25" spans="1:19" x14ac:dyDescent="0.25">
      <c r="A25" s="88">
        <v>2027</v>
      </c>
      <c r="B25" s="150">
        <f>[2]Results!O44</f>
        <v>0.50884671137012705</v>
      </c>
      <c r="C25" s="110">
        <f t="shared" si="8"/>
        <v>10.685780938772668</v>
      </c>
      <c r="D25" s="111">
        <f t="shared" si="9"/>
        <v>10.685780938772668</v>
      </c>
      <c r="E25" s="112"/>
      <c r="F25" s="88">
        <v>2027</v>
      </c>
      <c r="G25" s="150">
        <f>[3]Results!O44</f>
        <v>0</v>
      </c>
      <c r="H25" s="110">
        <f t="shared" si="10"/>
        <v>0</v>
      </c>
      <c r="I25" s="111">
        <f t="shared" si="11"/>
        <v>0</v>
      </c>
      <c r="K25" s="88">
        <v>2027</v>
      </c>
      <c r="L25" s="149">
        <f>[4]Results!O44</f>
        <v>0.36084491876218822</v>
      </c>
      <c r="M25" s="110">
        <f t="shared" si="12"/>
        <v>7.5777432940059528</v>
      </c>
      <c r="N25" s="111">
        <f t="shared" si="13"/>
        <v>7.5777432940059528</v>
      </c>
      <c r="P25" s="88">
        <v>2027</v>
      </c>
      <c r="Q25" s="149">
        <f>[5]Results!O44</f>
        <v>0</v>
      </c>
      <c r="R25" s="113">
        <f t="shared" si="14"/>
        <v>0</v>
      </c>
      <c r="S25" s="114">
        <f t="shared" si="15"/>
        <v>0</v>
      </c>
    </row>
    <row r="26" spans="1:19" x14ac:dyDescent="0.25">
      <c r="A26" s="88">
        <v>2028</v>
      </c>
      <c r="B26" s="150">
        <f>[2]Results!O45</f>
        <v>0.51076792219833622</v>
      </c>
      <c r="C26" s="110">
        <f t="shared" si="8"/>
        <v>10.72612636616506</v>
      </c>
      <c r="D26" s="111">
        <f t="shared" si="9"/>
        <v>10.72612636616506</v>
      </c>
      <c r="E26" s="112"/>
      <c r="F26" s="88">
        <v>2028</v>
      </c>
      <c r="G26" s="150">
        <f>[3]Results!O45</f>
        <v>0</v>
      </c>
      <c r="H26" s="110">
        <f t="shared" si="10"/>
        <v>0</v>
      </c>
      <c r="I26" s="111">
        <f t="shared" si="11"/>
        <v>0</v>
      </c>
      <c r="K26" s="88">
        <v>2028</v>
      </c>
      <c r="L26" s="149">
        <f>[4]Results!O45</f>
        <v>0.36220733135077204</v>
      </c>
      <c r="M26" s="110">
        <f t="shared" si="12"/>
        <v>7.6063539583662125</v>
      </c>
      <c r="N26" s="111">
        <f t="shared" si="13"/>
        <v>7.6063539583662125</v>
      </c>
      <c r="P26" s="88">
        <v>2028</v>
      </c>
      <c r="Q26" s="149">
        <f>[5]Results!O45</f>
        <v>0</v>
      </c>
      <c r="R26" s="113">
        <f t="shared" si="14"/>
        <v>0</v>
      </c>
      <c r="S26" s="114">
        <f t="shared" si="15"/>
        <v>0</v>
      </c>
    </row>
    <row r="27" spans="1:19" x14ac:dyDescent="0.25">
      <c r="A27" s="88">
        <v>2029</v>
      </c>
      <c r="B27" s="150">
        <f>[2]Results!O46</f>
        <v>0.51260739563550273</v>
      </c>
      <c r="C27" s="110">
        <f t="shared" si="8"/>
        <v>10.764755308345558</v>
      </c>
      <c r="D27" s="111">
        <f t="shared" si="9"/>
        <v>10.764755308345558</v>
      </c>
      <c r="E27" s="112"/>
      <c r="F27" s="88">
        <v>2029</v>
      </c>
      <c r="G27" s="150">
        <f>[3]Results!O46</f>
        <v>0</v>
      </c>
      <c r="H27" s="110">
        <f t="shared" si="10"/>
        <v>0</v>
      </c>
      <c r="I27" s="111">
        <f t="shared" si="11"/>
        <v>0</v>
      </c>
      <c r="K27" s="88">
        <v>2029</v>
      </c>
      <c r="L27" s="149">
        <f>[4]Results!O46</f>
        <v>0.36351178046711263</v>
      </c>
      <c r="M27" s="110">
        <f t="shared" si="12"/>
        <v>7.6337473898093648</v>
      </c>
      <c r="N27" s="111">
        <f t="shared" si="13"/>
        <v>7.6337473898093648</v>
      </c>
      <c r="P27" s="88">
        <v>2029</v>
      </c>
      <c r="Q27" s="149">
        <f>[5]Results!O46</f>
        <v>0</v>
      </c>
      <c r="R27" s="113">
        <f t="shared" si="14"/>
        <v>0</v>
      </c>
      <c r="S27" s="114">
        <f t="shared" si="15"/>
        <v>0</v>
      </c>
    </row>
    <row r="28" spans="1:19" x14ac:dyDescent="0.25">
      <c r="A28" s="88">
        <v>2030</v>
      </c>
      <c r="B28" s="150">
        <f>[2]Results!O47</f>
        <v>0.51437474631275781</v>
      </c>
      <c r="C28" s="110">
        <f t="shared" si="8"/>
        <v>10.801869672567914</v>
      </c>
      <c r="D28" s="111">
        <f t="shared" si="9"/>
        <v>10.801869672567914</v>
      </c>
      <c r="E28" s="112"/>
      <c r="F28" s="88">
        <v>2030</v>
      </c>
      <c r="G28" s="150">
        <f>[3]Results!O47</f>
        <v>0</v>
      </c>
      <c r="H28" s="110">
        <f t="shared" si="10"/>
        <v>0</v>
      </c>
      <c r="I28" s="111">
        <f t="shared" si="11"/>
        <v>0</v>
      </c>
      <c r="K28" s="88">
        <v>2030</v>
      </c>
      <c r="L28" s="149">
        <f>[4]Results!O47</f>
        <v>0.36476508425646248</v>
      </c>
      <c r="M28" s="110">
        <f t="shared" si="12"/>
        <v>7.6600667693857121</v>
      </c>
      <c r="N28" s="111">
        <f t="shared" si="13"/>
        <v>7.6600667693857121</v>
      </c>
      <c r="P28" s="88">
        <v>2030</v>
      </c>
      <c r="Q28" s="149">
        <f>[5]Results!O47</f>
        <v>0</v>
      </c>
      <c r="R28" s="113">
        <f t="shared" si="14"/>
        <v>0</v>
      </c>
      <c r="S28" s="114">
        <f t="shared" si="15"/>
        <v>0</v>
      </c>
    </row>
    <row r="29" spans="1:19" x14ac:dyDescent="0.25">
      <c r="A29" s="88">
        <v>2031</v>
      </c>
      <c r="B29" s="150"/>
      <c r="C29" s="110">
        <f t="shared" si="8"/>
        <v>0</v>
      </c>
      <c r="D29" s="111">
        <f t="shared" si="9"/>
        <v>0</v>
      </c>
      <c r="E29" s="112"/>
      <c r="F29" s="88">
        <v>2031</v>
      </c>
      <c r="G29" s="150"/>
      <c r="H29" s="110">
        <f t="shared" si="10"/>
        <v>0</v>
      </c>
      <c r="I29" s="111">
        <f t="shared" si="11"/>
        <v>0</v>
      </c>
      <c r="K29" s="88">
        <v>2031</v>
      </c>
      <c r="L29" s="149"/>
      <c r="M29" s="110">
        <f t="shared" si="12"/>
        <v>0</v>
      </c>
      <c r="N29" s="111">
        <f t="shared" si="13"/>
        <v>0</v>
      </c>
      <c r="P29" s="88">
        <v>2031</v>
      </c>
      <c r="Q29" s="149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127</v>
      </c>
    </row>
    <row r="32" spans="1:19" ht="15.75" thickBot="1" x14ac:dyDescent="0.3">
      <c r="A32" s="197" t="s">
        <v>11</v>
      </c>
      <c r="B32" s="199" t="s">
        <v>81</v>
      </c>
      <c r="C32" s="200"/>
      <c r="D32" s="200"/>
      <c r="E32" s="200"/>
      <c r="F32" s="201"/>
    </row>
    <row r="33" spans="1:6" ht="18.75" thickBot="1" x14ac:dyDescent="0.3">
      <c r="A33" s="198"/>
      <c r="B33" s="199" t="s">
        <v>129</v>
      </c>
      <c r="C33" s="201"/>
      <c r="D33" s="199" t="s">
        <v>133</v>
      </c>
      <c r="E33" s="201"/>
      <c r="F33" s="202" t="s">
        <v>130</v>
      </c>
    </row>
    <row r="34" spans="1:6" ht="18" x14ac:dyDescent="0.25">
      <c r="A34" s="198"/>
      <c r="B34" s="116" t="s">
        <v>131</v>
      </c>
      <c r="C34" s="116" t="s">
        <v>132</v>
      </c>
      <c r="D34" s="116" t="s">
        <v>134</v>
      </c>
      <c r="E34" s="116" t="s">
        <v>132</v>
      </c>
      <c r="F34" s="203"/>
    </row>
    <row r="35" spans="1:6" x14ac:dyDescent="0.25">
      <c r="A35" s="88">
        <v>2011</v>
      </c>
      <c r="B35" s="110">
        <f>[6]REKAPITULASI!B6</f>
        <v>1.5337728000000001E-3</v>
      </c>
      <c r="C35" s="110">
        <f>B35*21</f>
        <v>3.2209228800000003E-2</v>
      </c>
      <c r="D35" s="110">
        <f>[6]REKAPITULASI!D6</f>
        <v>1.1503296000000001E-4</v>
      </c>
      <c r="E35" s="110">
        <f>D35*310</f>
        <v>3.5660217600000002E-2</v>
      </c>
      <c r="F35" s="111">
        <f>E35+C35</f>
        <v>6.7869446400000005E-2</v>
      </c>
    </row>
    <row r="36" spans="1:6" x14ac:dyDescent="0.25">
      <c r="A36" s="88">
        <v>2012</v>
      </c>
      <c r="B36" s="110">
        <f>[6]REKAPITULASI!B7</f>
        <v>1.5454908000000001E-3</v>
      </c>
      <c r="C36" s="110">
        <f t="shared" ref="C36:C45" si="16">B36*21</f>
        <v>3.24553068E-2</v>
      </c>
      <c r="D36" s="110">
        <f>[6]REKAPITULASI!D7</f>
        <v>1.1591181E-4</v>
      </c>
      <c r="E36" s="110">
        <f t="shared" ref="E36:E45" si="17">D36*310</f>
        <v>3.5932661099999999E-2</v>
      </c>
      <c r="F36" s="111">
        <f t="shared" ref="F36:F45" si="18">E36+C36</f>
        <v>6.8387967899999999E-2</v>
      </c>
    </row>
    <row r="37" spans="1:6" x14ac:dyDescent="0.25">
      <c r="A37" s="88">
        <v>2013</v>
      </c>
      <c r="B37" s="110">
        <f>[6]REKAPITULASI!B8</f>
        <v>1.5553944000000002E-3</v>
      </c>
      <c r="C37" s="110">
        <f t="shared" si="16"/>
        <v>3.2663282400000007E-2</v>
      </c>
      <c r="D37" s="110">
        <f>[6]REKAPITULASI!D8</f>
        <v>1.1665458000000001E-4</v>
      </c>
      <c r="E37" s="110">
        <f t="shared" si="17"/>
        <v>3.6162919800000005E-2</v>
      </c>
      <c r="F37" s="111">
        <f t="shared" si="18"/>
        <v>6.882620220000002E-2</v>
      </c>
    </row>
    <row r="38" spans="1:6" x14ac:dyDescent="0.25">
      <c r="A38" s="88">
        <v>2014</v>
      </c>
      <c r="B38" s="110">
        <f>[6]REKAPITULASI!B9</f>
        <v>1.5648336000000001E-3</v>
      </c>
      <c r="C38" s="110">
        <f t="shared" si="16"/>
        <v>3.28615056E-2</v>
      </c>
      <c r="D38" s="110">
        <f>[6]REKAPITULASI!D9</f>
        <v>1.1736252E-4</v>
      </c>
      <c r="E38" s="110">
        <f t="shared" si="17"/>
        <v>3.6382381200000001E-2</v>
      </c>
      <c r="F38" s="111">
        <f t="shared" si="18"/>
        <v>6.9243886800000001E-2</v>
      </c>
    </row>
    <row r="39" spans="1:6" x14ac:dyDescent="0.25">
      <c r="A39" s="88">
        <v>2015</v>
      </c>
      <c r="B39" s="110">
        <f>[6]REKAPITULASI!B10</f>
        <v>1.5750504000000003E-3</v>
      </c>
      <c r="C39" s="110">
        <f t="shared" si="16"/>
        <v>3.3076058400000004E-2</v>
      </c>
      <c r="D39" s="110">
        <f>[6]REKAPITULASI!D10</f>
        <v>1.1812878000000002E-4</v>
      </c>
      <c r="E39" s="110">
        <f t="shared" si="17"/>
        <v>3.6619921800000003E-2</v>
      </c>
      <c r="F39" s="111">
        <f t="shared" si="18"/>
        <v>6.9695980200000007E-2</v>
      </c>
    </row>
    <row r="40" spans="1:6" x14ac:dyDescent="0.25">
      <c r="A40" s="88">
        <v>2016</v>
      </c>
      <c r="B40" s="110">
        <f>[6]REKAPITULASI!B11</f>
        <v>1.5801156E-3</v>
      </c>
      <c r="C40" s="110">
        <f t="shared" si="16"/>
        <v>3.3182427600000002E-2</v>
      </c>
      <c r="D40" s="110">
        <f>[6]REKAPITULASI!D11</f>
        <v>1.1850866999999999E-4</v>
      </c>
      <c r="E40" s="110">
        <f t="shared" si="17"/>
        <v>3.67376877E-2</v>
      </c>
      <c r="F40" s="111">
        <f t="shared" si="18"/>
        <v>6.9920115300000002E-2</v>
      </c>
    </row>
    <row r="41" spans="1:6" x14ac:dyDescent="0.25">
      <c r="A41" s="88">
        <v>2017</v>
      </c>
      <c r="B41" s="110">
        <f>[6]REKAPITULASI!B12</f>
        <v>1.6339806000000001E-3</v>
      </c>
      <c r="C41" s="110">
        <f t="shared" si="16"/>
        <v>3.4313592600000005E-2</v>
      </c>
      <c r="D41" s="110">
        <f>[6]REKAPITULASI!D12</f>
        <v>1.2254854500000001E-4</v>
      </c>
      <c r="E41" s="110">
        <f t="shared" si="17"/>
        <v>3.7990048950000001E-2</v>
      </c>
      <c r="F41" s="111">
        <f t="shared" si="18"/>
        <v>7.2303641550000006E-2</v>
      </c>
    </row>
    <row r="42" spans="1:6" x14ac:dyDescent="0.25">
      <c r="A42" s="88">
        <v>2018</v>
      </c>
      <c r="B42" s="110">
        <f>[6]REKAPITULASI!B13</f>
        <v>1.6370127E-3</v>
      </c>
      <c r="C42" s="110">
        <f t="shared" si="16"/>
        <v>3.4377266699999999E-2</v>
      </c>
      <c r="D42" s="110">
        <f>[6]REKAPITULASI!D13</f>
        <v>1.227759525E-4</v>
      </c>
      <c r="E42" s="110">
        <f t="shared" si="17"/>
        <v>3.8060545275000003E-2</v>
      </c>
      <c r="F42" s="111">
        <f t="shared" si="18"/>
        <v>7.2437811975000002E-2</v>
      </c>
    </row>
    <row r="43" spans="1:6" x14ac:dyDescent="0.25">
      <c r="A43" s="88">
        <v>2019</v>
      </c>
      <c r="B43" s="110">
        <f>[6]REKAPITULASI!B14</f>
        <v>1.6400448000000001E-3</v>
      </c>
      <c r="C43" s="110">
        <f t="shared" si="16"/>
        <v>3.44409408E-2</v>
      </c>
      <c r="D43" s="110">
        <f>[6]REKAPITULASI!D14</f>
        <v>1.2300336E-4</v>
      </c>
      <c r="E43" s="110">
        <f t="shared" si="17"/>
        <v>3.8131041599999999E-2</v>
      </c>
      <c r="F43" s="111">
        <f t="shared" si="18"/>
        <v>7.2571982399999999E-2</v>
      </c>
    </row>
    <row r="44" spans="1:6" x14ac:dyDescent="0.25">
      <c r="A44" s="88">
        <v>2020</v>
      </c>
      <c r="B44" s="110">
        <f>[6]REKAPITULASI!B15</f>
        <v>1.6430769000000001E-3</v>
      </c>
      <c r="C44" s="110">
        <f t="shared" si="16"/>
        <v>3.4504614900000001E-2</v>
      </c>
      <c r="D44" s="110">
        <f>[6]REKAPITULASI!D15</f>
        <v>1.2323076749999999E-4</v>
      </c>
      <c r="E44" s="110">
        <f t="shared" si="17"/>
        <v>3.8201537925000001E-2</v>
      </c>
      <c r="F44" s="111">
        <f t="shared" si="18"/>
        <v>7.2706152825000009E-2</v>
      </c>
    </row>
    <row r="45" spans="1:6" x14ac:dyDescent="0.25">
      <c r="A45" s="88">
        <v>2021</v>
      </c>
      <c r="B45" s="110">
        <f>[6]REKAPITULASI!B16</f>
        <v>1.646109E-3</v>
      </c>
      <c r="C45" s="110">
        <f t="shared" si="16"/>
        <v>3.4568289000000002E-2</v>
      </c>
      <c r="D45" s="110">
        <f>[6]REKAPITULASI!D16</f>
        <v>1.2345817500000002E-4</v>
      </c>
      <c r="E45" s="110">
        <f t="shared" si="17"/>
        <v>3.8272034250000003E-2</v>
      </c>
      <c r="F45" s="111">
        <f t="shared" si="18"/>
        <v>7.2840323250000005E-2</v>
      </c>
    </row>
    <row r="46" spans="1:6" x14ac:dyDescent="0.25">
      <c r="A46" s="88">
        <v>2022</v>
      </c>
      <c r="B46" s="110">
        <f>[6]REKAPITULASI!B17</f>
        <v>1.6491411000000001E-3</v>
      </c>
      <c r="C46" s="110">
        <f t="shared" ref="C46:C55" si="19">B46*21</f>
        <v>3.4631963100000003E-2</v>
      </c>
      <c r="D46" s="110">
        <f>[6]REKAPITULASI!D17</f>
        <v>1.2368558250000001E-4</v>
      </c>
      <c r="E46" s="110">
        <f t="shared" ref="E46:E55" si="20">D46*310</f>
        <v>3.8342530575000006E-2</v>
      </c>
      <c r="F46" s="111">
        <f t="shared" ref="F46:F55" si="21">E46+C46</f>
        <v>7.2974493675000002E-2</v>
      </c>
    </row>
    <row r="47" spans="1:6" x14ac:dyDescent="0.25">
      <c r="A47" s="88">
        <v>2023</v>
      </c>
      <c r="B47" s="110">
        <f>[6]REKAPITULASI!B18</f>
        <v>1.6521732000000003E-3</v>
      </c>
      <c r="C47" s="110">
        <f t="shared" si="19"/>
        <v>3.4695637200000004E-2</v>
      </c>
      <c r="D47" s="110">
        <f>[6]REKAPITULASI!D18</f>
        <v>1.2391299E-4</v>
      </c>
      <c r="E47" s="110">
        <f t="shared" si="20"/>
        <v>3.8413026900000001E-2</v>
      </c>
      <c r="F47" s="111">
        <f t="shared" si="21"/>
        <v>7.3108664099999998E-2</v>
      </c>
    </row>
    <row r="48" spans="1:6" x14ac:dyDescent="0.25">
      <c r="A48" s="88">
        <v>2024</v>
      </c>
      <c r="B48" s="110">
        <f>[6]REKAPITULASI!B19</f>
        <v>1.6552053E-3</v>
      </c>
      <c r="C48" s="110">
        <f t="shared" si="19"/>
        <v>3.4759311299999998E-2</v>
      </c>
      <c r="D48" s="110">
        <f>[6]REKAPITULASI!D19</f>
        <v>1.241403975E-4</v>
      </c>
      <c r="E48" s="110">
        <f t="shared" si="20"/>
        <v>3.8483523224999996E-2</v>
      </c>
      <c r="F48" s="111">
        <f t="shared" si="21"/>
        <v>7.3242834524999995E-2</v>
      </c>
    </row>
    <row r="49" spans="1:10" x14ac:dyDescent="0.25">
      <c r="A49" s="88">
        <v>2025</v>
      </c>
      <c r="B49" s="110">
        <f>[6]REKAPITULASI!B20</f>
        <v>1.6582374E-3</v>
      </c>
      <c r="C49" s="110">
        <f t="shared" si="19"/>
        <v>3.4822985399999999E-2</v>
      </c>
      <c r="D49" s="110">
        <f>[6]REKAPITULASI!D20</f>
        <v>1.2436780499999999E-4</v>
      </c>
      <c r="E49" s="110">
        <f t="shared" si="20"/>
        <v>3.8554019549999999E-2</v>
      </c>
      <c r="F49" s="111">
        <f t="shared" si="21"/>
        <v>7.3377004949999991E-2</v>
      </c>
    </row>
    <row r="50" spans="1:10" x14ac:dyDescent="0.25">
      <c r="A50" s="88">
        <v>2026</v>
      </c>
      <c r="B50" s="110">
        <f>[6]REKAPITULASI!B21</f>
        <v>1.6612694999999999E-3</v>
      </c>
      <c r="C50" s="110">
        <f t="shared" si="19"/>
        <v>3.48866595E-2</v>
      </c>
      <c r="D50" s="110">
        <f>[6]REKAPITULASI!D21</f>
        <v>1.2459521249999999E-4</v>
      </c>
      <c r="E50" s="110">
        <f t="shared" si="20"/>
        <v>3.8624515874999994E-2</v>
      </c>
      <c r="F50" s="111">
        <f t="shared" si="21"/>
        <v>7.3511175374999987E-2</v>
      </c>
    </row>
    <row r="51" spans="1:10" x14ac:dyDescent="0.25">
      <c r="A51" s="88">
        <v>2027</v>
      </c>
      <c r="B51" s="110">
        <f>[6]REKAPITULASI!B22</f>
        <v>1.6643016000000002E-3</v>
      </c>
      <c r="C51" s="110">
        <f t="shared" si="19"/>
        <v>3.4950333600000001E-2</v>
      </c>
      <c r="D51" s="110">
        <f>[6]REKAPITULASI!D22</f>
        <v>1.2482262000000001E-4</v>
      </c>
      <c r="E51" s="110">
        <f t="shared" si="20"/>
        <v>3.8695012200000004E-2</v>
      </c>
      <c r="F51" s="111">
        <f t="shared" si="21"/>
        <v>7.3645345800000012E-2</v>
      </c>
    </row>
    <row r="52" spans="1:10" x14ac:dyDescent="0.25">
      <c r="A52" s="88">
        <v>2028</v>
      </c>
      <c r="B52" s="110">
        <f>[6]REKAPITULASI!B23</f>
        <v>1.6673337000000002E-3</v>
      </c>
      <c r="C52" s="110">
        <f t="shared" si="19"/>
        <v>3.5014007700000002E-2</v>
      </c>
      <c r="D52" s="110">
        <f>[6]REKAPITULASI!D23</f>
        <v>1.250500275E-4</v>
      </c>
      <c r="E52" s="110">
        <f t="shared" si="20"/>
        <v>3.8765508524999999E-2</v>
      </c>
      <c r="F52" s="111">
        <f t="shared" si="21"/>
        <v>7.3779516225000008E-2</v>
      </c>
    </row>
    <row r="53" spans="1:10" x14ac:dyDescent="0.25">
      <c r="A53" s="88">
        <v>2029</v>
      </c>
      <c r="B53" s="110">
        <f>[6]REKAPITULASI!B24</f>
        <v>1.6703657999999999E-3</v>
      </c>
      <c r="C53" s="110">
        <f t="shared" si="19"/>
        <v>3.5077681799999996E-2</v>
      </c>
      <c r="D53" s="110">
        <f>[6]REKAPITULASI!D24</f>
        <v>1.25277435E-4</v>
      </c>
      <c r="E53" s="110">
        <f t="shared" si="20"/>
        <v>3.8836004850000001E-2</v>
      </c>
      <c r="F53" s="111">
        <f t="shared" si="21"/>
        <v>7.3913686650000004E-2</v>
      </c>
    </row>
    <row r="54" spans="1:10" x14ac:dyDescent="0.25">
      <c r="A54" s="88">
        <v>2030</v>
      </c>
      <c r="B54" s="110">
        <f>[6]REKAPITULASI!B25</f>
        <v>1.6733979000000002E-3</v>
      </c>
      <c r="C54" s="110">
        <f t="shared" si="19"/>
        <v>3.5141355900000004E-2</v>
      </c>
      <c r="D54" s="110">
        <f>[6]REKAPITULASI!D25</f>
        <v>1.2550484249999999E-4</v>
      </c>
      <c r="E54" s="110">
        <f t="shared" si="20"/>
        <v>3.8906501174999997E-2</v>
      </c>
      <c r="F54" s="111">
        <f t="shared" si="21"/>
        <v>7.4047857075000001E-2</v>
      </c>
    </row>
    <row r="55" spans="1:10" x14ac:dyDescent="0.25">
      <c r="A55" s="88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5">
        <v>1000</v>
      </c>
    </row>
    <row r="58" spans="1:10" ht="15.75" thickBot="1" x14ac:dyDescent="0.3">
      <c r="A58" s="191" t="s">
        <v>11</v>
      </c>
      <c r="B58" s="193" t="s">
        <v>89</v>
      </c>
      <c r="C58" s="194"/>
      <c r="D58" s="194"/>
      <c r="E58" s="194"/>
      <c r="F58" s="194"/>
    </row>
    <row r="59" spans="1:10" ht="18.75" thickBot="1" x14ac:dyDescent="0.3">
      <c r="A59" s="192"/>
      <c r="B59" s="193" t="s">
        <v>129</v>
      </c>
      <c r="C59" s="195"/>
      <c r="D59" s="193" t="s">
        <v>133</v>
      </c>
      <c r="E59" s="195"/>
      <c r="F59" s="117" t="s">
        <v>135</v>
      </c>
      <c r="H59" s="181" t="s">
        <v>11</v>
      </c>
      <c r="I59" s="181" t="s">
        <v>145</v>
      </c>
      <c r="J59" s="181"/>
    </row>
    <row r="60" spans="1:10" ht="18" x14ac:dyDescent="0.25">
      <c r="A60" s="192"/>
      <c r="B60" s="118" t="s">
        <v>131</v>
      </c>
      <c r="C60" s="118" t="s">
        <v>132</v>
      </c>
      <c r="D60" s="118" t="s">
        <v>134</v>
      </c>
      <c r="E60" s="118" t="s">
        <v>132</v>
      </c>
      <c r="F60" s="118" t="s">
        <v>136</v>
      </c>
      <c r="H60" s="181"/>
      <c r="I60" s="141" t="s">
        <v>146</v>
      </c>
      <c r="J60" s="141" t="s">
        <v>147</v>
      </c>
    </row>
    <row r="61" spans="1:10" x14ac:dyDescent="0.25">
      <c r="A61" s="88">
        <v>2011</v>
      </c>
      <c r="B61" s="136">
        <f>[6]REKAPITULASI!B32</f>
        <v>1.31471240992E-2</v>
      </c>
      <c r="C61" s="120">
        <f>B61*21</f>
        <v>0.27608960608319999</v>
      </c>
      <c r="D61" s="136">
        <f>[6]REKAPITULASI!D32</f>
        <v>3.0339517152E-4</v>
      </c>
      <c r="E61" s="120">
        <f>D61*310</f>
        <v>9.4052503171199994E-2</v>
      </c>
      <c r="F61" s="121">
        <f>SUM(C61+E61)</f>
        <v>0.3701421092544</v>
      </c>
      <c r="H61" s="88">
        <v>2011</v>
      </c>
      <c r="I61" s="142">
        <f t="shared" ref="I61:I66" si="22">D9+I9+N9+S9+F35+F61</f>
        <v>19.110695216805162</v>
      </c>
      <c r="J61" s="143">
        <f>I61*$J$57</f>
        <v>19110.695216805161</v>
      </c>
    </row>
    <row r="62" spans="1:10" x14ac:dyDescent="0.25">
      <c r="A62" s="88">
        <v>2012</v>
      </c>
      <c r="B62" s="136">
        <f>[6]REKAPITULASI!B33</f>
        <v>1.3247567919950002E-2</v>
      </c>
      <c r="C62" s="120">
        <f t="shared" ref="C62:C81" si="23">B62*21</f>
        <v>0.27819892631895005</v>
      </c>
      <c r="D62" s="136">
        <f>[6]REKAPITULASI!D33</f>
        <v>3.0571310584500002E-4</v>
      </c>
      <c r="E62" s="120">
        <f t="shared" ref="E62:E81" si="24">D62*310</f>
        <v>9.477106281195001E-2</v>
      </c>
      <c r="F62" s="121">
        <f t="shared" ref="F62:F81" si="25">SUM(C62+E62)</f>
        <v>0.37296998913090007</v>
      </c>
      <c r="H62" s="88">
        <v>2012</v>
      </c>
      <c r="I62" s="142">
        <f t="shared" si="22"/>
        <v>18.40944109270097</v>
      </c>
      <c r="J62" s="143">
        <f t="shared" ref="J62:J70" si="26">I62*$J$57</f>
        <v>18409.44109270097</v>
      </c>
    </row>
    <row r="63" spans="1:10" x14ac:dyDescent="0.25">
      <c r="A63" s="88">
        <v>2013</v>
      </c>
      <c r="B63" s="136">
        <f>[6]REKAPITULASI!B34</f>
        <v>1.3332459149100001E-2</v>
      </c>
      <c r="C63" s="120">
        <f t="shared" si="23"/>
        <v>0.27998164213109999</v>
      </c>
      <c r="D63" s="136">
        <f>[6]REKAPITULASI!D34</f>
        <v>3.0767213421000004E-4</v>
      </c>
      <c r="E63" s="120">
        <f t="shared" si="24"/>
        <v>9.5378361605100007E-2</v>
      </c>
      <c r="F63" s="121">
        <f t="shared" si="25"/>
        <v>0.37536000373619999</v>
      </c>
      <c r="H63" s="88">
        <v>2013</v>
      </c>
      <c r="I63" s="142">
        <f t="shared" si="22"/>
        <v>17.99167412223246</v>
      </c>
      <c r="J63" s="143">
        <f t="shared" si="26"/>
        <v>17991.67412223246</v>
      </c>
    </row>
    <row r="64" spans="1:10" x14ac:dyDescent="0.25">
      <c r="A64" s="88">
        <v>2014</v>
      </c>
      <c r="B64" s="136">
        <f>[6]REKAPITULASI!B35</f>
        <v>1.3413369655400001E-2</v>
      </c>
      <c r="C64" s="120">
        <f t="shared" si="23"/>
        <v>0.28168076276340004</v>
      </c>
      <c r="D64" s="136">
        <f>[6]REKAPITULASI!D35</f>
        <v>3.0953929974000002E-4</v>
      </c>
      <c r="E64" s="120">
        <f t="shared" si="24"/>
        <v>9.5957182919400003E-2</v>
      </c>
      <c r="F64" s="121">
        <f t="shared" si="25"/>
        <v>0.37763794568280007</v>
      </c>
      <c r="H64" s="88">
        <v>2014</v>
      </c>
      <c r="I64" s="142">
        <f t="shared" si="22"/>
        <v>17.759211853873964</v>
      </c>
      <c r="J64" s="143">
        <f t="shared" si="26"/>
        <v>17759.211853873963</v>
      </c>
    </row>
    <row r="65" spans="1:10" x14ac:dyDescent="0.25">
      <c r="A65" s="88">
        <v>2015</v>
      </c>
      <c r="B65" s="136">
        <f>[6]REKAPITULASI!B36</f>
        <v>1.3500945558100001E-2</v>
      </c>
      <c r="C65" s="120">
        <f t="shared" si="23"/>
        <v>0.28351985672009999</v>
      </c>
      <c r="D65" s="136">
        <f>[6]REKAPITULASI!D36</f>
        <v>3.1156028211000003E-4</v>
      </c>
      <c r="E65" s="120">
        <f t="shared" si="24"/>
        <v>9.6583687454100009E-2</v>
      </c>
      <c r="F65" s="121">
        <f t="shared" si="25"/>
        <v>0.3801035441742</v>
      </c>
      <c r="H65" s="88">
        <v>2015</v>
      </c>
      <c r="I65" s="142">
        <f t="shared" si="22"/>
        <v>17.649788554103857</v>
      </c>
      <c r="J65" s="143">
        <f t="shared" si="26"/>
        <v>17649.788554103856</v>
      </c>
    </row>
    <row r="66" spans="1:10" x14ac:dyDescent="0.25">
      <c r="A66" s="88">
        <v>2016</v>
      </c>
      <c r="B66" s="136">
        <f>[6]REKAPITULASI!B37</f>
        <v>1.3544363209650002E-2</v>
      </c>
      <c r="C66" s="120">
        <f t="shared" si="23"/>
        <v>0.28443162740265004</v>
      </c>
      <c r="D66" s="136">
        <f>[6]REKAPITULASI!D37</f>
        <v>3.1256222791500003E-4</v>
      </c>
      <c r="E66" s="120">
        <f t="shared" si="24"/>
        <v>9.6894290653650003E-2</v>
      </c>
      <c r="F66" s="121">
        <f t="shared" si="25"/>
        <v>0.38132591805630006</v>
      </c>
      <c r="H66" s="88">
        <v>2016</v>
      </c>
      <c r="I66" s="142">
        <f t="shared" si="22"/>
        <v>17.623071635254387</v>
      </c>
      <c r="J66" s="143">
        <f t="shared" si="26"/>
        <v>17623.071635254386</v>
      </c>
    </row>
    <row r="67" spans="1:10" x14ac:dyDescent="0.25">
      <c r="A67" s="88">
        <v>2017</v>
      </c>
      <c r="B67" s="136">
        <f>[6]REKAPITULASI!B38</f>
        <v>1.4006080772774999E-2</v>
      </c>
      <c r="C67" s="120">
        <f t="shared" si="23"/>
        <v>0.294127696228275</v>
      </c>
      <c r="D67" s="136">
        <f>[6]REKAPITULASI!D38</f>
        <v>3.2321724860250001E-4</v>
      </c>
      <c r="E67" s="120">
        <f t="shared" si="24"/>
        <v>0.10019734706677501</v>
      </c>
      <c r="F67" s="121">
        <f t="shared" si="25"/>
        <v>0.39432504329505003</v>
      </c>
      <c r="H67" s="88">
        <v>2017</v>
      </c>
      <c r="I67" s="142">
        <f t="shared" ref="I67:I81" si="27">D15+I15+N15+S15+F41+F67</f>
        <v>17.652182202136697</v>
      </c>
      <c r="J67" s="143">
        <f t="shared" si="26"/>
        <v>17652.182202136697</v>
      </c>
    </row>
    <row r="68" spans="1:10" x14ac:dyDescent="0.25">
      <c r="A68" s="88">
        <v>2018</v>
      </c>
      <c r="B68" s="136">
        <f>[6]REKAPITULASI!B39</f>
        <v>1.40320711899875E-2</v>
      </c>
      <c r="C68" s="120">
        <f t="shared" si="23"/>
        <v>0.29467349498973749</v>
      </c>
      <c r="D68" s="136">
        <f>[6]REKAPITULASI!D39</f>
        <v>3.2381702746125002E-4</v>
      </c>
      <c r="E68" s="120">
        <f t="shared" si="24"/>
        <v>0.10038327851298751</v>
      </c>
      <c r="F68" s="121">
        <f t="shared" si="25"/>
        <v>0.395056773502725</v>
      </c>
      <c r="H68" s="88">
        <v>2018</v>
      </c>
      <c r="I68" s="142">
        <f t="shared" si="27"/>
        <v>17.8292498578585</v>
      </c>
      <c r="J68" s="143">
        <f t="shared" si="26"/>
        <v>17829.2498578585</v>
      </c>
    </row>
    <row r="69" spans="1:10" x14ac:dyDescent="0.25">
      <c r="A69" s="88">
        <v>2019</v>
      </c>
      <c r="B69" s="136">
        <f>[6]REKAPITULASI!B40</f>
        <v>1.4058061607200002E-2</v>
      </c>
      <c r="C69" s="120">
        <f t="shared" si="23"/>
        <v>0.29521929375120004</v>
      </c>
      <c r="D69" s="136">
        <f>[6]REKAPITULASI!D40</f>
        <v>3.2441680632000003E-4</v>
      </c>
      <c r="E69" s="120">
        <f t="shared" si="24"/>
        <v>0.1005692099592</v>
      </c>
      <c r="F69" s="121">
        <f t="shared" si="25"/>
        <v>0.39578850371040003</v>
      </c>
      <c r="H69" s="88">
        <v>2019</v>
      </c>
      <c r="I69" s="142">
        <f t="shared" si="27"/>
        <v>17.978614970927513</v>
      </c>
      <c r="J69" s="143">
        <f t="shared" si="26"/>
        <v>17978.614970927512</v>
      </c>
    </row>
    <row r="70" spans="1:10" x14ac:dyDescent="0.25">
      <c r="A70" s="88">
        <v>2020</v>
      </c>
      <c r="B70" s="136">
        <f>[6]REKAPITULASI!B41</f>
        <v>1.4084052024412499E-2</v>
      </c>
      <c r="C70" s="120">
        <f t="shared" si="23"/>
        <v>0.29576509251266248</v>
      </c>
      <c r="D70" s="136">
        <f>[6]REKAPITULASI!D41</f>
        <v>3.2501658517874999E-4</v>
      </c>
      <c r="E70" s="120">
        <f t="shared" si="24"/>
        <v>0.1007551414054125</v>
      </c>
      <c r="F70" s="121">
        <f t="shared" si="25"/>
        <v>0.396520233918075</v>
      </c>
      <c r="H70" s="88">
        <v>2020</v>
      </c>
      <c r="I70" s="142">
        <f t="shared" si="27"/>
        <v>18.10783782989531</v>
      </c>
      <c r="J70" s="143">
        <f t="shared" si="26"/>
        <v>18107.83782989531</v>
      </c>
    </row>
    <row r="71" spans="1:10" x14ac:dyDescent="0.25">
      <c r="A71" s="88">
        <v>2021</v>
      </c>
      <c r="B71" s="136">
        <f>[6]REKAPITULASI!B42</f>
        <v>1.4110042441625004E-2</v>
      </c>
      <c r="C71" s="120">
        <f t="shared" si="23"/>
        <v>0.29631089127412508</v>
      </c>
      <c r="D71" s="136">
        <f>[6]REKAPITULASI!D42</f>
        <v>3.256163640375001E-4</v>
      </c>
      <c r="E71" s="120">
        <f t="shared" si="24"/>
        <v>0.10094107285162503</v>
      </c>
      <c r="F71" s="121">
        <f t="shared" si="25"/>
        <v>0.39725196412575009</v>
      </c>
      <c r="H71" s="88">
        <v>2021</v>
      </c>
      <c r="I71" s="142">
        <f>D19+I19+N19+S19+F45+F71</f>
        <v>18.22213747851433</v>
      </c>
      <c r="J71" s="143">
        <f>I71*$J$57</f>
        <v>18222.137478514331</v>
      </c>
    </row>
    <row r="72" spans="1:10" x14ac:dyDescent="0.25">
      <c r="A72" s="88">
        <v>2022</v>
      </c>
      <c r="B72" s="136">
        <f>[6]REKAPITULASI!B43</f>
        <v>1.4136032858837499E-2</v>
      </c>
      <c r="C72" s="120">
        <f t="shared" si="23"/>
        <v>0.29685669003558746</v>
      </c>
      <c r="D72" s="136">
        <f>[6]REKAPITULASI!D43</f>
        <v>3.2621614289625E-4</v>
      </c>
      <c r="E72" s="120">
        <f t="shared" si="24"/>
        <v>0.1011270042978375</v>
      </c>
      <c r="F72" s="121">
        <f t="shared" si="25"/>
        <v>0.39798369433342495</v>
      </c>
      <c r="H72" s="88">
        <v>2022</v>
      </c>
      <c r="I72" s="142">
        <f t="shared" si="27"/>
        <v>18.325146332442774</v>
      </c>
      <c r="J72" s="143">
        <f t="shared" ref="J72:J81" si="28">I72*$J$57</f>
        <v>18325.146332442775</v>
      </c>
    </row>
    <row r="73" spans="1:10" x14ac:dyDescent="0.25">
      <c r="A73" s="88">
        <v>2023</v>
      </c>
      <c r="B73" s="136">
        <f>[6]REKAPITULASI!B44</f>
        <v>1.4162023276050003E-2</v>
      </c>
      <c r="C73" s="120">
        <f t="shared" si="23"/>
        <v>0.29740248879705006</v>
      </c>
      <c r="D73" s="136">
        <f>[6]REKAPITULASI!D44</f>
        <v>3.2681592175500007E-4</v>
      </c>
      <c r="E73" s="120">
        <f t="shared" si="24"/>
        <v>0.10131293574405002</v>
      </c>
      <c r="F73" s="121">
        <f t="shared" si="25"/>
        <v>0.39871542454110009</v>
      </c>
      <c r="H73" s="88">
        <v>2023</v>
      </c>
      <c r="I73" s="142">
        <f t="shared" si="27"/>
        <v>18.419418277374831</v>
      </c>
      <c r="J73" s="143">
        <f t="shared" si="28"/>
        <v>18419.418277374833</v>
      </c>
    </row>
    <row r="74" spans="1:10" x14ac:dyDescent="0.25">
      <c r="A74" s="88">
        <v>2024</v>
      </c>
      <c r="B74" s="136">
        <f>[6]REKAPITULASI!B45</f>
        <v>1.4188013693262501E-2</v>
      </c>
      <c r="C74" s="120">
        <f t="shared" si="23"/>
        <v>0.29794828755851249</v>
      </c>
      <c r="D74" s="136">
        <f>[6]REKAPITULASI!D45</f>
        <v>3.2741570061375002E-4</v>
      </c>
      <c r="E74" s="120">
        <f t="shared" si="24"/>
        <v>0.10149886719026251</v>
      </c>
      <c r="F74" s="121">
        <f t="shared" si="25"/>
        <v>0.39944715474877501</v>
      </c>
      <c r="H74" s="88">
        <v>2024</v>
      </c>
      <c r="I74" s="142">
        <f t="shared" si="27"/>
        <v>18.506771196217706</v>
      </c>
      <c r="J74" s="143">
        <f t="shared" si="28"/>
        <v>18506.771196217705</v>
      </c>
    </row>
    <row r="75" spans="1:10" x14ac:dyDescent="0.25">
      <c r="A75" s="88">
        <v>2025</v>
      </c>
      <c r="B75" s="136">
        <f>[6]REKAPITULASI!B46</f>
        <v>1.4214004110475E-2</v>
      </c>
      <c r="C75" s="120">
        <f t="shared" si="23"/>
        <v>0.29849408631997498</v>
      </c>
      <c r="D75" s="136">
        <f>[6]REKAPITULASI!D46</f>
        <v>3.2801547947249998E-4</v>
      </c>
      <c r="E75" s="120">
        <f t="shared" si="24"/>
        <v>0.10168479863647499</v>
      </c>
      <c r="F75" s="121">
        <f t="shared" si="25"/>
        <v>0.40017888495644999</v>
      </c>
      <c r="H75" s="88">
        <v>2025</v>
      </c>
      <c r="I75" s="142">
        <f t="shared" si="27"/>
        <v>18.588518234900043</v>
      </c>
      <c r="J75" s="143">
        <f t="shared" si="28"/>
        <v>18588.518234900042</v>
      </c>
    </row>
    <row r="76" spans="1:10" x14ac:dyDescent="0.25">
      <c r="A76" s="88">
        <v>2026</v>
      </c>
      <c r="B76" s="136">
        <f>[6]REKAPITULASI!B47</f>
        <v>1.42399945276875E-2</v>
      </c>
      <c r="C76" s="120">
        <f t="shared" si="23"/>
        <v>0.29903988508143753</v>
      </c>
      <c r="D76" s="136">
        <f>[6]REKAPITULASI!D47</f>
        <v>3.2861525833124998E-4</v>
      </c>
      <c r="E76" s="120">
        <f t="shared" si="24"/>
        <v>0.10187073008268749</v>
      </c>
      <c r="F76" s="121">
        <f t="shared" si="25"/>
        <v>0.40091061516412502</v>
      </c>
      <c r="H76" s="88">
        <v>2026</v>
      </c>
      <c r="I76" s="142">
        <f t="shared" si="27"/>
        <v>18.665624252895153</v>
      </c>
      <c r="J76" s="143">
        <f t="shared" si="28"/>
        <v>18665.624252895152</v>
      </c>
    </row>
    <row r="77" spans="1:10" x14ac:dyDescent="0.25">
      <c r="A77" s="88">
        <v>2027</v>
      </c>
      <c r="B77" s="136">
        <f>[6]REKAPITULASI!B48</f>
        <v>1.4265984944900001E-2</v>
      </c>
      <c r="C77" s="120">
        <f t="shared" si="23"/>
        <v>0.29958568384290002</v>
      </c>
      <c r="D77" s="136">
        <f>[6]REKAPITULASI!D48</f>
        <v>3.2921503719000005E-4</v>
      </c>
      <c r="E77" s="120">
        <f t="shared" si="24"/>
        <v>0.10205666152890001</v>
      </c>
      <c r="F77" s="121">
        <f t="shared" si="25"/>
        <v>0.40164234537180005</v>
      </c>
      <c r="H77" s="88">
        <v>2027</v>
      </c>
      <c r="I77" s="142">
        <f t="shared" si="27"/>
        <v>18.738811923950422</v>
      </c>
      <c r="J77" s="143">
        <f t="shared" si="28"/>
        <v>18738.811923950423</v>
      </c>
    </row>
    <row r="78" spans="1:10" x14ac:dyDescent="0.25">
      <c r="A78" s="88">
        <v>2028</v>
      </c>
      <c r="B78" s="136">
        <f>[6]REKAPITULASI!B49</f>
        <v>1.42919753621125E-2</v>
      </c>
      <c r="C78" s="120">
        <f t="shared" si="23"/>
        <v>0.30013148260436251</v>
      </c>
      <c r="D78" s="136">
        <f>[6]REKAPITULASI!D49</f>
        <v>3.2981481604875E-4</v>
      </c>
      <c r="E78" s="120">
        <f t="shared" si="24"/>
        <v>0.1022425929751125</v>
      </c>
      <c r="F78" s="121">
        <f t="shared" si="25"/>
        <v>0.40237407557947502</v>
      </c>
      <c r="H78" s="88">
        <v>2028</v>
      </c>
      <c r="I78" s="142">
        <f t="shared" si="27"/>
        <v>18.808633916335744</v>
      </c>
      <c r="J78" s="143">
        <f t="shared" si="28"/>
        <v>18808.633916335744</v>
      </c>
    </row>
    <row r="79" spans="1:10" x14ac:dyDescent="0.25">
      <c r="A79" s="88">
        <v>2029</v>
      </c>
      <c r="B79" s="136">
        <f>[6]REKAPITULASI!B50</f>
        <v>1.4317965779324997E-2</v>
      </c>
      <c r="C79" s="120">
        <f t="shared" si="23"/>
        <v>0.30067728136582494</v>
      </c>
      <c r="D79" s="136">
        <f>[6]REKAPITULASI!D50</f>
        <v>3.304145949074999E-4</v>
      </c>
      <c r="E79" s="120">
        <f t="shared" si="24"/>
        <v>0.10242852442132497</v>
      </c>
      <c r="F79" s="121">
        <f t="shared" si="25"/>
        <v>0.40310580578714994</v>
      </c>
      <c r="H79" s="88">
        <v>2029</v>
      </c>
      <c r="I79" s="142">
        <f t="shared" si="27"/>
        <v>18.875522190592068</v>
      </c>
      <c r="J79" s="143">
        <f t="shared" si="28"/>
        <v>18875.52219059207</v>
      </c>
    </row>
    <row r="80" spans="1:10" x14ac:dyDescent="0.25">
      <c r="A80" s="88">
        <v>2030</v>
      </c>
      <c r="B80" s="136">
        <f>[6]REKAPITULASI!B51</f>
        <v>1.4343956196537501E-2</v>
      </c>
      <c r="C80" s="120">
        <f t="shared" si="23"/>
        <v>0.30122308012728755</v>
      </c>
      <c r="D80" s="136">
        <f>[6]REKAPITULASI!D51</f>
        <v>3.3101437376625002E-4</v>
      </c>
      <c r="E80" s="120">
        <f t="shared" si="24"/>
        <v>0.10261445586753751</v>
      </c>
      <c r="F80" s="121">
        <f t="shared" si="25"/>
        <v>0.40383753599482508</v>
      </c>
      <c r="H80" s="88">
        <v>2030</v>
      </c>
      <c r="I80" s="142">
        <f t="shared" si="27"/>
        <v>18.939821835023452</v>
      </c>
      <c r="J80" s="143">
        <f t="shared" si="28"/>
        <v>18939.821835023453</v>
      </c>
    </row>
    <row r="81" spans="1:10" x14ac:dyDescent="0.25">
      <c r="A81" s="88">
        <v>2031</v>
      </c>
      <c r="B81" s="119"/>
      <c r="C81" s="120">
        <f t="shared" si="23"/>
        <v>0</v>
      </c>
      <c r="D81" s="119"/>
      <c r="E81" s="120">
        <f t="shared" si="24"/>
        <v>0</v>
      </c>
      <c r="F81" s="121">
        <f t="shared" si="25"/>
        <v>0</v>
      </c>
      <c r="H81" s="88">
        <v>2031</v>
      </c>
      <c r="I81" s="142">
        <f t="shared" si="27"/>
        <v>0</v>
      </c>
      <c r="J81" s="143">
        <f t="shared" si="28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144</v>
      </c>
      <c r="B85" s="101"/>
      <c r="C85" s="100"/>
      <c r="D85" s="101"/>
      <c r="G85" s="95">
        <v>1000</v>
      </c>
    </row>
    <row r="86" spans="1:10" ht="18.75" thickBot="1" x14ac:dyDescent="0.3">
      <c r="A86" s="184" t="s">
        <v>11</v>
      </c>
      <c r="B86" s="186" t="s">
        <v>137</v>
      </c>
      <c r="C86" s="187"/>
      <c r="D86" s="179" t="s">
        <v>138</v>
      </c>
      <c r="E86" s="180"/>
      <c r="F86" s="182" t="s">
        <v>95</v>
      </c>
      <c r="G86" s="183"/>
    </row>
    <row r="87" spans="1:10" ht="81.75" thickBot="1" x14ac:dyDescent="0.3">
      <c r="A87" s="185"/>
      <c r="B87" s="124" t="s">
        <v>139</v>
      </c>
      <c r="C87" s="124" t="s">
        <v>140</v>
      </c>
      <c r="D87" s="125" t="s">
        <v>141</v>
      </c>
      <c r="E87" s="125" t="s">
        <v>142</v>
      </c>
      <c r="F87" s="126" t="s">
        <v>143</v>
      </c>
      <c r="G87" s="126" t="s">
        <v>148</v>
      </c>
    </row>
    <row r="88" spans="1:10" ht="15.75" thickBot="1" x14ac:dyDescent="0.3">
      <c r="A88" s="185"/>
      <c r="B88" s="188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185"/>
      <c r="B89" s="189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8">
        <v>2011</v>
      </c>
      <c r="B90" s="137">
        <f>[6]REKAPITULASI!B59</f>
        <v>0.14836661468160001</v>
      </c>
      <c r="C90" s="140">
        <f>B90*21</f>
        <v>3.1156989083136</v>
      </c>
      <c r="D90" s="139">
        <f>[6]REKAPITULASI!D59</f>
        <v>5.0422577919999991E-3</v>
      </c>
      <c r="E90" s="135">
        <f>D90*310</f>
        <v>1.5630999155199996</v>
      </c>
      <c r="F90" s="138">
        <f>C90+E90</f>
        <v>4.6787988238335991</v>
      </c>
      <c r="G90" s="144">
        <f>F90*$G$85</f>
        <v>4678.7988238335993</v>
      </c>
    </row>
    <row r="91" spans="1:10" x14ac:dyDescent="0.25">
      <c r="A91" s="88">
        <v>2012</v>
      </c>
      <c r="B91" s="137">
        <f>[6]REKAPITULASI!B60</f>
        <v>0.14950013327759998</v>
      </c>
      <c r="C91" s="140">
        <f t="shared" ref="C91:C110" si="29">B91*21</f>
        <v>3.1395027988295996</v>
      </c>
      <c r="D91" s="139">
        <f>[6]REKAPITULASI!D60</f>
        <v>4.897733940000001E-3</v>
      </c>
      <c r="E91" s="135">
        <f t="shared" ref="E91:E110" si="30">D91*310</f>
        <v>1.5182975214000003</v>
      </c>
      <c r="F91" s="138">
        <f t="shared" ref="F91:F110" si="31">C91+E91</f>
        <v>4.6578003202296001</v>
      </c>
      <c r="G91" s="144">
        <f t="shared" ref="G91:G109" si="32">F91*$G$85</f>
        <v>4657.8003202296004</v>
      </c>
    </row>
    <row r="92" spans="1:10" x14ac:dyDescent="0.25">
      <c r="A92" s="88">
        <v>2013</v>
      </c>
      <c r="B92" s="137">
        <f>[6]REKAPITULASI!B61</f>
        <v>0.15045813931679999</v>
      </c>
      <c r="C92" s="140">
        <f t="shared" si="29"/>
        <v>3.1596209256528001</v>
      </c>
      <c r="D92" s="139">
        <f>[6]REKAPITULASI!D61</f>
        <v>4.8594142080000003E-3</v>
      </c>
      <c r="E92" s="135">
        <f t="shared" si="30"/>
        <v>1.5064184044800002</v>
      </c>
      <c r="F92" s="138">
        <f t="shared" si="31"/>
        <v>4.6660393301328007</v>
      </c>
      <c r="G92" s="144">
        <f t="shared" si="32"/>
        <v>4666.0393301328004</v>
      </c>
    </row>
    <row r="93" spans="1:10" x14ac:dyDescent="0.25">
      <c r="A93" s="88">
        <v>2014</v>
      </c>
      <c r="B93" s="137">
        <f>[6]REKAPITULASI!B62</f>
        <v>0.15137122249919999</v>
      </c>
      <c r="C93" s="140">
        <f t="shared" si="29"/>
        <v>3.1787956724831998</v>
      </c>
      <c r="D93" s="139">
        <f>[6]REKAPITULASI!D62</f>
        <v>4.9974354739047632E-3</v>
      </c>
      <c r="E93" s="135">
        <f t="shared" si="30"/>
        <v>1.5492049969104766</v>
      </c>
      <c r="F93" s="138">
        <f t="shared" si="31"/>
        <v>4.7280006693936762</v>
      </c>
      <c r="G93" s="144">
        <f t="shared" si="32"/>
        <v>4728.0006693936766</v>
      </c>
    </row>
    <row r="94" spans="1:10" x14ac:dyDescent="0.25">
      <c r="A94" s="88">
        <v>2015</v>
      </c>
      <c r="B94" s="137">
        <f>[6]REKAPITULASI!B63</f>
        <v>0.15235952534880001</v>
      </c>
      <c r="C94" s="140">
        <f t="shared" si="29"/>
        <v>3.1995500323248001</v>
      </c>
      <c r="D94" s="139">
        <f>[6]REKAPITULASI!D63</f>
        <v>5.0300637346666673E-3</v>
      </c>
      <c r="E94" s="135">
        <f t="shared" si="30"/>
        <v>1.5593197577466669</v>
      </c>
      <c r="F94" s="138">
        <f t="shared" si="31"/>
        <v>4.7588697900714667</v>
      </c>
      <c r="G94" s="144">
        <f t="shared" si="32"/>
        <v>4758.8697900714669</v>
      </c>
    </row>
    <row r="95" spans="1:10" x14ac:dyDescent="0.25">
      <c r="A95" s="88">
        <v>2016</v>
      </c>
      <c r="B95" s="137">
        <f>[6]REKAPITULASI!B64</f>
        <v>0.15284949790320002</v>
      </c>
      <c r="C95" s="140">
        <f t="shared" si="29"/>
        <v>3.2098394559672005</v>
      </c>
      <c r="D95" s="139">
        <f>[6]REKAPITULASI!D64</f>
        <v>5.0462399020000008E-3</v>
      </c>
      <c r="E95" s="135">
        <f t="shared" si="30"/>
        <v>1.5643343696200003</v>
      </c>
      <c r="F95" s="138">
        <f t="shared" si="31"/>
        <v>4.7741738255872006</v>
      </c>
      <c r="G95" s="144">
        <f t="shared" si="32"/>
        <v>4774.1738255872006</v>
      </c>
    </row>
    <row r="96" spans="1:10" x14ac:dyDescent="0.25">
      <c r="A96" s="88">
        <v>2017</v>
      </c>
      <c r="B96" s="137">
        <f>[6]REKAPITULASI!B65</f>
        <v>0.15806002693320001</v>
      </c>
      <c r="C96" s="140">
        <f t="shared" si="29"/>
        <v>3.3192605655972001</v>
      </c>
      <c r="D96" s="139">
        <f>[6]REKAPITULASI!D65</f>
        <v>5.2182625769999994E-3</v>
      </c>
      <c r="E96" s="135">
        <f t="shared" si="30"/>
        <v>1.6176613988699997</v>
      </c>
      <c r="F96" s="138">
        <f t="shared" si="31"/>
        <v>4.9369219644671993</v>
      </c>
      <c r="G96" s="144">
        <f t="shared" si="32"/>
        <v>4936.9219644671994</v>
      </c>
    </row>
    <row r="97" spans="1:7" x14ac:dyDescent="0.25">
      <c r="A97" s="88">
        <v>2018</v>
      </c>
      <c r="B97" s="137">
        <f>[6]REKAPITULASI!B66</f>
        <v>0.1583533313994</v>
      </c>
      <c r="C97" s="140">
        <f t="shared" si="29"/>
        <v>3.3254199593873999</v>
      </c>
      <c r="D97" s="139">
        <f>[6]REKAPITULASI!D66</f>
        <v>5.2279458584047625E-3</v>
      </c>
      <c r="E97" s="135">
        <f t="shared" si="30"/>
        <v>1.6206632161054764</v>
      </c>
      <c r="F97" s="138">
        <f t="shared" si="31"/>
        <v>4.946083175492876</v>
      </c>
      <c r="G97" s="144">
        <f t="shared" si="32"/>
        <v>4946.0831754928759</v>
      </c>
    </row>
    <row r="98" spans="1:7" x14ac:dyDescent="0.25">
      <c r="A98" s="88">
        <v>2019</v>
      </c>
      <c r="B98" s="137">
        <f>[6]REKAPITULASI!B67</f>
        <v>0.15864663586560002</v>
      </c>
      <c r="C98" s="140">
        <f t="shared" si="29"/>
        <v>3.3315793531776006</v>
      </c>
      <c r="D98" s="139">
        <f>[6]REKAPITULASI!D67</f>
        <v>5.2376291398095248E-3</v>
      </c>
      <c r="E98" s="135">
        <f t="shared" si="30"/>
        <v>1.6236650333409526</v>
      </c>
      <c r="F98" s="138">
        <f t="shared" si="31"/>
        <v>4.9552443865185527</v>
      </c>
      <c r="G98" s="144">
        <f t="shared" si="32"/>
        <v>4955.2443865185523</v>
      </c>
    </row>
    <row r="99" spans="1:7" x14ac:dyDescent="0.25">
      <c r="A99" s="88">
        <v>2020</v>
      </c>
      <c r="B99" s="137">
        <f>[6]REKAPITULASI!B68</f>
        <v>0.15893994033180001</v>
      </c>
      <c r="C99" s="140">
        <f t="shared" si="29"/>
        <v>3.3377387469677999</v>
      </c>
      <c r="D99" s="139">
        <f>[6]REKAPITULASI!D68</f>
        <v>5.2473124212142862E-3</v>
      </c>
      <c r="E99" s="135">
        <f t="shared" si="30"/>
        <v>1.6266668505764288</v>
      </c>
      <c r="F99" s="138">
        <f t="shared" si="31"/>
        <v>4.9644055975442285</v>
      </c>
      <c r="G99" s="144">
        <f t="shared" si="32"/>
        <v>4964.4055975442288</v>
      </c>
    </row>
    <row r="100" spans="1:7" x14ac:dyDescent="0.25">
      <c r="A100" s="88">
        <v>2021</v>
      </c>
      <c r="B100" s="137">
        <f>[6]REKAPITULASI!B69</f>
        <v>0.159233244798</v>
      </c>
      <c r="C100" s="140">
        <f t="shared" si="29"/>
        <v>3.3438981407579997</v>
      </c>
      <c r="D100" s="139">
        <f>[6]REKAPITULASI!D69</f>
        <v>5.2569957026190476E-3</v>
      </c>
      <c r="E100" s="135">
        <f t="shared" si="30"/>
        <v>1.6296686678119048</v>
      </c>
      <c r="F100" s="138">
        <f t="shared" si="31"/>
        <v>4.9735668085699043</v>
      </c>
      <c r="G100" s="144">
        <f t="shared" si="32"/>
        <v>4973.5668085699044</v>
      </c>
    </row>
    <row r="101" spans="1:7" x14ac:dyDescent="0.25">
      <c r="A101" s="88">
        <v>2022</v>
      </c>
      <c r="B101" s="137">
        <f>[6]REKAPITULASI!B70</f>
        <v>0.15952654926420001</v>
      </c>
      <c r="C101" s="140">
        <f t="shared" si="29"/>
        <v>3.3500575345482004</v>
      </c>
      <c r="D101" s="139">
        <f>[6]REKAPITULASI!D70</f>
        <v>5.2666789840238107E-3</v>
      </c>
      <c r="E101" s="135">
        <f t="shared" si="30"/>
        <v>1.6326704850473812</v>
      </c>
      <c r="F101" s="138">
        <f t="shared" si="31"/>
        <v>4.9827280195955819</v>
      </c>
      <c r="G101" s="144">
        <f t="shared" si="32"/>
        <v>4982.7280195955818</v>
      </c>
    </row>
    <row r="102" spans="1:7" x14ac:dyDescent="0.25">
      <c r="A102" s="88">
        <v>2023</v>
      </c>
      <c r="B102" s="137">
        <f>[6]REKAPITULASI!B71</f>
        <v>0.1598198537304</v>
      </c>
      <c r="C102" s="140">
        <f t="shared" si="29"/>
        <v>3.3562169283384002</v>
      </c>
      <c r="D102" s="139">
        <f>[6]REKAPITULASI!D71</f>
        <v>5.2763622654285721E-3</v>
      </c>
      <c r="E102" s="135">
        <f t="shared" si="30"/>
        <v>1.6356723022828574</v>
      </c>
      <c r="F102" s="138">
        <f t="shared" si="31"/>
        <v>4.9918892306212577</v>
      </c>
      <c r="G102" s="144">
        <f t="shared" si="32"/>
        <v>4991.8892306212574</v>
      </c>
    </row>
    <row r="103" spans="1:7" x14ac:dyDescent="0.25">
      <c r="A103" s="88">
        <v>2024</v>
      </c>
      <c r="B103" s="137">
        <f>[6]REKAPITULASI!B72</f>
        <v>0.16011315819660005</v>
      </c>
      <c r="C103" s="140">
        <f t="shared" si="29"/>
        <v>3.3623763221286009</v>
      </c>
      <c r="D103" s="139">
        <f>[6]REKAPITULASI!D72</f>
        <v>5.2860455468333343E-3</v>
      </c>
      <c r="E103" s="135">
        <f t="shared" si="30"/>
        <v>1.6386741195183336</v>
      </c>
      <c r="F103" s="138">
        <f t="shared" si="31"/>
        <v>5.0010504416469344</v>
      </c>
      <c r="G103" s="144">
        <f t="shared" si="32"/>
        <v>5001.0504416469339</v>
      </c>
    </row>
    <row r="104" spans="1:7" x14ac:dyDescent="0.25">
      <c r="A104" s="88">
        <v>2025</v>
      </c>
      <c r="B104" s="137">
        <f>[6]REKAPITULASI!B73</f>
        <v>0.16040646266280001</v>
      </c>
      <c r="C104" s="140">
        <f t="shared" si="29"/>
        <v>3.3685357159188003</v>
      </c>
      <c r="D104" s="139">
        <f>[6]REKAPITULASI!D73</f>
        <v>5.2957288282380957E-3</v>
      </c>
      <c r="E104" s="135">
        <f t="shared" si="30"/>
        <v>1.6416759367538096</v>
      </c>
      <c r="F104" s="138">
        <f t="shared" si="31"/>
        <v>5.0102116526726101</v>
      </c>
      <c r="G104" s="144">
        <f t="shared" si="32"/>
        <v>5010.2116526726104</v>
      </c>
    </row>
    <row r="105" spans="1:7" x14ac:dyDescent="0.25">
      <c r="A105" s="88">
        <v>2026</v>
      </c>
      <c r="B105" s="137">
        <f>[6]REKAPITULASI!B74</f>
        <v>0.160699767129</v>
      </c>
      <c r="C105" s="140">
        <f t="shared" si="29"/>
        <v>3.3746951097090001</v>
      </c>
      <c r="D105" s="139">
        <f>[6]REKAPITULASI!D74</f>
        <v>5.3054121096428571E-3</v>
      </c>
      <c r="E105" s="135">
        <f t="shared" si="30"/>
        <v>1.6446777539892856</v>
      </c>
      <c r="F105" s="138">
        <f t="shared" si="31"/>
        <v>5.0193728636982859</v>
      </c>
      <c r="G105" s="144">
        <f t="shared" si="32"/>
        <v>5019.372863698286</v>
      </c>
    </row>
    <row r="106" spans="1:7" x14ac:dyDescent="0.25">
      <c r="A106" s="88">
        <v>2027</v>
      </c>
      <c r="B106" s="137">
        <f>[6]REKAPITULASI!B75</f>
        <v>0.16099307159519999</v>
      </c>
      <c r="C106" s="140">
        <f t="shared" si="29"/>
        <v>3.3808545034991999</v>
      </c>
      <c r="D106" s="139">
        <f>[6]REKAPITULASI!D75</f>
        <v>5.3150953910476202E-3</v>
      </c>
      <c r="E106" s="135">
        <f t="shared" si="30"/>
        <v>1.6476795712247623</v>
      </c>
      <c r="F106" s="138">
        <f t="shared" si="31"/>
        <v>5.0285340747239626</v>
      </c>
      <c r="G106" s="144">
        <f t="shared" si="32"/>
        <v>5028.5340747239625</v>
      </c>
    </row>
    <row r="107" spans="1:7" x14ac:dyDescent="0.25">
      <c r="A107" s="88">
        <v>2028</v>
      </c>
      <c r="B107" s="137">
        <f>[6]REKAPITULASI!B76</f>
        <v>0.16128637606139998</v>
      </c>
      <c r="C107" s="140">
        <f t="shared" si="29"/>
        <v>3.3870138972893997</v>
      </c>
      <c r="D107" s="139">
        <f>[6]REKAPITULASI!D76</f>
        <v>5.3247786724523816E-3</v>
      </c>
      <c r="E107" s="135">
        <f t="shared" si="30"/>
        <v>1.6506813884602383</v>
      </c>
      <c r="F107" s="138">
        <f t="shared" si="31"/>
        <v>5.0376952857496384</v>
      </c>
      <c r="G107" s="144">
        <f t="shared" si="32"/>
        <v>5037.6952857496381</v>
      </c>
    </row>
    <row r="108" spans="1:7" x14ac:dyDescent="0.25">
      <c r="A108" s="88">
        <v>2029</v>
      </c>
      <c r="B108" s="137">
        <f>[6]REKAPITULASI!B77</f>
        <v>0.16157968052760002</v>
      </c>
      <c r="C108" s="140">
        <f t="shared" si="29"/>
        <v>3.3931732910796004</v>
      </c>
      <c r="D108" s="139">
        <f>[6]REKAPITULASI!D77</f>
        <v>5.334461953857143E-3</v>
      </c>
      <c r="E108" s="135">
        <f t="shared" si="30"/>
        <v>1.6536832056957143</v>
      </c>
      <c r="F108" s="138">
        <f t="shared" si="31"/>
        <v>5.0468564967753142</v>
      </c>
      <c r="G108" s="144">
        <f t="shared" si="32"/>
        <v>5046.8564967753146</v>
      </c>
    </row>
    <row r="109" spans="1:7" x14ac:dyDescent="0.25">
      <c r="A109" s="88">
        <v>2030</v>
      </c>
      <c r="B109" s="137">
        <f>[6]REKAPITULASI!B78</f>
        <v>0.16187298499379998</v>
      </c>
      <c r="C109" s="140">
        <f t="shared" si="29"/>
        <v>3.3993326848697998</v>
      </c>
      <c r="D109" s="139">
        <f>[6]REKAPITULASI!D78</f>
        <v>5.3441452352619052E-3</v>
      </c>
      <c r="E109" s="135">
        <f t="shared" si="30"/>
        <v>1.6566850229311907</v>
      </c>
      <c r="F109" s="138">
        <f t="shared" si="31"/>
        <v>5.05601770780099</v>
      </c>
      <c r="G109" s="144">
        <f t="shared" si="32"/>
        <v>5056.0177078009901</v>
      </c>
    </row>
    <row r="110" spans="1:7" x14ac:dyDescent="0.25">
      <c r="A110" s="88">
        <v>2031</v>
      </c>
      <c r="B110" s="137"/>
      <c r="C110" s="140">
        <f t="shared" si="29"/>
        <v>0</v>
      </c>
      <c r="D110" s="139"/>
      <c r="E110" s="135">
        <f t="shared" si="30"/>
        <v>0</v>
      </c>
      <c r="F110" s="138">
        <f t="shared" si="31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0" workbookViewId="0">
      <selection activeCell="H25" sqref="H25"/>
    </sheetView>
  </sheetViews>
  <sheetFormatPr defaultRowHeight="12.75" x14ac:dyDescent="0.25"/>
  <cols>
    <col min="1" max="2" width="9.140625" style="146"/>
    <col min="3" max="3" width="14.5703125" style="146" customWidth="1"/>
    <col min="4" max="4" width="19.140625" style="146" customWidth="1"/>
    <col min="5" max="16384" width="9.140625" style="146"/>
  </cols>
  <sheetData>
    <row r="3" spans="2:4" x14ac:dyDescent="0.25">
      <c r="B3" s="204" t="s">
        <v>11</v>
      </c>
      <c r="C3" s="204" t="s">
        <v>152</v>
      </c>
      <c r="D3" s="204"/>
    </row>
    <row r="4" spans="2:4" x14ac:dyDescent="0.25">
      <c r="B4" s="204"/>
      <c r="C4" s="147" t="s">
        <v>151</v>
      </c>
      <c r="D4" s="147" t="s">
        <v>147</v>
      </c>
    </row>
    <row r="5" spans="2:4" ht="15" x14ac:dyDescent="0.25">
      <c r="B5" s="88">
        <v>2011</v>
      </c>
      <c r="C5" s="166">
        <f>'[7]4D2_CH4_Industrial_Wastewater'!G12</f>
        <v>957606</v>
      </c>
      <c r="D5" s="166">
        <f>(C5*21)/1000</f>
        <v>20109.725999999999</v>
      </c>
    </row>
    <row r="6" spans="2:4" ht="15" x14ac:dyDescent="0.25">
      <c r="B6" s="88">
        <v>2012</v>
      </c>
      <c r="C6" s="166">
        <f>'[7]4D2_CH4_Industrial_Wastewater'!G13</f>
        <v>907902</v>
      </c>
      <c r="D6" s="166">
        <f t="shared" ref="D6:D15" si="0">(C6*21)/1000</f>
        <v>19065.941999999999</v>
      </c>
    </row>
    <row r="7" spans="2:4" ht="15" x14ac:dyDescent="0.25">
      <c r="B7" s="88">
        <v>2013</v>
      </c>
      <c r="C7" s="166">
        <f>'[7]4D2_CH4_Industrial_Wastewater'!G14</f>
        <v>1222230</v>
      </c>
      <c r="D7" s="166">
        <f t="shared" si="0"/>
        <v>25666.83</v>
      </c>
    </row>
    <row r="8" spans="2:4" ht="15" x14ac:dyDescent="0.25">
      <c r="B8" s="88">
        <v>2014</v>
      </c>
      <c r="C8" s="166">
        <f>'[7]4D2_CH4_Industrial_Wastewater'!G15</f>
        <v>2785194</v>
      </c>
      <c r="D8" s="166">
        <f t="shared" si="0"/>
        <v>58489.074000000001</v>
      </c>
    </row>
    <row r="9" spans="2:4" ht="15" x14ac:dyDescent="0.25">
      <c r="B9" s="88">
        <v>2015</v>
      </c>
      <c r="C9" s="166">
        <f>'[7]4D2_CH4_Industrial_Wastewater'!G16</f>
        <v>3140070</v>
      </c>
      <c r="D9" s="166">
        <f t="shared" si="0"/>
        <v>65941.47</v>
      </c>
    </row>
    <row r="10" spans="2:4" ht="15" x14ac:dyDescent="0.25">
      <c r="B10" s="88">
        <v>2016</v>
      </c>
      <c r="C10" s="166">
        <f>'[7]4D2_CH4_Industrial_Wastewater'!G17</f>
        <v>3513852</v>
      </c>
      <c r="D10" s="166">
        <f t="shared" si="0"/>
        <v>73790.892000000007</v>
      </c>
    </row>
    <row r="11" spans="2:4" ht="15" x14ac:dyDescent="0.25">
      <c r="B11" s="88">
        <v>2017</v>
      </c>
      <c r="C11" s="166">
        <f>'[7]4D2_CH4_Industrial_Wastewater'!G18</f>
        <v>7276328.4000000004</v>
      </c>
      <c r="D11" s="166">
        <f t="shared" si="0"/>
        <v>152802.8964</v>
      </c>
    </row>
    <row r="12" spans="2:4" ht="15" x14ac:dyDescent="0.25">
      <c r="B12" s="88">
        <v>2018</v>
      </c>
      <c r="C12" s="166">
        <f>'[7]4D2_CH4_Industrial_Wastewater'!G19</f>
        <v>9813459.4559999984</v>
      </c>
      <c r="D12" s="166">
        <f t="shared" si="0"/>
        <v>206082.64857599998</v>
      </c>
    </row>
    <row r="13" spans="2:4" ht="15" x14ac:dyDescent="0.25">
      <c r="B13" s="88">
        <v>2019</v>
      </c>
      <c r="C13" s="166">
        <f>'[7]4D2_CH4_Industrial_Wastewater'!G20</f>
        <v>12447204.767999999</v>
      </c>
      <c r="D13" s="166">
        <f t="shared" si="0"/>
        <v>261391.300128</v>
      </c>
    </row>
    <row r="14" spans="2:4" ht="15" x14ac:dyDescent="0.25">
      <c r="B14" s="88">
        <v>2020</v>
      </c>
      <c r="C14" s="166">
        <f>'[7]4D2_CH4_Industrial_Wastewater'!G21</f>
        <v>15177564.335999999</v>
      </c>
      <c r="D14" s="166">
        <f t="shared" si="0"/>
        <v>318728.85105599998</v>
      </c>
    </row>
    <row r="15" spans="2:4" ht="15" x14ac:dyDescent="0.25">
      <c r="B15" s="88">
        <v>2021</v>
      </c>
      <c r="C15" s="166">
        <f>'[7]4D2_CH4_Industrial_Wastewater'!G22</f>
        <v>17834376.886666667</v>
      </c>
      <c r="D15" s="166">
        <f t="shared" si="0"/>
        <v>374521.91462</v>
      </c>
    </row>
    <row r="16" spans="2:4" ht="15" x14ac:dyDescent="0.25">
      <c r="B16" s="88">
        <v>2022</v>
      </c>
      <c r="C16" s="166">
        <f>'[7]4D2_CH4_Industrial_Wastewater'!G23</f>
        <v>20581310.143999998</v>
      </c>
      <c r="D16" s="166">
        <f t="shared" ref="D16:D25" si="1">(C16*21)/1000</f>
        <v>432207.51302399993</v>
      </c>
    </row>
    <row r="17" spans="2:4" ht="15" x14ac:dyDescent="0.25">
      <c r="B17" s="88">
        <v>2023</v>
      </c>
      <c r="C17" s="166">
        <f>'[7]4D2_CH4_Industrial_Wastewater'!G24</f>
        <v>23418364.107999999</v>
      </c>
      <c r="D17" s="166">
        <f t="shared" si="1"/>
        <v>491785.64626800001</v>
      </c>
    </row>
    <row r="18" spans="2:4" ht="15" x14ac:dyDescent="0.25">
      <c r="B18" s="88">
        <v>2024</v>
      </c>
      <c r="C18" s="166">
        <f>'[7]4D2_CH4_Industrial_Wastewater'!G25</f>
        <v>26345538.778666671</v>
      </c>
      <c r="D18" s="166">
        <f t="shared" si="1"/>
        <v>553256.31435200013</v>
      </c>
    </row>
    <row r="19" spans="2:4" ht="15" x14ac:dyDescent="0.25">
      <c r="B19" s="88">
        <v>2025</v>
      </c>
      <c r="C19" s="166">
        <f>'[7]4D2_CH4_Industrial_Wastewater'!G26</f>
        <v>29362834.156000003</v>
      </c>
      <c r="D19" s="166">
        <f t="shared" si="1"/>
        <v>616619.517276</v>
      </c>
    </row>
    <row r="20" spans="2:4" ht="15" x14ac:dyDescent="0.25">
      <c r="B20" s="88">
        <v>2026</v>
      </c>
      <c r="C20" s="166">
        <f>'[7]4D2_CH4_Industrial_Wastewater'!G27</f>
        <v>32470250.239999998</v>
      </c>
      <c r="D20" s="166">
        <f t="shared" si="1"/>
        <v>681875.25503999996</v>
      </c>
    </row>
    <row r="21" spans="2:4" ht="15" x14ac:dyDescent="0.25">
      <c r="B21" s="88">
        <v>2027</v>
      </c>
      <c r="C21" s="166">
        <f>'[7]4D2_CH4_Industrial_Wastewater'!G28</f>
        <v>35667787.030666664</v>
      </c>
      <c r="D21" s="166">
        <f t="shared" si="1"/>
        <v>749023.5276439999</v>
      </c>
    </row>
    <row r="22" spans="2:4" ht="15" x14ac:dyDescent="0.25">
      <c r="B22" s="88">
        <v>2028</v>
      </c>
      <c r="C22" s="166">
        <f>'[7]4D2_CH4_Industrial_Wastewater'!G29</f>
        <v>38955444.527999997</v>
      </c>
      <c r="D22" s="166">
        <f t="shared" si="1"/>
        <v>818064.33508799993</v>
      </c>
    </row>
    <row r="23" spans="2:4" ht="15" x14ac:dyDescent="0.25">
      <c r="B23" s="88">
        <v>2029</v>
      </c>
      <c r="C23" s="166">
        <f>'[7]4D2_CH4_Industrial_Wastewater'!G30</f>
        <v>42333222.732000001</v>
      </c>
      <c r="D23" s="166">
        <f t="shared" si="1"/>
        <v>888997.67737199995</v>
      </c>
    </row>
    <row r="24" spans="2:4" ht="15" x14ac:dyDescent="0.25">
      <c r="B24" s="88">
        <v>2030</v>
      </c>
      <c r="C24" s="166">
        <f>'[7]4D2_CH4_Industrial_Wastewater'!G31</f>
        <v>43033995.695999995</v>
      </c>
      <c r="D24" s="166">
        <f t="shared" si="1"/>
        <v>903713.9096159999</v>
      </c>
    </row>
    <row r="25" spans="2:4" ht="15" x14ac:dyDescent="0.25">
      <c r="B25" s="88">
        <v>2031</v>
      </c>
      <c r="C25" s="148"/>
      <c r="D25" s="148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35" t="s">
        <v>54</v>
      </c>
      <c r="E5" s="235"/>
      <c r="F5" s="236" t="s">
        <v>64</v>
      </c>
      <c r="G5" s="236"/>
      <c r="H5" s="236"/>
      <c r="I5" s="236"/>
    </row>
    <row r="6" spans="1:9" s="20" customFormat="1" ht="16.5" customHeight="1" x14ac:dyDescent="0.25">
      <c r="A6" s="232" t="s">
        <v>48</v>
      </c>
      <c r="B6" s="232" t="s">
        <v>50</v>
      </c>
      <c r="C6" s="233"/>
      <c r="D6" s="221" t="s">
        <v>70</v>
      </c>
      <c r="E6" s="221"/>
      <c r="F6" s="222" t="s">
        <v>56</v>
      </c>
      <c r="G6" s="222"/>
      <c r="H6" s="222"/>
      <c r="I6" s="222"/>
    </row>
    <row r="7" spans="1:9" s="20" customFormat="1" ht="29.25" customHeight="1" x14ac:dyDescent="0.25">
      <c r="A7" s="232"/>
      <c r="B7" s="232"/>
      <c r="C7" s="233"/>
      <c r="D7" s="221"/>
      <c r="E7" s="221"/>
      <c r="F7" s="222" t="s">
        <v>57</v>
      </c>
      <c r="G7" s="222"/>
      <c r="H7" s="222"/>
      <c r="I7" s="222"/>
    </row>
    <row r="8" spans="1:9" s="20" customFormat="1" ht="51" customHeight="1" x14ac:dyDescent="0.25">
      <c r="A8" s="232"/>
      <c r="B8" s="29" t="s">
        <v>59</v>
      </c>
      <c r="C8" s="22"/>
      <c r="D8" s="221" t="s">
        <v>58</v>
      </c>
      <c r="E8" s="221"/>
      <c r="F8" s="222" t="s">
        <v>61</v>
      </c>
      <c r="G8" s="222"/>
      <c r="H8" s="222"/>
      <c r="I8" s="222"/>
    </row>
    <row r="9" spans="1:9" s="20" customFormat="1" ht="31.5" customHeight="1" x14ac:dyDescent="0.25">
      <c r="A9" s="232"/>
      <c r="B9" s="220" t="s">
        <v>51</v>
      </c>
      <c r="C9" s="22"/>
      <c r="D9" s="221" t="s">
        <v>60</v>
      </c>
      <c r="E9" s="221"/>
      <c r="F9" s="229" t="s">
        <v>66</v>
      </c>
      <c r="G9" s="230"/>
      <c r="H9" s="230"/>
      <c r="I9" s="231"/>
    </row>
    <row r="10" spans="1:9" s="20" customFormat="1" ht="20.25" customHeight="1" x14ac:dyDescent="0.25">
      <c r="A10" s="232"/>
      <c r="B10" s="220"/>
      <c r="C10" s="22"/>
      <c r="D10" s="221"/>
      <c r="E10" s="221"/>
      <c r="F10" s="222" t="s">
        <v>62</v>
      </c>
      <c r="G10" s="222"/>
      <c r="H10" s="222"/>
      <c r="I10" s="222"/>
    </row>
    <row r="11" spans="1:9" s="20" customFormat="1" ht="17.25" customHeight="1" x14ac:dyDescent="0.25">
      <c r="A11" s="232"/>
      <c r="B11" s="220"/>
      <c r="C11" s="22"/>
      <c r="D11" s="221"/>
      <c r="E11" s="221"/>
      <c r="F11" s="222" t="s">
        <v>63</v>
      </c>
      <c r="G11" s="222"/>
      <c r="H11" s="222"/>
      <c r="I11" s="222"/>
    </row>
    <row r="12" spans="1:9" s="20" customFormat="1" ht="60" customHeight="1" x14ac:dyDescent="0.25">
      <c r="A12" s="232" t="s">
        <v>49</v>
      </c>
      <c r="B12" s="27" t="s">
        <v>52</v>
      </c>
      <c r="C12" s="23"/>
      <c r="D12" s="24"/>
      <c r="E12" s="22"/>
      <c r="F12" s="223" t="s">
        <v>67</v>
      </c>
      <c r="G12" s="224"/>
      <c r="H12" s="224"/>
      <c r="I12" s="225"/>
    </row>
    <row r="13" spans="1:9" s="20" customFormat="1" ht="30" x14ac:dyDescent="0.25">
      <c r="A13" s="232"/>
      <c r="B13" s="28" t="s">
        <v>53</v>
      </c>
      <c r="C13" s="23"/>
      <c r="D13" s="24"/>
      <c r="E13" s="22"/>
      <c r="F13" s="226"/>
      <c r="G13" s="227"/>
      <c r="H13" s="227"/>
      <c r="I13" s="228"/>
    </row>
    <row r="18" spans="1:22" ht="21" x14ac:dyDescent="0.35">
      <c r="A18" s="234" t="s">
        <v>74</v>
      </c>
      <c r="B18" s="234"/>
      <c r="C18" s="234"/>
      <c r="D18" s="234"/>
      <c r="E18" s="234"/>
      <c r="F18" s="234"/>
      <c r="G18" s="234"/>
      <c r="H18" s="234"/>
      <c r="I18" s="234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05" t="s">
        <v>8</v>
      </c>
      <c r="B21" s="218" t="s">
        <v>40</v>
      </c>
      <c r="C21" s="218"/>
      <c r="D21" s="218"/>
      <c r="E21" s="218"/>
      <c r="F21" s="218"/>
      <c r="G21" s="218"/>
      <c r="H21" s="218"/>
      <c r="I21" s="219"/>
      <c r="K21" t="s">
        <v>22</v>
      </c>
      <c r="L21" t="s">
        <v>25</v>
      </c>
    </row>
    <row r="22" spans="1:22" ht="38.25" x14ac:dyDescent="0.25">
      <c r="A22" s="20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11" t="s">
        <v>71</v>
      </c>
      <c r="C24" s="35">
        <v>0</v>
      </c>
      <c r="D24" s="211" t="s">
        <v>73</v>
      </c>
      <c r="E24" s="211" t="s">
        <v>79</v>
      </c>
      <c r="F24" s="211"/>
      <c r="G24" s="211"/>
      <c r="H24" s="21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11"/>
      <c r="C25" s="35">
        <v>0</v>
      </c>
      <c r="D25" s="211"/>
      <c r="E25" s="211"/>
      <c r="F25" s="211"/>
      <c r="G25" s="211"/>
      <c r="H25" s="211"/>
      <c r="I25" s="34"/>
      <c r="K25" t="s">
        <v>27</v>
      </c>
      <c r="L25" s="209">
        <v>1000</v>
      </c>
      <c r="M25" s="209"/>
      <c r="N25" s="209"/>
      <c r="O25" s="8" t="s">
        <v>28</v>
      </c>
      <c r="R25" s="210">
        <f>L25*1000/365</f>
        <v>2739.7260273972602</v>
      </c>
      <c r="S25" s="210"/>
      <c r="T25" s="210"/>
      <c r="U25" s="11" t="s">
        <v>45</v>
      </c>
    </row>
    <row r="26" spans="1:22" x14ac:dyDescent="0.25">
      <c r="A26" s="2">
        <v>2013</v>
      </c>
      <c r="B26" s="211"/>
      <c r="C26" s="35">
        <v>0</v>
      </c>
      <c r="D26" s="211"/>
      <c r="E26" s="211"/>
      <c r="F26" s="211"/>
      <c r="G26" s="211"/>
      <c r="H26" s="211"/>
      <c r="I26" s="34"/>
      <c r="K26" t="s">
        <v>29</v>
      </c>
      <c r="L26" s="209">
        <v>3000</v>
      </c>
      <c r="M26" s="209"/>
      <c r="N26" s="209"/>
      <c r="O26" s="8" t="s">
        <v>28</v>
      </c>
    </row>
    <row r="27" spans="1:22" x14ac:dyDescent="0.25">
      <c r="A27" s="2">
        <v>2014</v>
      </c>
      <c r="B27" s="211"/>
      <c r="C27" s="35">
        <v>0</v>
      </c>
      <c r="D27" s="211"/>
      <c r="E27" s="211"/>
      <c r="F27" s="211"/>
      <c r="G27" s="211"/>
      <c r="H27" s="21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11"/>
      <c r="C28" s="35">
        <v>0</v>
      </c>
      <c r="D28" s="211"/>
      <c r="E28" s="211"/>
      <c r="F28" s="211"/>
      <c r="G28" s="211"/>
      <c r="H28" s="211"/>
      <c r="I28" s="34"/>
    </row>
    <row r="29" spans="1:22" x14ac:dyDescent="0.25">
      <c r="A29" s="2">
        <v>2016</v>
      </c>
      <c r="B29" s="211"/>
      <c r="C29" s="35">
        <v>0</v>
      </c>
      <c r="D29" s="211"/>
      <c r="E29" s="211"/>
      <c r="F29" s="211"/>
      <c r="G29" s="211"/>
      <c r="H29" s="211"/>
      <c r="I29" s="34"/>
    </row>
    <row r="30" spans="1:22" x14ac:dyDescent="0.25">
      <c r="A30" s="2">
        <v>2017</v>
      </c>
      <c r="B30" s="211"/>
      <c r="C30" s="35">
        <v>0</v>
      </c>
      <c r="D30" s="211"/>
      <c r="E30" s="211"/>
      <c r="F30" s="211"/>
      <c r="G30" s="211"/>
      <c r="H30" s="211"/>
      <c r="I30" s="34"/>
    </row>
    <row r="31" spans="1:22" ht="25.5" x14ac:dyDescent="0.25">
      <c r="A31" s="2">
        <v>2018</v>
      </c>
      <c r="B31" s="211"/>
      <c r="C31" s="35">
        <v>0</v>
      </c>
      <c r="D31" s="211"/>
      <c r="E31" s="211"/>
      <c r="F31" s="211"/>
      <c r="G31" s="211"/>
      <c r="H31" s="21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11"/>
      <c r="C32" s="35">
        <v>0</v>
      </c>
      <c r="D32" s="211"/>
      <c r="E32" s="211"/>
      <c r="F32" s="211"/>
      <c r="G32" s="211"/>
      <c r="H32" s="21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11"/>
      <c r="C33" s="35">
        <v>0</v>
      </c>
      <c r="D33" s="211"/>
      <c r="E33" s="211"/>
      <c r="F33" s="211"/>
      <c r="G33" s="211"/>
      <c r="H33" s="21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05" t="s">
        <v>8</v>
      </c>
      <c r="B37" s="212" t="s">
        <v>78</v>
      </c>
      <c r="C37" s="213"/>
      <c r="D37" s="213"/>
      <c r="E37" s="213"/>
      <c r="F37" s="213"/>
      <c r="G37" s="213"/>
      <c r="H37" s="214"/>
      <c r="I37" s="207" t="s">
        <v>40</v>
      </c>
    </row>
    <row r="38" spans="1:20" ht="38.25" x14ac:dyDescent="0.25">
      <c r="A38" s="20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8"/>
    </row>
    <row r="39" spans="1:20" x14ac:dyDescent="0.25">
      <c r="A39" s="2">
        <v>2010</v>
      </c>
      <c r="B39" s="215" t="s">
        <v>75</v>
      </c>
      <c r="C39" s="215" t="s">
        <v>76</v>
      </c>
      <c r="D39" s="215" t="s">
        <v>75</v>
      </c>
      <c r="E39" s="215" t="s">
        <v>76</v>
      </c>
      <c r="F39" s="215" t="s">
        <v>76</v>
      </c>
      <c r="G39" s="215" t="s">
        <v>76</v>
      </c>
      <c r="H39" s="215" t="s">
        <v>76</v>
      </c>
      <c r="I39" s="14">
        <f>'timbulan sampah'!E5</f>
        <v>28.403200000000002</v>
      </c>
    </row>
    <row r="40" spans="1:20" x14ac:dyDescent="0.25">
      <c r="A40" s="2">
        <v>2011</v>
      </c>
      <c r="B40" s="216"/>
      <c r="C40" s="216"/>
      <c r="D40" s="216"/>
      <c r="E40" s="216"/>
      <c r="F40" s="216"/>
      <c r="G40" s="216"/>
      <c r="H40" s="216"/>
      <c r="I40" s="14">
        <f>'timbulan sampah'!E6</f>
        <v>28.620200000000001</v>
      </c>
      <c r="K40" t="s">
        <v>20</v>
      </c>
      <c r="O40" s="8" t="s">
        <v>21</v>
      </c>
    </row>
    <row r="41" spans="1:20" x14ac:dyDescent="0.25">
      <c r="A41" s="2">
        <v>2012</v>
      </c>
      <c r="B41" s="216"/>
      <c r="C41" s="216"/>
      <c r="D41" s="216"/>
      <c r="E41" s="216"/>
      <c r="F41" s="216"/>
      <c r="G41" s="216"/>
      <c r="H41" s="216"/>
      <c r="I41" s="14">
        <f>'timbulan sampah'!E7</f>
        <v>28.803600000000003</v>
      </c>
      <c r="K41" t="s">
        <v>23</v>
      </c>
      <c r="O41" s="8" t="s">
        <v>24</v>
      </c>
    </row>
    <row r="42" spans="1:20" x14ac:dyDescent="0.25">
      <c r="A42" s="2">
        <v>2013</v>
      </c>
      <c r="B42" s="216"/>
      <c r="C42" s="216"/>
      <c r="D42" s="216"/>
      <c r="E42" s="216"/>
      <c r="F42" s="216"/>
      <c r="G42" s="216"/>
      <c r="H42" s="216"/>
      <c r="I42" s="14">
        <f>'timbulan sampah'!E8</f>
        <v>28.978400000000001</v>
      </c>
    </row>
    <row r="43" spans="1:20" x14ac:dyDescent="0.25">
      <c r="A43" s="2">
        <v>2014</v>
      </c>
      <c r="B43" s="216"/>
      <c r="C43" s="216"/>
      <c r="D43" s="216"/>
      <c r="E43" s="216"/>
      <c r="F43" s="216"/>
      <c r="G43" s="216"/>
      <c r="H43" s="216"/>
      <c r="I43" s="14">
        <f>'timbulan sampah'!E9</f>
        <v>29.167600000000004</v>
      </c>
    </row>
    <row r="44" spans="1:20" x14ac:dyDescent="0.25">
      <c r="A44" s="2">
        <v>2015</v>
      </c>
      <c r="B44" s="216"/>
      <c r="C44" s="216"/>
      <c r="D44" s="216"/>
      <c r="E44" s="216"/>
      <c r="F44" s="216"/>
      <c r="G44" s="216"/>
      <c r="H44" s="216"/>
      <c r="I44" s="14">
        <f>'timbulan sampah'!E10</f>
        <v>29.261400000000002</v>
      </c>
    </row>
    <row r="45" spans="1:20" x14ac:dyDescent="0.25">
      <c r="A45" s="2">
        <v>2016</v>
      </c>
      <c r="B45" s="216"/>
      <c r="C45" s="216"/>
      <c r="D45" s="216"/>
      <c r="E45" s="216"/>
      <c r="F45" s="216"/>
      <c r="G45" s="216"/>
      <c r="H45" s="216"/>
      <c r="I45" s="14">
        <f>'timbulan sampah'!E11</f>
        <v>30.258900000000001</v>
      </c>
    </row>
    <row r="46" spans="1:20" x14ac:dyDescent="0.25">
      <c r="A46" s="2">
        <v>2017</v>
      </c>
      <c r="B46" s="216"/>
      <c r="C46" s="216"/>
      <c r="D46" s="216"/>
      <c r="E46" s="216"/>
      <c r="F46" s="216"/>
      <c r="G46" s="216"/>
      <c r="H46" s="216"/>
      <c r="I46" s="14">
        <f>'timbulan sampah'!E12</f>
        <v>30.315050000000003</v>
      </c>
    </row>
    <row r="47" spans="1:20" x14ac:dyDescent="0.25">
      <c r="A47" s="2">
        <v>2018</v>
      </c>
      <c r="B47" s="216"/>
      <c r="C47" s="216"/>
      <c r="D47" s="216"/>
      <c r="E47" s="216"/>
      <c r="F47" s="216"/>
      <c r="G47" s="216"/>
      <c r="H47" s="216"/>
      <c r="I47" s="14">
        <f>'timbulan sampah'!E13</f>
        <v>30.371200000000002</v>
      </c>
    </row>
    <row r="48" spans="1:20" x14ac:dyDescent="0.25">
      <c r="A48" s="2">
        <v>2019</v>
      </c>
      <c r="B48" s="216"/>
      <c r="C48" s="216"/>
      <c r="D48" s="216"/>
      <c r="E48" s="216"/>
      <c r="F48" s="216"/>
      <c r="G48" s="216"/>
      <c r="H48" s="216"/>
      <c r="I48" s="14">
        <f>'timbulan sampah'!E14</f>
        <v>30.427350000000001</v>
      </c>
    </row>
    <row r="49" spans="1:21" x14ac:dyDescent="0.25">
      <c r="A49" s="2">
        <v>2020</v>
      </c>
      <c r="B49" s="217"/>
      <c r="C49" s="217"/>
      <c r="D49" s="217"/>
      <c r="E49" s="217"/>
      <c r="F49" s="217"/>
      <c r="G49" s="217"/>
      <c r="H49" s="217"/>
      <c r="I49" s="14">
        <f>'timbulan sampah'!E15</f>
        <v>30.483499999999999</v>
      </c>
    </row>
    <row r="52" spans="1:21" x14ac:dyDescent="0.25">
      <c r="A52" s="205" t="s">
        <v>8</v>
      </c>
      <c r="B52" s="206" t="s">
        <v>0</v>
      </c>
      <c r="C52" s="206"/>
      <c r="D52" s="206"/>
      <c r="E52" s="206"/>
      <c r="F52" s="206"/>
      <c r="G52" s="206"/>
      <c r="H52" s="206"/>
      <c r="I52" s="207" t="s">
        <v>10</v>
      </c>
    </row>
    <row r="53" spans="1:21" ht="42.75" customHeight="1" x14ac:dyDescent="0.25">
      <c r="A53" s="20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8"/>
    </row>
    <row r="54" spans="1:21" ht="17.25" customHeight="1" x14ac:dyDescent="0.25">
      <c r="A54" s="2">
        <v>2010</v>
      </c>
      <c r="B54" s="237" t="s">
        <v>77</v>
      </c>
      <c r="C54" s="237" t="s">
        <v>77</v>
      </c>
      <c r="D54" s="237" t="s">
        <v>77</v>
      </c>
      <c r="E54" s="237" t="s">
        <v>77</v>
      </c>
      <c r="F54" s="237" t="s">
        <v>77</v>
      </c>
      <c r="G54" s="237" t="s">
        <v>77</v>
      </c>
      <c r="H54" s="237" t="s">
        <v>77</v>
      </c>
      <c r="I54" s="3">
        <v>1</v>
      </c>
    </row>
    <row r="55" spans="1:21" x14ac:dyDescent="0.25">
      <c r="A55" s="2">
        <v>2011</v>
      </c>
      <c r="B55" s="238"/>
      <c r="C55" s="238"/>
      <c r="D55" s="238"/>
      <c r="E55" s="238"/>
      <c r="F55" s="238"/>
      <c r="G55" s="238"/>
      <c r="H55" s="238"/>
      <c r="I55" s="3">
        <v>1</v>
      </c>
    </row>
    <row r="56" spans="1:21" x14ac:dyDescent="0.25">
      <c r="A56" s="2">
        <v>2012</v>
      </c>
      <c r="B56" s="238"/>
      <c r="C56" s="238"/>
      <c r="D56" s="238"/>
      <c r="E56" s="238"/>
      <c r="F56" s="238"/>
      <c r="G56" s="238"/>
      <c r="H56" s="238"/>
      <c r="I56" s="3">
        <v>1</v>
      </c>
    </row>
    <row r="57" spans="1:21" x14ac:dyDescent="0.25">
      <c r="A57" s="2">
        <v>2013</v>
      </c>
      <c r="B57" s="238"/>
      <c r="C57" s="238"/>
      <c r="D57" s="238"/>
      <c r="E57" s="238"/>
      <c r="F57" s="238"/>
      <c r="G57" s="238"/>
      <c r="H57" s="238"/>
      <c r="I57" s="3">
        <v>1</v>
      </c>
    </row>
    <row r="58" spans="1:21" x14ac:dyDescent="0.25">
      <c r="A58" s="2">
        <v>2014</v>
      </c>
      <c r="B58" s="238"/>
      <c r="C58" s="238"/>
      <c r="D58" s="238"/>
      <c r="E58" s="238"/>
      <c r="F58" s="238"/>
      <c r="G58" s="238"/>
      <c r="H58" s="238"/>
      <c r="I58" s="3">
        <v>1</v>
      </c>
    </row>
    <row r="59" spans="1:21" x14ac:dyDescent="0.25">
      <c r="A59" s="2">
        <v>2015</v>
      </c>
      <c r="B59" s="238"/>
      <c r="C59" s="238"/>
      <c r="D59" s="238"/>
      <c r="E59" s="238"/>
      <c r="F59" s="238"/>
      <c r="G59" s="238"/>
      <c r="H59" s="238"/>
      <c r="I59" s="3">
        <v>1</v>
      </c>
    </row>
    <row r="60" spans="1:21" x14ac:dyDescent="0.25">
      <c r="A60" s="2">
        <v>2016</v>
      </c>
      <c r="B60" s="238"/>
      <c r="C60" s="238"/>
      <c r="D60" s="238"/>
      <c r="E60" s="238"/>
      <c r="F60" s="238"/>
      <c r="G60" s="238"/>
      <c r="H60" s="238"/>
      <c r="I60" s="3">
        <v>1</v>
      </c>
    </row>
    <row r="61" spans="1:21" x14ac:dyDescent="0.25">
      <c r="A61" s="2">
        <v>2017</v>
      </c>
      <c r="B61" s="238"/>
      <c r="C61" s="238"/>
      <c r="D61" s="238"/>
      <c r="E61" s="238"/>
      <c r="F61" s="238"/>
      <c r="G61" s="238"/>
      <c r="H61" s="238"/>
      <c r="I61" s="3">
        <v>1</v>
      </c>
    </row>
    <row r="62" spans="1:21" x14ac:dyDescent="0.25">
      <c r="A62" s="2">
        <v>2018</v>
      </c>
      <c r="B62" s="238"/>
      <c r="C62" s="238"/>
      <c r="D62" s="238"/>
      <c r="E62" s="238"/>
      <c r="F62" s="238"/>
      <c r="G62" s="238"/>
      <c r="H62" s="238"/>
      <c r="I62" s="3">
        <v>1</v>
      </c>
    </row>
    <row r="63" spans="1:21" x14ac:dyDescent="0.25">
      <c r="A63" s="2">
        <v>2019</v>
      </c>
      <c r="B63" s="238"/>
      <c r="C63" s="238"/>
      <c r="D63" s="238"/>
      <c r="E63" s="238"/>
      <c r="F63" s="238"/>
      <c r="G63" s="238"/>
      <c r="H63" s="238"/>
      <c r="I63" s="3">
        <v>1</v>
      </c>
      <c r="U63" s="4"/>
    </row>
    <row r="64" spans="1:21" x14ac:dyDescent="0.25">
      <c r="A64" s="2">
        <v>2020</v>
      </c>
      <c r="B64" s="239"/>
      <c r="C64" s="239"/>
      <c r="D64" s="239"/>
      <c r="E64" s="239"/>
      <c r="F64" s="239"/>
      <c r="G64" s="239"/>
      <c r="H64" s="23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40" t="s">
        <v>11</v>
      </c>
      <c r="B6" s="241" t="s">
        <v>110</v>
      </c>
      <c r="C6" s="241"/>
      <c r="D6" s="241"/>
      <c r="E6" s="71" t="s">
        <v>114</v>
      </c>
      <c r="F6" s="240" t="s">
        <v>11</v>
      </c>
      <c r="G6" s="241" t="s">
        <v>111</v>
      </c>
      <c r="H6" s="241"/>
      <c r="I6" s="241"/>
      <c r="J6" s="72" t="s">
        <v>115</v>
      </c>
      <c r="K6" s="240" t="s">
        <v>11</v>
      </c>
      <c r="L6" s="241" t="s">
        <v>112</v>
      </c>
      <c r="M6" s="241"/>
      <c r="N6" s="241"/>
      <c r="O6" s="72" t="s">
        <v>115</v>
      </c>
      <c r="P6" s="240" t="s">
        <v>11</v>
      </c>
      <c r="Q6" s="241" t="s">
        <v>113</v>
      </c>
      <c r="R6" s="241"/>
      <c r="S6" s="241"/>
    </row>
    <row r="7" spans="1:19" x14ac:dyDescent="0.25">
      <c r="A7" s="240"/>
      <c r="B7" s="240" t="s">
        <v>82</v>
      </c>
      <c r="C7" s="240"/>
      <c r="D7" s="241" t="s">
        <v>84</v>
      </c>
      <c r="E7" s="69"/>
      <c r="F7" s="240"/>
      <c r="G7" s="240" t="s">
        <v>82</v>
      </c>
      <c r="H7" s="240"/>
      <c r="I7" s="241" t="s">
        <v>84</v>
      </c>
      <c r="K7" s="240"/>
      <c r="L7" s="240" t="s">
        <v>82</v>
      </c>
      <c r="M7" s="240"/>
      <c r="N7" s="241" t="s">
        <v>84</v>
      </c>
      <c r="P7" s="240"/>
      <c r="Q7" s="240" t="s">
        <v>82</v>
      </c>
      <c r="R7" s="240"/>
      <c r="S7" s="241" t="s">
        <v>84</v>
      </c>
    </row>
    <row r="8" spans="1:19" x14ac:dyDescent="0.25">
      <c r="A8" s="240"/>
      <c r="B8" s="74" t="s">
        <v>85</v>
      </c>
      <c r="C8" s="74" t="s">
        <v>86</v>
      </c>
      <c r="D8" s="241"/>
      <c r="E8" s="6"/>
      <c r="F8" s="240"/>
      <c r="G8" s="74" t="s">
        <v>85</v>
      </c>
      <c r="H8" s="74" t="s">
        <v>86</v>
      </c>
      <c r="I8" s="241"/>
      <c r="K8" s="240"/>
      <c r="L8" s="74" t="s">
        <v>85</v>
      </c>
      <c r="M8" s="74" t="s">
        <v>86</v>
      </c>
      <c r="N8" s="241"/>
      <c r="P8" s="240"/>
      <c r="Q8" s="74" t="s">
        <v>85</v>
      </c>
      <c r="R8" s="74" t="s">
        <v>86</v>
      </c>
      <c r="S8" s="241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8" t="s">
        <v>11</v>
      </c>
      <c r="B23" s="250" t="s">
        <v>81</v>
      </c>
      <c r="C23" s="251"/>
      <c r="D23" s="251"/>
      <c r="E23" s="251"/>
      <c r="F23" s="252"/>
      <c r="K23" t="s">
        <v>121</v>
      </c>
      <c r="L23">
        <v>280</v>
      </c>
      <c r="M23" t="s">
        <v>123</v>
      </c>
    </row>
    <row r="24" spans="1:19" ht="15.75" thickBot="1" x14ac:dyDescent="0.3">
      <c r="A24" s="249"/>
      <c r="B24" s="250" t="s">
        <v>82</v>
      </c>
      <c r="C24" s="252"/>
      <c r="D24" s="250" t="s">
        <v>83</v>
      </c>
      <c r="E24" s="252"/>
      <c r="F24" s="253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9"/>
      <c r="B25" s="36" t="s">
        <v>85</v>
      </c>
      <c r="C25" s="36" t="s">
        <v>86</v>
      </c>
      <c r="D25" s="36" t="s">
        <v>87</v>
      </c>
      <c r="E25" s="36" t="s">
        <v>86</v>
      </c>
      <c r="F25" s="254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5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6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6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0.35326972531067774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0.35553349941505075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0.35769112053524937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0.36002648618708893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0.36118429431680649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0.37349680614402642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0.37418988638372414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0.3748829666234218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0.37557604686311935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0.37626912710281712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0.37696220734251462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2" t="s">
        <v>11</v>
      </c>
      <c r="B58" s="244" t="s">
        <v>93</v>
      </c>
      <c r="C58" s="245"/>
      <c r="D58" s="53" t="s">
        <v>94</v>
      </c>
      <c r="E58" s="54"/>
      <c r="F58" s="55" t="s">
        <v>95</v>
      </c>
    </row>
    <row r="59" spans="1:6" ht="63.75" thickBot="1" x14ac:dyDescent="0.3">
      <c r="A59" s="243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3"/>
      <c r="B60" s="246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3"/>
      <c r="B61" s="247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2017-09-27T07:18:21Z</dcterms:modified>
</cp:coreProperties>
</file>